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HirePurchaseNonRegulated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<sst xmlns="http://schemas.openxmlformats.org/spreadsheetml/2006/main" count="10277" uniqueCount="356">
  <si>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</si>
  <si>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</si>
  <si>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</si>
  <si>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</si>
  <si>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</si>
  <si>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</si>
  <si>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</si>
  <si>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</si>
  <si>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</si>
  <si>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</si>
  <si>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</si>
  <si>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</si>
  <si>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</si>
  <si>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</si>
  <si>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</si>
  <si>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</si>
  <si>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</si>
  <si>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</si>
  <si>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</si>
  <si>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</si>
  <si>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</si>
  <si>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</si>
  <si>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</si>
  <si>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</si>
  <si>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</si>
  <si>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</si>
  <si>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</si>
  <si>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</si>
  <si>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</si>
  <si>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</si>
  <si>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</si>
  <si>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</si>
  <si>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</si>
  <si>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</si>
  <si>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</si>
  <si>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</si>
  <si>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</si>
  <si>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</si>
  <si>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</si>
  <si>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</si>
  <si>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</si>
  <si>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</si>
  <si>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</si>
  <si>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</si>
  <si>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</si>
  <si>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</si>
  <si>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</si>
  <si>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</si>
  <si>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</si>
  <si>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</si>
  <si>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</si>
  <si>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</si>
  <si>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</si>
  <si>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</si>
  <si>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</si>
  <si>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</si>
  <si>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</si>
  <si>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</si>
  <si>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</si>
  <si>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</si>
  <si>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</si>
  <si>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</si>
  <si>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</si>
  <si>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</si>
  <si>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</si>
  <si>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</si>
  <si>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</si>
  <si>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</si>
  <si>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</si>
  <si>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</si>
  <si>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</si>
  <si>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</si>
  <si>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</si>
  <si>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</si>
  <si>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</si>
  <si>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</si>
  <si>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</si>
  <si>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</si>
  <si>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</si>
  <si>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</si>
  <si>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</si>
  <si>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</si>
  <si>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</si>
  <si>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</si>
  <si>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</si>
  <si>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</si>
  <si>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</si>
  <si>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</si>
  <si>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</si>
  <si>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</si>
  <si>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</si>
  <si>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</si>
  <si>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</si>
  <si>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</si>
  <si>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</si>
  <si>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</si>
  <si>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</si>
  <si>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</si>
  <si>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</si>
  <si>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</si>
  <si>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</si>
  <si>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</si>
  <si>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</si>
  <si>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</si>
  <si>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</si>
  <si>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</si>
  <si>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</si>
  <si>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</si>
  <si>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</si>
  <si>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</si>
  <si>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</si>
  <si>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</si>
  <si>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</si>
  <si>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</si>
  <si>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</si>
  <si>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</si>
  <si>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</si>
  <si>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</si>
  <si>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</si>
  <si>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</si>
  <si>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</si>
  <si>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</si>
  <si>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</si>
  <si>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</si>
  <si>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</si>
  <si>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</si>
  <si>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</si>
  <si>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</si>
  <si>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</si>
  <si>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</si>
  <si>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</si>
  <si>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</si>
  <si>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</si>
  <si>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</si>
  <si>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</si>
  <si>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</si>
  <si>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</si>
  <si>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</si>
  <si>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</si>
  <si>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</si>
  <si>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</si>
  <si>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</si>
  <si>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</si>
  <si>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</si>
  <si>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</si>
  <si>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</si>
  <si>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</si>
  <si>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</si>
  <si>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</si>
  <si>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</si>
  <si>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</si>
  <si>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</si>
  <si>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</si>
  <si>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</si>
  <si>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</si>
  <si>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</si>
  <si>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</si>
  <si>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</si>
  <si>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</si>
  <si>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</si>
  <si>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</si>
  <si>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</si>
  <si>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</si>
  <si>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</si>
  <si>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</si>
  <si>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</si>
  <si>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</si>
  <si>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</si>
  <si>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</si>
  <si>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</si>
  <si>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</si>
  <si>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</si>
  <si>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</si>
  <si>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</si>
  <si>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</si>
  <si>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</si>
  <si>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</si>
  <si>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</si>
  <si>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</si>
  <si>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</si>
  <si>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</si>
  <si>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</si>
  <si>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</si>
  <si>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</si>
  <si>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</si>
  <si>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</si>
  <si>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</si>
  <si>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</si>
  <si>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</si>
  <si>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</si>
  <si>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</si>
  <si>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</si>
  <si>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</si>
  <si>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</si>
  <si>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</si>
  <si>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</si>
  <si>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</si>
  <si>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</si>
  <si>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</si>
  <si>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</si>
  <si>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</si>
  <si>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</si>
  <si>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</si>
  <si>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</si>
  <si>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</si>
  <si>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</si>
  <si>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</si>
  <si>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</si>
  <si>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</si>
  <si>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</si>
  <si>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</si>
  <si>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</si>
  <si>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</si>
  <si>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</si>
  <si>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</si>
  <si>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</si>
  <si>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</si>
  <si>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</si>
  <si>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</si>
  <si>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</si>
  <si>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</si>
  <si>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</si>
  <si>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</si>
  <si>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</si>
  <si>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</si>
  <si>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</si>
  <si>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</si>
  <si>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</si>
  <si>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</si>
  <si>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</si>
  <si>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</si>
  <si>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</si>
  <si>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</si>
  <si>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</si>
  <si>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</si>
  <si>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</si>
  <si>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</si>
  <si>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</si>
  <si>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</si>
  <si>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</si>
  <si>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</si>
  <si>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</si>
  <si>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</si>
  <si>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</si>
  <si>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</si>
  <si>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</si>
  <si>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</si>
  <si>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</si>
  <si>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</si>
  <si>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</si>
  <si>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</si>
  <si>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</si>
  <si>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</si>
  <si>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</si>
  <si>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</si>
  <si>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</si>
  <si>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</si>
  <si>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</si>
  <si>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</si>
  <si>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</si>
  <si>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</si>
  <si>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</si>
  <si>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</si>
  <si>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</si>
  <si>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</si>
  <si>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</si>
  <si>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</si>
  <si>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</si>
  <si>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</si>
  <si>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</si>
  <si>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</si>
  <si>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</si>
  <si>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</si>
  <si>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</si>
  <si>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</si>
  <si>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</si>
  <si>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</si>
  <si>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</si>
  <si>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</si>
  <si>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</si>
  <si>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</si>
  <si>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</si>
  <si>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</si>
  <si>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</si>
  <si>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</si>
  <si>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</si>
  <si>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</si>
  <si>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</si>
  <si>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</si>
  <si>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</si>
  <si>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</si>
  <si>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</si>
  <si>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</si>
  <si>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</si>
  <si>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</si>
  <si>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</si>
  <si>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</si>
  <si>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</si>
  <si>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</si>
  <si>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</si>
  <si>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</si>
  <si>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</si>
  <si>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</si>
  <si>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</si>
  <si>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</si>
  <si>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</si>
  <si>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</si>
  <si>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</si>
  <si>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</si>
  <si>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</si>
  <si>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</si>
  <si>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</si>
  <si>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</si>
  <si>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</si>
  <si>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</si>
  <si>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</si>
  <si>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</si>
  <si>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</si>
  <si>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</si>
  <si>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</si>
  <si>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</si>
  <si>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</si>
  <si>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</si>
  <si>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</si>
  <si>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</si>
  <si>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</si>
  <si>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</si>
  <si>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</si>
  <si>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</si>
  <si>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</si>
  <si>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</si>
  <si>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</si>
  <si>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</si>
  <si>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</si>
  <si>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</si>
  <si>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</si>
  <si>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</si>
  <si>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</si>
  <si>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Hire purchase – Regulated</t>
  </si>
  <si>
    <t xml:space="preserve">5.28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</si>
  <si>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</si>
  <si>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</si>
  <si>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</si>
  <si>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</si>
  <si>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</si>
  <si>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</si>
  <si>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</si>
  <si>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</si>
  <si>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239.99</t>
  </si>
  <si>
    <t xml:space="preserve">RFL included?</t>
  </si>
  <si>
    <t xml:space="preserve">Upload document</t>
  </si>
  <si>
    <t xml:space="preserve">`</t>
  </si>
  <si>
    <t>YES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</si>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</sst>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5" activeCellId="0" sqref="B225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44947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D41,0)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J133" activeCellId="0" sqref="J133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49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30372.5629972642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</f>
        <v>572.25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36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31.4928771838377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57225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1817.07754632746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65414.7916677886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65414.7916677886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34.3333333333333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1817.07754632746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1851.4108796608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963.001534004866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0" t="s">
        <v>27</v>
      </c>
      <c r="F105" s="450"/>
      <c r="G105" s="450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28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1817.07754632746</v>
      </c>
      <c r="B167" s="286" t="n">
        <f aca="false">B94</f>
        <v>34.3333333333333</v>
      </c>
      <c r="C167" s="439"/>
      <c r="D167" s="439"/>
      <c r="E167" s="286" t="n">
        <f aca="false">B96</f>
        <v>1851.4108796608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35.3142857142857</v>
      </c>
      <c r="U167" s="439"/>
      <c r="V167" s="439"/>
      <c r="W167" s="286" t="n">
        <f aca="false">T96</f>
        <v>963.001534004866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6372.71412146116</v>
      </c>
      <c r="B182" s="164" t="str">
        <f aca="false">B114</f>
        <v>199.99</v>
      </c>
      <c r="C182" s="164"/>
      <c r="D182" s="308"/>
      <c r="E182" s="164" t="n">
        <f aca="false">E179+A182+B182+A185</f>
        <v>63807.7041214612</v>
      </c>
      <c r="F182" s="308"/>
      <c r="G182" s="308"/>
      <c r="H182" s="146"/>
      <c r="J182" s="141" t="n">
        <f aca="false">(J167*K59)+N185-N179-J185</f>
        <v>14050.9572599531</v>
      </c>
      <c r="K182" s="164" t="n">
        <f aca="false">K114</f>
        <v>239.99</v>
      </c>
      <c r="L182" s="164"/>
      <c r="M182" s="308"/>
      <c r="N182" s="164" t="n">
        <f aca="false">N179+J182+K182+J185</f>
        <v>51965.9472599531</v>
      </c>
      <c r="O182" s="308"/>
      <c r="P182" s="308"/>
      <c r="Q182" s="146"/>
      <c r="S182" s="141" t="n">
        <f aca="false">(S167*T59)+W185-W179-S185</f>
        <v>-12999.6953098297</v>
      </c>
      <c r="T182" s="164" t="n">
        <f aca="false">T114</f>
        <v>199.99</v>
      </c>
      <c r="U182" s="164"/>
      <c r="V182" s="308"/>
      <c r="W182" s="164" t="n">
        <f aca="false">W179+S182+T182+S185</f>
        <v>32679.0436901703</v>
      </c>
      <c r="X182" s="308"/>
      <c r="Y182" s="308"/>
      <c r="Z182" s="146"/>
      <c r="AB182" s="141" t="n">
        <f aca="false">(AB167*AC59)+AF185-AF179-AB185</f>
        <v>-12999.6953098297</v>
      </c>
      <c r="AC182" s="164" t="n">
        <f aca="false">AC114</f>
        <v>239.99</v>
      </c>
      <c r="AD182" s="164"/>
      <c r="AE182" s="308"/>
      <c r="AF182" s="164" t="n">
        <f aca="false">AF179+AB182+AC182+AB185</f>
        <v>32719.0436901703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572.25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2692.84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1499.49624166667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1851.4108796608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963.001534004866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344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345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347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346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346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2" t="s">
        <v>236</v>
      </c>
      <c r="B45" s="402"/>
      <c r="C45" s="453" t="s">
        <v>236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348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178.828125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2318.818125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I3" activeCellId="0" sqref="I3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2" t="s">
        <v>236</v>
      </c>
      <c r="B45" s="402"/>
      <c r="C45" s="453" t="s">
        <v>236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2299.418125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4" t="s">
        <v>236</v>
      </c>
      <c r="B45" s="402"/>
      <c r="C45" s="453" t="s">
        <v>236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30372.5629972642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36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31.4928771838377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57225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1817.07754632746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65414.7916677886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65414.7916677886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41.2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1817.07754632746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1858.27754632746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28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348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1817.07754632746</v>
      </c>
      <c r="B167" s="286" t="n">
        <f aca="false">B94</f>
        <v>41.2</v>
      </c>
      <c r="C167" s="439"/>
      <c r="D167" s="439"/>
      <c r="E167" s="286" t="n">
        <f aca="false">B96</f>
        <v>1858.27754632746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6372.71412146116</v>
      </c>
      <c r="B182" s="164" t="str">
        <f aca="false">B114</f>
        <v>239.99</v>
      </c>
      <c r="C182" s="164"/>
      <c r="D182" s="308"/>
      <c r="E182" s="164" t="n">
        <f aca="false">E179+A182+B182+A185</f>
        <v>63847.7041214612</v>
      </c>
      <c r="F182" s="308"/>
      <c r="G182" s="308"/>
      <c r="H182" s="146"/>
      <c r="J182" s="141" t="n">
        <f aca="false">(J167*K59)+N185-N179-J185</f>
        <v>14050.9572599531</v>
      </c>
      <c r="K182" s="164" t="n">
        <f aca="false">K114</f>
        <v>239.99</v>
      </c>
      <c r="L182" s="164"/>
      <c r="M182" s="308"/>
      <c r="N182" s="164" t="n">
        <f aca="false">N179+J182+K182+J185</f>
        <v>51965.9472599531</v>
      </c>
      <c r="O182" s="308"/>
      <c r="P182" s="308"/>
      <c r="Q182" s="146"/>
      <c r="S182" s="141" t="n">
        <f aca="false">(S167*T59)+W185-W179-S185</f>
        <v>-10097.427973919</v>
      </c>
      <c r="T182" s="164" t="n">
        <f aca="false">T114</f>
        <v>199.99</v>
      </c>
      <c r="U182" s="164"/>
      <c r="V182" s="308"/>
      <c r="W182" s="164" t="n">
        <f aca="false">W179+S182+T182+S185</f>
        <v>49496.999516081</v>
      </c>
      <c r="X182" s="308"/>
      <c r="Y182" s="308"/>
      <c r="Z182" s="146"/>
      <c r="AB182" s="141" t="n">
        <f aca="false">(AB167*AC59)+AF185-AF179-AB185</f>
        <v>-12999.6953098297</v>
      </c>
      <c r="AC182" s="164" t="n">
        <f aca="false">AC114</f>
        <v>239.99</v>
      </c>
      <c r="AD182" s="164"/>
      <c r="AE182" s="308"/>
      <c r="AF182" s="164" t="n">
        <f aca="false">AF179+AB182+AC182+AB185</f>
        <v>32719.0436901703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2339.418125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1858.27754632746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02" colorId="64" zoomScale="75" zoomScaleNormal="75" zoomScalePageLayoutView="100" workbookViewId="0">
      <selection pane="topLeft" activeCell="B106" activeCellId="0" sqref="B106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1095.64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1095.64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964.75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5522.165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964.75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5522.165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70" activeCellId="0" sqref="B70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44947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D211" activeCellId="0" sqref="D21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922.920864561026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str">
        <f aca="false">IF(B26="YES", H42, "")</f>
        <v/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64443.3941780653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-15565.8941780653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55" t="s">
        <v>236</v>
      </c>
      <c r="D45" s="455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922.920864561026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0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1381.90051379218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1189.86736688544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984.491094073066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28</v>
      </c>
      <c r="B105" s="114" t="n">
        <v>0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0</v>
      </c>
      <c r="I127" s="286"/>
      <c r="J127" s="134" t="n">
        <f aca="false">H91</f>
        <v>1189.86736688544</v>
      </c>
      <c r="K127" s="204"/>
      <c r="L127" s="171"/>
      <c r="M127" s="132" t="n">
        <f aca="false">N90</f>
        <v>984.491094073066</v>
      </c>
      <c r="N127" s="286" t="n">
        <f aca="false">IF(M105="YES", N89*N57, 0)</f>
        <v>0</v>
      </c>
      <c r="O127" s="286"/>
      <c r="P127" s="286" t="n">
        <f aca="false">N91</f>
        <v>984.491094073066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0</v>
      </c>
      <c r="C128" s="125"/>
      <c r="D128" s="120" t="n">
        <f aca="false">B91</f>
        <v>1381.90051379218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12437.1046241296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0</v>
      </c>
      <c r="I133" s="224"/>
      <c r="J133" s="140" t="n">
        <f aca="false">H91*H57</f>
        <v>7139.20420131264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0</v>
      </c>
      <c r="O133" s="224"/>
      <c r="P133" s="140" t="n">
        <f aca="false">N91*N57</f>
        <v>5906.94656443839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12437.1046241296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0</v>
      </c>
      <c r="C137" s="13"/>
      <c r="D137" s="136" t="n">
        <f aca="false">B91</f>
        <v>1381.90051379218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139.99</v>
      </c>
      <c r="B151" s="136" t="n">
        <f aca="false">(A148+B148+D148+A151)*(A143/B64)</f>
        <v>0</v>
      </c>
      <c r="C151" s="136"/>
      <c r="D151" s="136" t="n">
        <f aca="false">(A148+B148+D148+A151)-B151</f>
        <v>1104.74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1189.86736688544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984.491094073066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1381.90051379218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0</v>
      </c>
      <c r="C177" s="162"/>
      <c r="D177" s="160" t="n">
        <f aca="false">B91</f>
        <v>1381.90051379218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12437.1046241296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12437.1046241296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0</v>
      </c>
      <c r="C186" s="31"/>
      <c r="D186" s="164" t="n">
        <f aca="false">B91</f>
        <v>1381.90051379218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1104.74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B67*1.2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n">
        <v>0.01</v>
      </c>
      <c r="C47" s="451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349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350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0.0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56" t="n">
        <v>0.0</v>
      </c>
      <c r="C4" s="456" t="n">
        <v>0.0</v>
      </c>
      <c r="D4" s="456" t="n">
        <v>0.0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353</v>
      </c>
      <c r="C38" s="40"/>
      <c r="D38" s="45" t="n">
        <v>500.0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350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351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10000.0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0.0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0.0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0.0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7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1000.0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239.99</v>
      </c>
      <c r="B102" s="113" t="n">
        <v>0.0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353</v>
      </c>
      <c r="B105" s="110" t="n">
        <v>0.0</v>
      </c>
      <c r="C105" s="110"/>
      <c r="D105" s="113" t="s">
        <v>354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352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10000.0</v>
      </c>
      <c r="E112" s="113" t="n">
        <v>6000.0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2000.0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8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8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8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0.0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0.0</v>
      </c>
      <c r="C4" s="442" t="n">
        <v>0.0</v>
      </c>
      <c r="D4" s="442" t="n">
        <v>0.0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352</v>
      </c>
      <c r="C38" s="40"/>
      <c r="D38" s="45" t="n">
        <v>500.0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1.0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350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351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0.0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0.0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0.0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IF(B110="YES",((B85+B86)-A151-E114),((B85+B86)-A151))</f>
        <v>10714.8042718838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7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892.900355990319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892.900355990319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1000.0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352</v>
      </c>
      <c r="B105" s="110" t="n">
        <v>20.0</v>
      </c>
      <c r="C105" s="110"/>
      <c r="D105" s="113" t="n">
        <v>200.0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353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892.900355990319</v>
      </c>
      <c r="B128" s="120" t="n">
        <f aca="false">IF(A105="YES", B89, 0)</f>
        <v>0</v>
      </c>
      <c r="C128" s="191"/>
      <c r="D128" s="120" t="n">
        <f aca="false">B91</f>
        <v>892.900355990319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8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8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892.900355990319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8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892.900355990319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892.900355990319</v>
      </c>
      <c r="B137" s="136" t="n">
        <f aca="false">IF(A105="YES", B89, 0)</f>
        <v>0</v>
      </c>
      <c r="C137" s="13"/>
      <c r="D137" s="136" t="n">
        <f aca="false">B91</f>
        <v>892.900355990319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892.900355990319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892.900355990319</v>
      </c>
      <c r="B171" s="160" t="n">
        <f aca="false">IF(A105="YES", B89, 0)</f>
        <v>0</v>
      </c>
      <c r="C171" s="192"/>
      <c r="D171" s="160" t="n">
        <f aca="false">B91</f>
        <v>892.900355990319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Monthly in advance</v>
      </c>
      <c r="B174" s="164" t="n">
        <f aca="false">B90*B57</f>
        <v>892.900355990319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892.900355990319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892.900355990319</v>
      </c>
      <c r="B180" s="164" t="n">
        <f aca="false">IF(A105="YES", B89, 0)</f>
        <v>0</v>
      </c>
      <c r="C180" s="31"/>
      <c r="D180" s="164" t="n">
        <f aca="false">B91</f>
        <v>892.900355990319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G24" activeCellId="0" sqref="G24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16790</v>
      </c>
      <c r="C3" s="197" t="n">
        <v>500</v>
      </c>
      <c r="D3" s="196" t="n">
        <v>0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16790</v>
      </c>
      <c r="C7" s="201" t="n">
        <f aca="false">C3-C6</f>
        <v>500</v>
      </c>
      <c r="D7" s="201" t="n">
        <f aca="false">D3-D6</f>
        <v>0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-804.010323605321</v>
      </c>
      <c r="H8" s="171"/>
      <c r="I8" s="15" t="s">
        <v>10</v>
      </c>
      <c r="J8" s="16" t="n">
        <f aca="false">E13+E14</f>
        <v>330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17290</v>
      </c>
      <c r="F9" s="171"/>
      <c r="G9" s="202" t="n">
        <f aca="false">E9-G11</f>
        <v>-134993.333333333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496.37</v>
      </c>
      <c r="F10" s="171"/>
      <c r="G10" s="202"/>
      <c r="H10" s="171"/>
      <c r="I10" s="20" t="s">
        <v>13</v>
      </c>
      <c r="J10" s="16" t="n">
        <f aca="false">E15-E11-J8</f>
        <v>17786.37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3557.274</v>
      </c>
      <c r="F11" s="171"/>
      <c r="G11" s="202" t="n">
        <f aca="false">G13/1.2</f>
        <v>152283.333333333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275</v>
      </c>
      <c r="F13" s="171"/>
      <c r="G13" s="202" t="n">
        <f aca="false">G15-E14-E13-E12</f>
        <v>182740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21673.644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21343.644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21343.644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21673.644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10675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331.995307787649</v>
      </c>
      <c r="E33" s="204"/>
      <c r="F33" s="171"/>
      <c r="G33" s="215" t="s">
        <v>221</v>
      </c>
      <c r="H33" s="221" t="n">
        <f aca="false">E21-E11+((E16*20%)+(E19*20%)+(E20*20%))</f>
        <v>18116.37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331.995307787649</v>
      </c>
      <c r="B36" s="164" t="str">
        <f aca="false">IF(B26="YES", H42, "")</f>
        <v/>
      </c>
      <c r="C36" s="224"/>
      <c r="D36" s="140" t="n">
        <f aca="false">H31</f>
        <v>10675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18116.37</v>
      </c>
      <c r="I39" s="226" t="n">
        <f aca="false">(I48*H46)+H44</f>
        <v>52962.6812002541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10675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8895.83333333333</v>
      </c>
      <c r="I40" s="226" t="n">
        <f aca="false">H39-I39</f>
        <v>-34846.3112002541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7284.19679275689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10832.1732072431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331.995307787649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331.995307787649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331.995307787649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21343.644</v>
      </c>
      <c r="C61" s="203"/>
      <c r="D61" s="203"/>
      <c r="E61" s="204"/>
      <c r="F61" s="171"/>
      <c r="G61" s="195" t="s">
        <v>23</v>
      </c>
      <c r="H61" s="201" t="n">
        <f aca="false">G18</f>
        <v>21343.644</v>
      </c>
      <c r="I61" s="203"/>
      <c r="J61" s="203"/>
      <c r="K61" s="204"/>
      <c r="L61" s="171"/>
      <c r="M61" s="195" t="s">
        <v>23</v>
      </c>
      <c r="N61" s="201" t="n">
        <f aca="false">G18</f>
        <v>21343.644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2241.08262</v>
      </c>
      <c r="C64" s="246" t="n">
        <v>10000</v>
      </c>
      <c r="D64" s="201" t="n">
        <f aca="false">B64</f>
        <v>2241.08262</v>
      </c>
      <c r="E64" s="247" t="n">
        <f aca="false">D64/(B58+B57)</f>
        <v>62.252295</v>
      </c>
      <c r="F64" s="171"/>
      <c r="G64" s="234" t="s">
        <v>88</v>
      </c>
      <c r="H64" s="245" t="n">
        <f aca="false">H61*H63</f>
        <v>2241.08262</v>
      </c>
      <c r="I64" s="203"/>
      <c r="J64" s="201" t="n">
        <f aca="false">H64-G145</f>
        <v>2241.08262</v>
      </c>
      <c r="K64" s="204"/>
      <c r="L64" s="171"/>
      <c r="M64" s="234" t="s">
        <v>88</v>
      </c>
      <c r="N64" s="245" t="n">
        <f aca="false">N61*N63</f>
        <v>2241.08262</v>
      </c>
      <c r="O64" s="203"/>
      <c r="P64" s="201" t="n">
        <f aca="false">N64-M145</f>
        <v>2241.08262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426.87288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355.7274</v>
      </c>
      <c r="I67" s="203"/>
      <c r="J67" s="201"/>
      <c r="K67" s="204"/>
      <c r="L67" s="171"/>
      <c r="M67" s="234" t="s">
        <v>91</v>
      </c>
      <c r="N67" s="245" t="n">
        <f aca="false">(N61*N66)/1.2</f>
        <v>355.7274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21.6666666666667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3021.08262</v>
      </c>
      <c r="C81" s="265"/>
      <c r="D81" s="270"/>
      <c r="E81" s="247"/>
      <c r="F81" s="171"/>
      <c r="G81" s="268" t="s">
        <v>106</v>
      </c>
      <c r="H81" s="269" t="n">
        <f aca="false">SUM(J64:J80)</f>
        <v>3306.83262</v>
      </c>
      <c r="I81" s="203"/>
      <c r="J81" s="203"/>
      <c r="K81" s="204"/>
      <c r="L81" s="171"/>
      <c r="M81" s="268" t="s">
        <v>106</v>
      </c>
      <c r="N81" s="269" t="n">
        <f aca="false">SUM(P64:P80)</f>
        <v>2963.08262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83.9189616666667</v>
      </c>
      <c r="C82" s="265"/>
      <c r="D82" s="203"/>
      <c r="E82" s="247"/>
      <c r="F82" s="171"/>
      <c r="G82" s="195" t="s">
        <v>107</v>
      </c>
      <c r="H82" s="200" t="n">
        <f aca="false">H81/H29</f>
        <v>91.8564616666667</v>
      </c>
      <c r="I82" s="203"/>
      <c r="J82" s="203"/>
      <c r="K82" s="204"/>
      <c r="L82" s="171"/>
      <c r="M82" s="195" t="s">
        <v>107</v>
      </c>
      <c r="N82" s="200" t="n">
        <f aca="false">N81/H29</f>
        <v>82.3078505555555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331.995307787649</v>
      </c>
      <c r="C83" s="265"/>
      <c r="D83" s="203"/>
      <c r="E83" s="247" t="n">
        <f aca="false">B83+E80+E77+E64</f>
        <v>415.914269454316</v>
      </c>
      <c r="F83" s="171"/>
      <c r="G83" s="271" t="s">
        <v>108</v>
      </c>
      <c r="H83" s="272" t="n">
        <f aca="false">H47</f>
        <v>331.995307787649</v>
      </c>
      <c r="I83" s="203"/>
      <c r="J83" s="203"/>
      <c r="K83" s="204"/>
      <c r="L83" s="171"/>
      <c r="M83" s="271" t="s">
        <v>108</v>
      </c>
      <c r="N83" s="272" t="n">
        <f aca="false">H47</f>
        <v>331.995307787649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14972.9137003554</v>
      </c>
      <c r="C85" s="265"/>
      <c r="D85" s="265"/>
      <c r="E85" s="247" t="n">
        <f aca="false">B85/(B58+B57)</f>
        <v>415.914269454316</v>
      </c>
      <c r="F85" s="171"/>
      <c r="G85" s="228" t="s">
        <v>109</v>
      </c>
      <c r="H85" s="264" t="n">
        <f aca="false">((H83*H29)+H81)*1.2</f>
        <v>18310.3964404264</v>
      </c>
      <c r="I85" s="203"/>
      <c r="J85" s="203"/>
      <c r="K85" s="204"/>
      <c r="L85" s="171"/>
      <c r="M85" s="228" t="s">
        <v>109</v>
      </c>
      <c r="N85" s="264" t="n">
        <f aca="false">((N83*H29)+N81)</f>
        <v>14914.9137003554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126.837913556863</v>
      </c>
      <c r="C86" s="265" t="s">
        <v>211</v>
      </c>
      <c r="D86" s="203"/>
      <c r="E86" s="247" t="n">
        <f aca="false">B86/(B58+B57)</f>
        <v>3.52327537657952</v>
      </c>
      <c r="F86" s="171"/>
      <c r="G86" s="195" t="s">
        <v>110</v>
      </c>
      <c r="H86" s="200" t="n">
        <f aca="false">((((H83*H29)+H81))/(1-H70))*H70</f>
        <v>129.25854687675</v>
      </c>
      <c r="I86" s="203"/>
      <c r="J86" s="203"/>
      <c r="K86" s="204"/>
      <c r="L86" s="171"/>
      <c r="M86" s="195" t="s">
        <v>110</v>
      </c>
      <c r="N86" s="200" t="n">
        <f aca="false">(N85/(1-N70))*N70</f>
        <v>126.346586408819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15099.7516139122</v>
      </c>
      <c r="C87" s="265"/>
      <c r="D87" s="273"/>
      <c r="E87" s="247" t="n">
        <f aca="false">E86+E85</f>
        <v>419.437544830895</v>
      </c>
      <c r="F87" s="171"/>
      <c r="G87" s="234" t="s">
        <v>111</v>
      </c>
      <c r="H87" s="245" t="n">
        <f aca="false">IF(H110="YES",((H85+H86)-K114),(H85+H86))</f>
        <v>18439.6549873032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15041.2602867642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0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419.437544830895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449.747682617151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366.860006994248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419.437544830895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449.747682617151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366.860006994248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0.2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449.747682617151</v>
      </c>
      <c r="H127" s="286" t="n">
        <f aca="false">IF(G105="YES", H89*H57, 0)</f>
        <v>0</v>
      </c>
      <c r="I127" s="286"/>
      <c r="J127" s="134" t="n">
        <f aca="false">H91</f>
        <v>449.747682617151</v>
      </c>
      <c r="K127" s="204"/>
      <c r="L127" s="171"/>
      <c r="M127" s="132" t="n">
        <f aca="false">N90</f>
        <v>366.860006994248</v>
      </c>
      <c r="N127" s="286" t="n">
        <f aca="false">IF(M105="YES", N89*N57, 0)</f>
        <v>0</v>
      </c>
      <c r="O127" s="286"/>
      <c r="P127" s="286" t="n">
        <f aca="false">N91</f>
        <v>366.860006994248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419.437544830895</v>
      </c>
      <c r="B128" s="120" t="n">
        <f aca="false">IF(A105="YES", B89, 0)</f>
        <v>0</v>
      </c>
      <c r="C128" s="125"/>
      <c r="D128" s="120" t="n">
        <f aca="false">B91</f>
        <v>419.437544830895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419.437544830895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2698.48609570291</v>
      </c>
      <c r="H133" s="164" t="n">
        <f aca="false">IF(G105="YES", H89*H57, 0)</f>
        <v>0</v>
      </c>
      <c r="I133" s="224"/>
      <c r="J133" s="140" t="n">
        <f aca="false">H91*H57</f>
        <v>2698.48609570291</v>
      </c>
      <c r="K133" s="204"/>
      <c r="L133" s="171"/>
      <c r="M133" s="139" t="n">
        <f aca="false">N90*N57</f>
        <v>2201.16004196549</v>
      </c>
      <c r="N133" s="164" t="n">
        <f aca="false">IF(M105="YES", N89*N57, 0)</f>
        <v>0</v>
      </c>
      <c r="O133" s="224"/>
      <c r="P133" s="140" t="n">
        <f aca="false">N91*N57</f>
        <v>2201.16004196549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419.437544830895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0.130041864</v>
      </c>
      <c r="H136" s="164" t="n">
        <f aca="false">IF(G105="YES", E15*0.000002, 0)</f>
        <v>0.043347288</v>
      </c>
      <c r="I136" s="164"/>
      <c r="J136" s="164" t="n">
        <f aca="false">G136+H136</f>
        <v>0.173389152</v>
      </c>
      <c r="K136" s="146"/>
      <c r="L136" s="171"/>
      <c r="M136" s="141" t="n">
        <f aca="false">E15*0.000006</f>
        <v>0.130041864</v>
      </c>
      <c r="N136" s="164" t="n">
        <f aca="false">IF(M105="YES", E15*0.000002, 0)</f>
        <v>0.043347288</v>
      </c>
      <c r="O136" s="164"/>
      <c r="P136" s="164" t="n">
        <f aca="false">M136+N136</f>
        <v>0.173389152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419.437544830895</v>
      </c>
      <c r="B137" s="136" t="n">
        <f aca="false">IF(A105="YES", B89, 0)</f>
        <v>0</v>
      </c>
      <c r="C137" s="13"/>
      <c r="D137" s="136" t="n">
        <f aca="false">B91</f>
        <v>419.437544830895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355.7274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355.7274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15.36742368</v>
      </c>
      <c r="B140" s="150" t="n">
        <f aca="false">IF(A105="YES", G18*0.000002, 0)*1.2*100</f>
        <v>5.12247456</v>
      </c>
      <c r="C140" s="13"/>
      <c r="D140" s="150" t="n">
        <f aca="false">A140+B140</f>
        <v>20.48989824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426.87288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526.86288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449.747682617151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366.860006994248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419.437544830895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419.437544830895</v>
      </c>
      <c r="B177" s="160" t="n">
        <f aca="false">IF(A105="YES", B89, 0)</f>
        <v>0</v>
      </c>
      <c r="C177" s="162"/>
      <c r="D177" s="160" t="n">
        <f aca="false">B91</f>
        <v>419.437544830895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419.437544830895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419.437544830895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419.437544830895</v>
      </c>
      <c r="B186" s="164" t="n">
        <f aca="false">IF(A105="YES", B89, 0)</f>
        <v>0</v>
      </c>
      <c r="C186" s="31"/>
      <c r="D186" s="164" t="n">
        <f aca="false">B91</f>
        <v>419.437544830895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15.36742368</v>
      </c>
      <c r="B189" s="170" t="n">
        <f aca="false">IF(A105="YES", G18*0.000002, 0)*1.2*100</f>
        <v>5.12247456</v>
      </c>
      <c r="C189" s="31"/>
      <c r="D189" s="170" t="n">
        <f aca="false">A189+B189</f>
        <v>20.48989824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426.87288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526.86288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2241.08262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426.87288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1914.19974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2241.08262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426.87288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1914.19974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126.837913556863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0" sqref="H36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42" activeCellId="0" sqref="A4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0.0105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52744.1367693228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0.0995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0.00829166666666667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28.7667323446291</v>
      </c>
      <c r="C87" s="402" t="n">
        <f aca="false">((1-(1/((1+B84)^B85)))/B84)</f>
        <v>28.7667323446291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1664.33571343528</v>
      </c>
      <c r="C89" s="402" t="n">
        <f aca="false">(B88/B87)</f>
        <v>1664.33571343528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54923.0785433642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54923.0785433642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1664.33571343528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1684.84480434437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338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0.0995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1664.33571343528</v>
      </c>
      <c r="B167" s="286" t="n">
        <f aca="false">B94</f>
        <v>20.5090909090909</v>
      </c>
      <c r="C167" s="439"/>
      <c r="D167" s="439"/>
      <c r="E167" s="286" t="n">
        <f aca="false">B96</f>
        <v>1684.84480434437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1684.84480434437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339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2023-01-20T11:04:23Z</dcterms:modified>
  <cp:revision>388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