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HirePurchaseNonRegulated" sheetId="15" state="visible" r:id="rId16"/>
    <sheet name="HirePurchaseRegulated" sheetId="16" state="visible" r:id="rId17"/>
    <sheet name="PersonalContractPurchase" sheetId="17" state="visible" r:id="rId18"/>
    <sheet name="ContractPurchase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<sst xmlns="http://schemas.openxmlformats.org/spreadsheetml/2006/main" count="10842" uniqueCount="386">
  <si>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</si>
  <si>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</si>
  <si>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</si>
  <si>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</si>
  <si>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</si>
  <si>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</si>
  <si>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</si>
  <si>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</si>
  <si>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</si>
  <si>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</si>
  <si>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</si>
  <si>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</si>
  <si>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</si>
  <si>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</si>
  <si>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</si>
  <si>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</si>
  <si>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</si>
  <si>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</si>
  <si>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</si>
  <si>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</si>
  <si>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</si>
  <si>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</si>
  <si>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</si>
  <si>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</si>
  <si>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</si>
  <si>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</si>
  <si>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</si>
  <si>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</si>
  <si>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</si>
  <si>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</si>
  <si>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</si>
  <si>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</si>
  <si>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</si>
  <si>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</si>
  <si>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</si>
  <si>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</si>
  <si>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</si>
  <si>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</si>
  <si>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</si>
  <si>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</si>
  <si>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</si>
  <si>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</si>
  <si>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</si>
  <si>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</si>
  <si>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</si>
  <si>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</si>
  <si>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</si>
  <si>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</si>
  <si>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</si>
  <si>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</si>
  <si>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</si>
  <si>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</si>
  <si>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</si>
  <si>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</si>
  <si>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</si>
  <si>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</si>
  <si>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</si>
  <si>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</si>
  <si>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</si>
  <si>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</si>
  <si>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</si>
  <si>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</si>
  <si>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</si>
  <si>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</si>
  <si>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</si>
  <si>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</si>
  <si>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</si>
  <si>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</si>
  <si>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</si>
  <si>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</si>
  <si>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</si>
  <si>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</si>
  <si>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</si>
  <si>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</si>
  <si>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</si>
  <si>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</si>
  <si>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</si>
  <si>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</si>
  <si>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</si>
  <si>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</si>
  <si>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</si>
  <si>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</si>
  <si>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</si>
  <si>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</si>
  <si>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</si>
  <si>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</si>
  <si>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</si>
  <si>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</si>
  <si>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</si>
  <si>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</si>
  <si>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</si>
  <si>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</si>
  <si>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</si>
  <si>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</si>
  <si>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</si>
  <si>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</si>
  <si>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</si>
  <si>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</si>
  <si>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</si>
  <si>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</si>
  <si>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</si>
  <si>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</si>
  <si>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</si>
  <si>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</si>
  <si>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</si>
  <si>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</si>
  <si>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</si>
  <si>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</si>
  <si>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</si>
  <si>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</si>
  <si>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</si>
  <si>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</si>
  <si>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</si>
  <si>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</si>
  <si>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</si>
  <si>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</si>
  <si>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</si>
  <si>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</si>
  <si>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</si>
  <si>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</si>
  <si>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</si>
  <si>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</si>
  <si>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</si>
  <si>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</si>
  <si>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</si>
  <si>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</si>
  <si>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</si>
  <si>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</si>
  <si>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</si>
  <si>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</si>
  <si>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</si>
  <si>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</si>
  <si>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</si>
  <si>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</si>
  <si>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</si>
  <si>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</si>
  <si>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</si>
  <si>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</si>
  <si>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</si>
  <si>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</si>
  <si>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</si>
  <si>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</si>
  <si>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</si>
  <si>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</si>
  <si>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</si>
  <si>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</si>
  <si>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</si>
  <si>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</si>
  <si>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</si>
  <si>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</si>
  <si>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</si>
  <si>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</si>
  <si>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</si>
  <si>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</si>
  <si>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</si>
  <si>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</si>
  <si>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</si>
  <si>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</si>
  <si>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</si>
  <si>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</si>
  <si>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</si>
  <si>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</si>
  <si>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</si>
  <si>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</si>
  <si>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</si>
  <si>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</si>
  <si>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</si>
  <si>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</si>
  <si>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</si>
  <si>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</si>
  <si>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</si>
  <si>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</si>
  <si>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</si>
  <si>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</si>
  <si>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</si>
  <si>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</si>
  <si>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</si>
  <si>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</si>
  <si>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</si>
  <si>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</si>
  <si>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</si>
  <si>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</si>
  <si>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</si>
  <si>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</si>
  <si>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</si>
  <si>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</si>
  <si>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</si>
  <si>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</si>
  <si>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</si>
  <si>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</si>
  <si>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</si>
  <si>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</si>
  <si>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</si>
  <si>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</si>
  <si>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</si>
  <si>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</si>
  <si>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</si>
  <si>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</si>
  <si>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</si>
  <si>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</si>
  <si>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</si>
  <si>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</si>
  <si>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</si>
  <si>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</si>
  <si>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</si>
  <si>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</si>
  <si>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</si>
  <si>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</si>
  <si>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</si>
  <si>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</si>
  <si>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</si>
  <si>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</si>
  <si>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</si>
  <si>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</si>
  <si>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</si>
  <si>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</si>
  <si>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</si>
  <si>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</si>
  <si>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</si>
  <si>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</si>
  <si>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</si>
  <si>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</si>
  <si>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</si>
  <si>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</si>
  <si>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</si>
  <si>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</si>
  <si>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</si>
  <si>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</si>
  <si>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</si>
  <si>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</si>
  <si>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</si>
  <si>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</si>
  <si>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</si>
  <si>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</si>
  <si>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</si>
  <si>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</si>
  <si>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</si>
  <si>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</si>
  <si>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</si>
  <si>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</si>
  <si>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</si>
  <si>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</si>
  <si>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</si>
  <si>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</si>
  <si>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</si>
  <si>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</si>
  <si>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</si>
  <si>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</si>
  <si>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</si>
  <si>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</si>
  <si>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</si>
  <si>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</si>
  <si>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</si>
  <si>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</si>
  <si>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</si>
  <si>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</si>
  <si>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</si>
  <si>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</si>
  <si>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</si>
  <si>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</si>
  <si>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</si>
  <si>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</si>
  <si>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</si>
  <si>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</si>
  <si>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</si>
  <si>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</si>
  <si>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</si>
  <si>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</si>
  <si>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</si>
  <si>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</si>
  <si>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</si>
  <si>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</si>
  <si>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</si>
  <si>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</si>
  <si>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</si>
  <si>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</si>
  <si>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</si>
  <si>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</si>
  <si>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</si>
  <si>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</si>
  <si>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</si>
  <si>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</si>
  <si>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</si>
  <si>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</si>
  <si>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</si>
  <si>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</si>
  <si>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</si>
  <si>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</si>
  <si>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</si>
  <si>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</si>
  <si>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</si>
  <si>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</si>
  <si>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</si>
  <si>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</si>
  <si>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</si>
  <si>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</si>
  <si>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</si>
  <si>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</si>
  <si>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</si>
  <si>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</si>
  <si>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</si>
  <si>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</si>
  <si>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</si>
  <si>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</si>
  <si>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</si>
  <si>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</si>
  <si>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</si>
  <si>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</si>
  <si>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</si>
  <si>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</si>
  <si>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</si>
  <si>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</si>
  <si>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</si>
  <si>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</si>
  <si>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</si>
  <si>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</si>
  <si>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</si>
  <si>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</si>
  <si>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</si>
  <si>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</si>
  <si>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</si>
  <si>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</si>
  <si>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</si>
  <si>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</si>
  <si>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</si>
  <si>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</si>
  <si>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</si>
  <si>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</si>
  <si>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</si>
  <si>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</si>
  <si>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</si>
  <si>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</si>
  <si>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</si>
  <si>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</si>
  <si>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</si>
  <si>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</si>
  <si>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</si>
  <si>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</si>
  <si>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</si>
  <si>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</si>
  <si>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</si>
  <si>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</si>
  <si>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</si>
  <si>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</si>
  <si>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</si>
  <si>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</si>
  <si>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</si>
  <si>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</si>
  <si>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</si>
  <si>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</si>
  <si>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630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</si>
  <si>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</si>
  <si>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</si>
  <si>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</si>
  <si>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</si>
  <si>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</si>
  <si>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</si>
  <si>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</si>
  <si>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</si>
  <si>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</si>
  <si>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</si>
  <si>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RFL included?</t>
  </si>
  <si>
    <t xml:space="preserve">Upload document</t>
  </si>
  <si>
    <t xml:space="preserve">`</t>
  </si>
  <si>
    <t>NO</t>
  </si>
  <si>
    <t>YES</t>
  </si>
  <si>
    <t>200</t>
  </si>
  <si>
    <t xml:space="preserve"> Terminal pause with 6 down </t>
  </si>
  <si>
    <t>1000</t>
  </si>
  <si>
    <t>12</t>
  </si>
  <si>
    <t>500</t>
  </si>
  <si>
    <t>6000</t>
  </si>
  <si>
    <t>20</t>
  </si>
  <si>
    <t>50</t>
  </si>
  <si>
    <t>10</t>
  </si>
  <si>
    <t>48877.50</t>
  </si>
  <si>
    <t>33</t>
  </si>
  <si>
    <t>5000</t>
  </si>
  <si>
    <t>470.00</t>
  </si>
  <si>
    <t>630</t>
  </si>
  <si>
    <t>0</t>
  </si>
  <si>
    <t>100</t>
  </si>
  <si>
    <t>A1 Credit</t>
  </si>
  <si>
    <t>199.99</t>
  </si>
  <si>
    <t>Limited Credit</t>
  </si>
  <si>
    <t>239.99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</si>
</sst>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8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44960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7" colorId="64" zoomScale="75" zoomScaleNormal="75" zoomScalePageLayoutView="100" workbookViewId="0">
      <selection pane="topLeft" activeCell="D198" activeCellId="0" sqref="D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true" showOutlineSymbols="true" defaultGridColor="true" view="normal" topLeftCell="D213" colorId="64" zoomScale="75" zoomScaleNormal="75" zoomScalePageLayoutView="100" workbookViewId="0">
      <selection pane="topLeft" activeCell="E189" activeCellId="0" sqref="E189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375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368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376</v>
      </c>
      <c r="C35" s="40"/>
      <c r="D35" s="40" t="s">
        <v>377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378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365</v>
      </c>
      <c r="C38" s="40"/>
      <c r="D38" s="45" t="s">
        <v>370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369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0.0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0.0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0.0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0.0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0.0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0.0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364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384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365</v>
      </c>
      <c r="B111" s="113" t="n">
        <v>0.0</v>
      </c>
      <c r="C111" s="113"/>
      <c r="D111" s="113"/>
      <c r="E111" s="113" t="n">
        <v>0.0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0.0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54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(A41*A108)*0.1</f>
        <v>0.284848484848485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220.118606818182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17.0909090909091</v>
      </c>
      <c r="C212" s="439"/>
      <c r="D212" s="439"/>
      <c r="E212" s="286" t="n">
        <f aca="false">E167</f>
        <v>1766.51515105796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17.0909090909091</v>
      </c>
      <c r="C230" s="441"/>
      <c r="D230" s="441"/>
      <c r="E230" s="164" t="n">
        <f aca="false">E167</f>
        <v>1766.51515105796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0.284848484848485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-589.242641515152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A157" activeCellId="0" sqref="A15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346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347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72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639.899522656985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349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20</v>
      </c>
      <c r="C111" s="114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91"/>
      <c r="D134" s="120" t="n">
        <f aca="false">B97</f>
        <v>639.899522656985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5111.09570391287</v>
      </c>
      <c r="C137" s="13"/>
      <c r="D137" s="136" t="n">
        <f aca="false">IF(A111="YES", B95*B63, 0)</f>
        <v>648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5759.09570391287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72</v>
      </c>
      <c r="C143" s="13"/>
      <c r="D143" s="136" t="n">
        <f aca="false">B97</f>
        <v>639.899522656985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28.8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707.64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72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5111.09570391287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5759.09570391287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72</v>
      </c>
      <c r="C186" s="31"/>
      <c r="D186" s="164" t="n">
        <f aca="false">B97</f>
        <v>639.899522656985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2.88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707.64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128.79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3601.89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3601.89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28.8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3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72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822.995946282103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20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91"/>
      <c r="D134" s="120" t="n">
        <f aca="false">B97</f>
        <v>822.995946282103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648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7406.96351653893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72</v>
      </c>
      <c r="C143" s="13"/>
      <c r="D143" s="136" t="n">
        <f aca="false">B97</f>
        <v>822.995946282103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2.88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681.721666666667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72</v>
      </c>
      <c r="C177" s="192"/>
      <c r="D177" s="160" t="n">
        <f aca="false">B97</f>
        <v>822.995946282103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7406.96351653893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72</v>
      </c>
      <c r="C186" s="31"/>
      <c r="D186" s="164" t="n">
        <f aca="false">B97</f>
        <v>822.995946282103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2.88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681.721666666667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128.791666666667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3601.89166666667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3601.89166666667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28.8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348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s">
        <v>348</v>
      </c>
      <c r="C47" s="455"/>
      <c r="D47" s="45" t="s">
        <v>348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631.541224059881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20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60</v>
      </c>
      <c r="C134" s="191"/>
      <c r="D134" s="120" t="n">
        <f aca="false">B97</f>
        <v>631.541224059881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540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5683.87101653893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60</v>
      </c>
      <c r="C143" s="13"/>
      <c r="D143" s="136" t="n">
        <f aca="false">B97</f>
        <v>631.541224059881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28.8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707.64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540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5683.87101653893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60</v>
      </c>
      <c r="C186" s="31"/>
      <c r="D186" s="164" t="n">
        <f aca="false">B97</f>
        <v>631.541224059881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2.88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707.64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128.79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3601.89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3601.89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28.8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68" activeCellId="0" sqref="B6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685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  <c r="K10" s="288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58570</v>
      </c>
      <c r="I15" s="53"/>
      <c r="J15" s="22" t="n">
        <f aca="false">H15</f>
        <v>58570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58570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364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380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952.91118080158</v>
      </c>
      <c r="F33" s="52"/>
      <c r="G33" s="52"/>
      <c r="H33" s="318"/>
      <c r="I33" s="53"/>
      <c r="J33" s="35" t="s">
        <v>221</v>
      </c>
      <c r="K33" s="50" t="n">
        <f aca="false">H21-H11+(H16*20%)</f>
        <v>48922.5</v>
      </c>
      <c r="L33" s="288" t="n">
        <f aca="false">H21-H11+(H16*20%)</f>
        <v>48922.5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924.300069690469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48922.5</v>
      </c>
      <c r="L39" s="53" t="n">
        <f aca="false">(L47*K46)+K44</f>
        <v>43933.392151445</v>
      </c>
      <c r="N39" s="288" t="n">
        <f aca="false">K39-L39</f>
        <v>4989.10784855496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4989.10784855496</v>
      </c>
      <c r="N40" s="288" t="n">
        <f aca="false">N38-N39</f>
        <v>-2077.42784855496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351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7" t="s">
        <v>381</v>
      </c>
      <c r="B45" s="402"/>
      <c r="C45" s="325" t="s">
        <v>381</v>
      </c>
      <c r="D45" s="325"/>
      <c r="E45" s="325"/>
      <c r="F45" s="402"/>
      <c r="G45" s="402"/>
      <c r="H45" s="11"/>
      <c r="J45" s="53" t="s">
        <v>352</v>
      </c>
      <c r="K45" s="53" t="n">
        <f aca="false">(K39-K44)</f>
        <v>30157.5902294319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353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924.300069690469</v>
      </c>
      <c r="L47" s="53" t="n">
        <f aca="false">L49-K42</f>
        <v>771.388888888889</v>
      </c>
      <c r="M47" s="288" t="n">
        <f aca="false">K47-L47</f>
        <v>152.91118080158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952.91118080158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952.91118080158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0.05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9433.13294973987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18492.9464939378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-751.363582001359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-751.363582001359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488.083333333333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455.13749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924.300069690469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924.300069690469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952.91118080158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952.91118080158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58570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37700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45513.749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45513.749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37493.2347422869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37700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26910.8831902377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26910.8831902377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1220.22672738848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1479.07854293699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929.241112195872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929.241112195872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42707.9354585967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53246.8275457316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32523.4389268555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32523.4389268555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42707.9354585967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53246.8275457316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32523.4389268555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32523.4389268555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1220.22672738848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1479.07854293699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929.241112195872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929.241112195872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1255.54101310276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1523.71187627032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964.555397910157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971.618255053015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8" t="s">
        <v>364</v>
      </c>
      <c r="F105" s="458"/>
      <c r="G105" s="458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382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0</v>
      </c>
      <c r="B114" s="113" t="s">
        <v>383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0.0</v>
      </c>
      <c r="D122" s="433" t="n">
        <f aca="false">D4</f>
        <v>0</v>
      </c>
      <c r="E122" s="400" t="n">
        <v>0.0</v>
      </c>
      <c r="F122" s="433" t="n">
        <f aca="false">F4</f>
        <v>0</v>
      </c>
      <c r="G122" s="434" t="n">
        <v>0.0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-1000.0</v>
      </c>
      <c r="D123" s="435" t="n">
        <f aca="false">D5</f>
        <v>0</v>
      </c>
      <c r="E123" s="432" t="n">
        <v>0.0</v>
      </c>
      <c r="F123" s="435" t="n">
        <f aca="false">F5</f>
        <v>0</v>
      </c>
      <c r="G123" s="432" t="n">
        <v>0.0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47687.5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9647.5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str">
        <f aca="false">H13</f>
        <v>630</v>
      </c>
      <c r="H139" s="11" t="str">
        <f aca="false">G139</f>
        <v>630</v>
      </c>
      <c r="J139" s="301" t="s">
        <v>16</v>
      </c>
      <c r="K139" s="301"/>
      <c r="L139" s="301"/>
      <c r="M139" s="301"/>
      <c r="N139" s="301"/>
      <c r="O139" s="301"/>
      <c r="P139" s="43" t="str">
        <f aca="false">H13</f>
        <v>630</v>
      </c>
      <c r="Q139" s="11" t="str">
        <f aca="false">P139</f>
        <v>630</v>
      </c>
      <c r="S139" s="301" t="s">
        <v>16</v>
      </c>
      <c r="T139" s="301"/>
      <c r="U139" s="301"/>
      <c r="V139" s="301"/>
      <c r="W139" s="301"/>
      <c r="X139" s="301"/>
      <c r="Y139" s="43" t="str">
        <f aca="false">H13</f>
        <v>630</v>
      </c>
      <c r="Z139" s="11" t="str">
        <f aca="false">Y139</f>
        <v>630</v>
      </c>
      <c r="AB139" s="301" t="s">
        <v>16</v>
      </c>
      <c r="AC139" s="301"/>
      <c r="AD139" s="301"/>
      <c r="AE139" s="301"/>
      <c r="AF139" s="301"/>
      <c r="AG139" s="301"/>
      <c r="AH139" s="43" t="str">
        <f aca="false">H13</f>
        <v>630</v>
      </c>
      <c r="AI139" s="11" t="str">
        <f aca="false">AH139</f>
        <v>630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58570</v>
      </c>
      <c r="H141" s="381" t="n">
        <f aca="false">(H135+H136+H139+H140+H137)-H138</f>
        <v>58570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58570</v>
      </c>
      <c r="Q141" s="381" t="n">
        <f aca="false">(Q135+Q136+Q139+Q140+Q137)-Q138</f>
        <v>36700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58570</v>
      </c>
      <c r="Z141" s="381" t="n">
        <f aca="false">(Z135+Z136+Z139+Z140+Z137)-Z138</f>
        <v>44513.749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58570</v>
      </c>
      <c r="AI141" s="381" t="n">
        <f aca="false">(AI135+AI136+AI139+AI140+AI137)-AI138</f>
        <v>44513.749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58570</v>
      </c>
      <c r="H147" s="385" t="n">
        <f aca="false">H141-((H144*1.2)+(H145*1.2)+(H146*1.2)+(H142*1.2))</f>
        <v>58570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58570</v>
      </c>
      <c r="Q147" s="385" t="n">
        <f aca="false">Q141-((Q144*1.2)+(Q145*1.2)+(Q146*1.2)+(Q142*1.2))</f>
        <v>36700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58570</v>
      </c>
      <c r="Z147" s="385" t="n">
        <f aca="false">Z141-((Z144*1.2)+(Z145*1.2)+(Z146*1.2)+(Z142*1.2))</f>
        <v>44513.749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58570</v>
      </c>
      <c r="AI147" s="385" t="n">
        <f aca="false">AI141-((AI144*1.2)+(AI145*1.2)+(AI146*1.2)+(AI142*1.2))</f>
        <v>44513.749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0</v>
      </c>
      <c r="I148" s="288" t="n">
        <f aca="false">(H148-G81)/1.2</f>
        <v>0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2000.0</v>
      </c>
      <c r="F152" s="113"/>
      <c r="G152" s="113" t="n">
        <v>1000.0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500.0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58570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37700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45513.749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45513.749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454" t="n">
        <f aca="false">B95</f>
        <v>1220.22672738848</v>
      </c>
      <c r="B167" s="286" t="n">
        <f aca="false">B94</f>
        <v>35.3142857142857</v>
      </c>
      <c r="C167" s="439"/>
      <c r="D167" s="439"/>
      <c r="E167" s="286" t="n">
        <f aca="false">B96</f>
        <v>1255.54101310276</v>
      </c>
      <c r="F167" s="308"/>
      <c r="G167" s="308"/>
      <c r="H167" s="11"/>
      <c r="J167" s="393" t="n">
        <f aca="false">K95</f>
        <v>1479.07854293699</v>
      </c>
      <c r="K167" s="286" t="n">
        <f aca="false">K94</f>
        <v>44.6333333333333</v>
      </c>
      <c r="L167" s="439"/>
      <c r="M167" s="439"/>
      <c r="N167" s="286" t="n">
        <f aca="false">K96</f>
        <v>1523.71187627032</v>
      </c>
      <c r="O167" s="308"/>
      <c r="P167" s="308"/>
      <c r="Q167" s="11"/>
      <c r="S167" s="393" t="n">
        <f aca="false">T95</f>
        <v>929.241112195872</v>
      </c>
      <c r="T167" s="286" t="n">
        <f aca="false">T94</f>
        <v>35.3142857142857</v>
      </c>
      <c r="U167" s="439"/>
      <c r="V167" s="439"/>
      <c r="W167" s="286" t="n">
        <f aca="false">T96</f>
        <v>964.555397910157</v>
      </c>
      <c r="X167" s="308"/>
      <c r="Y167" s="308"/>
      <c r="Z167" s="11"/>
      <c r="AB167" s="393" t="n">
        <f aca="false">AC95</f>
        <v>929.241112195872</v>
      </c>
      <c r="AC167" s="286" t="n">
        <f aca="false">AC94</f>
        <v>42.3771428571428</v>
      </c>
      <c r="AD167" s="439"/>
      <c r="AE167" s="439"/>
      <c r="AF167" s="286" t="n">
        <f aca="false">AC96</f>
        <v>971.618255053015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441"/>
      <c r="D173" s="308"/>
      <c r="E173" s="63" t="n">
        <f aca="false">H139+H140</f>
        <v>685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685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685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685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58570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139" t="n">
        <f aca="false">Q141</f>
        <v>36700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44513.749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44513.749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58570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37700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45513.749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45513.749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11637.9354585967</v>
      </c>
      <c r="B182" s="164" t="str">
        <f aca="false">B114</f>
        <v>199.99</v>
      </c>
      <c r="C182" s="164"/>
      <c r="D182" s="308"/>
      <c r="E182" s="164" t="n">
        <f aca="false">E179+A182+B182+A185</f>
        <v>70417.9254585967</v>
      </c>
      <c r="F182" s="308"/>
      <c r="G182" s="308"/>
      <c r="H182" s="146"/>
      <c r="J182" s="141" t="n">
        <f aca="false">(J167*K59)+N185-N179-J185</f>
        <v>41567.7490027946</v>
      </c>
      <c r="K182" s="164" t="n">
        <f aca="false">K114</f>
        <v>239.99</v>
      </c>
      <c r="L182" s="164"/>
      <c r="M182" s="308"/>
      <c r="N182" s="164" t="n">
        <f aca="false">N179+J182+K182+J185</f>
        <v>79527.7390027946</v>
      </c>
      <c r="O182" s="308"/>
      <c r="P182" s="308"/>
      <c r="Q182" s="146"/>
      <c r="S182" s="141" t="n">
        <f aca="false">(S167*T59)+W185-W179-S185</f>
        <v>14509.6899268555</v>
      </c>
      <c r="T182" s="164" t="n">
        <f aca="false">T114</f>
        <v>199.99</v>
      </c>
      <c r="U182" s="164"/>
      <c r="V182" s="308"/>
      <c r="W182" s="164" t="n">
        <f aca="false">W179+S182+T182+S185</f>
        <v>60233.4289268555</v>
      </c>
      <c r="X182" s="308"/>
      <c r="Y182" s="308"/>
      <c r="Z182" s="146"/>
      <c r="AB182" s="141" t="n">
        <f aca="false">(AB167*AC59)+AF185-AF179-AB185</f>
        <v>14509.6899268555</v>
      </c>
      <c r="AC182" s="164" t="n">
        <f aca="false">AC114</f>
        <v>239.99</v>
      </c>
      <c r="AD182" s="164"/>
      <c r="AE182" s="308"/>
      <c r="AF182" s="164" t="n">
        <f aca="false">AF179+AB182+AC182+AB185</f>
        <v>60273.4289268555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488.083333333333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0.11714</v>
      </c>
      <c r="K188" s="164" t="n">
        <f aca="false">(P158*K67)/1.2</f>
        <v>2356.25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379.281241666667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379.281241666667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608.673333333333</v>
      </c>
      <c r="C191" s="402"/>
      <c r="D191" s="402"/>
      <c r="E191" s="164" t="n">
        <f aca="false">H148</f>
        <v>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3527.14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1499.87124166667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1539.87124166667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1255.54101310276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1523.71187627032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964.555397910157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971.618255053015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1220.22672738848</v>
      </c>
      <c r="B212" s="286" t="n">
        <f aca="false">B167</f>
        <v>35.3142857142857</v>
      </c>
      <c r="C212" s="439"/>
      <c r="D212" s="439"/>
      <c r="E212" s="286" t="n">
        <f aca="false">E167</f>
        <v>1255.54101310276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441"/>
      <c r="D215" s="421"/>
      <c r="E215" s="63" t="n">
        <f aca="false">E173</f>
        <v>685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58570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58570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11637.9354585967</v>
      </c>
      <c r="B224" s="164" t="str">
        <f aca="false">B182</f>
        <v>199.99</v>
      </c>
      <c r="C224" s="164"/>
      <c r="D224" s="421"/>
      <c r="E224" s="164" t="n">
        <f aca="false">E182</f>
        <v>70417.9254585967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1220.22672738848</v>
      </c>
      <c r="B230" s="164" t="n">
        <f aca="false">B167</f>
        <v>35.3142857142857</v>
      </c>
      <c r="C230" s="441"/>
      <c r="D230" s="441"/>
      <c r="E230" s="164" t="n">
        <f aca="false">E167</f>
        <v>1255.54101310276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11.577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B68</f>
        <v>488.083333333333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608.673333333333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355</v>
      </c>
      <c r="E253" s="461"/>
      <c r="F253" s="459" t="n">
        <f aca="false">B83</f>
        <v>0.089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488.083333333333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305.99</v>
      </c>
      <c r="C255" s="460"/>
      <c r="D255" s="461" t="s">
        <v>199</v>
      </c>
      <c r="E255" s="461"/>
      <c r="F255" s="462" t="n">
        <f aca="false">(B254-F254)+B255</f>
        <v>-182.093333333333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356</v>
      </c>
      <c r="B259" s="467" t="n">
        <f aca="false">B64</f>
        <v>0.024</v>
      </c>
      <c r="C259" s="12"/>
      <c r="D259" s="165" t="s">
        <v>357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355</v>
      </c>
      <c r="B260" s="471" t="n">
        <f aca="false">B83</f>
        <v>0.089</v>
      </c>
      <c r="C260" s="316"/>
      <c r="D260" s="165" t="s">
        <v>196</v>
      </c>
      <c r="E260" s="165"/>
      <c r="F260" s="373" t="n">
        <f aca="false">(B89*B59)-(C89*B59)</f>
        <v>42707.9354585967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488.083333333333</v>
      </c>
      <c r="G261" s="308"/>
      <c r="H261" s="11"/>
    </row>
    <row r="262" customFormat="false" ht="17.35" hidden="false" customHeight="false" outlineLevel="0" collapsed="false">
      <c r="A262" s="293" t="s">
        <v>358</v>
      </c>
      <c r="B262" s="467" t="n">
        <f aca="false">A108</f>
        <v>0.2</v>
      </c>
      <c r="C262" s="12"/>
      <c r="D262" s="165" t="s">
        <v>358</v>
      </c>
      <c r="E262" s="165"/>
      <c r="F262" s="373" t="n">
        <f aca="false">E240*10</f>
        <v>206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</v>
      </c>
      <c r="C263" s="12"/>
      <c r="D263" s="115" t="s">
        <v>199</v>
      </c>
      <c r="E263" s="115"/>
      <c r="F263" s="373" t="n">
        <f aca="false">(B254-F254)+B255</f>
        <v>-182.093333333333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359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  <c r="J271" s="288" t="n">
        <v>4</v>
      </c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68" activeCellId="0" sqref="B6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364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380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351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4" t="s">
        <v>381</v>
      </c>
      <c r="B45" s="402"/>
      <c r="C45" s="475" t="s">
        <v>381</v>
      </c>
      <c r="D45" s="475"/>
      <c r="E45" s="475"/>
      <c r="F45" s="402"/>
      <c r="G45" s="402"/>
      <c r="H45" s="11"/>
      <c r="J45" s="53" t="s">
        <v>352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353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11348.9267337287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0.115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0.00958333333333333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19508.0781399797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29.6156943349079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37716.9218600203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1273.54508165502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44574.0778579256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44574.0778579256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1273.54508165502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1273.54508165502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364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384</v>
      </c>
      <c r="C108" s="113"/>
      <c r="D108" s="113"/>
      <c r="E108" s="354" t="n">
        <f aca="false">B83</f>
        <v>0.115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365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385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0.0</v>
      </c>
      <c r="D122" s="433" t="n">
        <f aca="false">D4</f>
        <v>0</v>
      </c>
      <c r="E122" s="400" t="n">
        <f aca="false">D122</f>
        <v>0.0</v>
      </c>
      <c r="F122" s="433" t="n">
        <f aca="false">F4</f>
        <v>0</v>
      </c>
      <c r="G122" s="434" t="n">
        <f aca="false">F122</f>
        <v>0.0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-1000.0</v>
      </c>
      <c r="D123" s="435" t="n">
        <f aca="false">D5</f>
        <v>0</v>
      </c>
      <c r="E123" s="432" t="n">
        <f aca="false">D123</f>
        <v>0.0</v>
      </c>
      <c r="F123" s="435" t="n">
        <f aca="false">F5</f>
        <v>0</v>
      </c>
      <c r="G123" s="432" t="n">
        <f aca="false">F123</f>
        <v>0.0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2000.0</v>
      </c>
      <c r="F152" s="113"/>
      <c r="G152" s="113" t="n">
        <v>1000.0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500.0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1273.54508165502</v>
      </c>
      <c r="B167" s="286" t="str">
        <f aca="false">B94</f>
        <v>0</v>
      </c>
      <c r="C167" s="439"/>
      <c r="D167" s="439"/>
      <c r="E167" s="286" t="n">
        <f aca="false">B96</f>
        <v>1273.54508165502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14849.0778579256</v>
      </c>
      <c r="B182" s="164" t="str">
        <f aca="false">B114</f>
        <v>239.99</v>
      </c>
      <c r="C182" s="164"/>
      <c r="D182" s="308"/>
      <c r="E182" s="164" t="n">
        <f aca="false">E179+A182+B182+A185</f>
        <v>72324.0678579257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572.25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672.241666666667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1273.54508165502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1273.54508165502</v>
      </c>
      <c r="B212" s="286" t="str">
        <f aca="false">B167</f>
        <v>0</v>
      </c>
      <c r="C212" s="439"/>
      <c r="D212" s="439"/>
      <c r="E212" s="286" t="n">
        <f aca="false">E167</f>
        <v>1273.54508165502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14849.0778579256</v>
      </c>
      <c r="B224" s="164" t="str">
        <f aca="false">B182</f>
        <v>239.99</v>
      </c>
      <c r="C224" s="164"/>
      <c r="D224" s="421"/>
      <c r="E224" s="164" t="n">
        <f aca="false">E182</f>
        <v>72324.0678579257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1273.54508165502</v>
      </c>
      <c r="B230" s="164" t="str">
        <f aca="false">B167</f>
        <v>0</v>
      </c>
      <c r="C230" s="441"/>
      <c r="D230" s="441"/>
      <c r="E230" s="164" t="n">
        <f aca="false">E167</f>
        <v>1273.54508165502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1576.86666666667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355</v>
      </c>
      <c r="E253" s="461"/>
      <c r="F253" s="459" t="n">
        <f aca="false">B83</f>
        <v>0.115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99.9916666666667</v>
      </c>
      <c r="C255" s="460"/>
      <c r="D255" s="461" t="s">
        <v>199</v>
      </c>
      <c r="E255" s="461"/>
      <c r="F255" s="462" t="n">
        <f aca="false">(B254-F254)+B255</f>
        <v>-376.883333333333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356</v>
      </c>
      <c r="B259" s="467" t="n">
        <f aca="false">B64</f>
        <v>0.05</v>
      </c>
      <c r="C259" s="12"/>
      <c r="D259" s="165" t="s">
        <v>357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355</v>
      </c>
      <c r="B260" s="471" t="n">
        <f aca="false">B83</f>
        <v>0.115</v>
      </c>
      <c r="C260" s="316"/>
      <c r="D260" s="165" t="s">
        <v>196</v>
      </c>
      <c r="E260" s="165"/>
      <c r="F260" s="373" t="n">
        <f aca="false">(B89*B59)-(C89*B59)</f>
        <v>44574.0778579256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358</v>
      </c>
      <c r="B262" s="467" t="n">
        <f aca="false">A108</f>
        <v>0.2</v>
      </c>
      <c r="C262" s="12"/>
      <c r="D262" s="165" t="s">
        <v>358</v>
      </c>
      <c r="E262" s="165"/>
      <c r="F262" s="373" t="n">
        <f aca="false">E240*10</f>
        <v>0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99.9916666666667</v>
      </c>
      <c r="C263" s="12"/>
      <c r="D263" s="115" t="s">
        <v>199</v>
      </c>
      <c r="E263" s="115"/>
      <c r="F263" s="373" t="n">
        <f aca="false">(B254-F254)+B255</f>
        <v>-376.883333333333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359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53" colorId="64" zoomScale="75" zoomScaleNormal="75" zoomScalePageLayoutView="100" workbookViewId="0">
      <selection pane="topLeft" activeCell="A251" activeCellId="0" sqref="A251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351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6" t="s">
        <v>236</v>
      </c>
      <c r="B45" s="402"/>
      <c r="C45" s="475" t="s">
        <v>236</v>
      </c>
      <c r="D45" s="475"/>
      <c r="E45" s="475"/>
      <c r="F45" s="402"/>
      <c r="G45" s="402"/>
      <c r="H45" s="11"/>
      <c r="J45" s="53" t="s">
        <v>352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353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360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476.875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576.866666666667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str">
        <f aca="false">B167</f>
        <v>0</v>
      </c>
      <c r="C212" s="439"/>
      <c r="D212" s="439"/>
      <c r="E212" s="286" t="n">
        <f aca="false">E167</f>
        <v>1356.23444593391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239.99</v>
      </c>
      <c r="C224" s="164"/>
      <c r="D224" s="421"/>
      <c r="E224" s="164" t="n">
        <f aca="false">E182</f>
        <v>75218.1956076868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441"/>
      <c r="D230" s="441"/>
      <c r="E230" s="164" t="n">
        <f aca="false">E167</f>
        <v>1356.23444593391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J18*0.000006*100*1.2</f>
        <v>41.6772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1576.86666666667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355</v>
      </c>
      <c r="E253" s="461"/>
      <c r="F253" s="459" t="n">
        <f aca="false">B83</f>
        <v>0.137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99.9916666666667</v>
      </c>
      <c r="C255" s="460"/>
      <c r="D255" s="461" t="s">
        <v>199</v>
      </c>
      <c r="E255" s="461"/>
      <c r="F255" s="462" t="n">
        <f aca="false">(B254-F254)+B255</f>
        <v>-376.883333333333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356</v>
      </c>
      <c r="B259" s="467" t="n">
        <f aca="false">B64</f>
        <v>0.072</v>
      </c>
      <c r="C259" s="12"/>
      <c r="D259" s="165" t="s">
        <v>357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355</v>
      </c>
      <c r="B260" s="471" t="n">
        <f aca="false">B83</f>
        <v>0.137</v>
      </c>
      <c r="C260" s="316"/>
      <c r="D260" s="165" t="s">
        <v>196</v>
      </c>
      <c r="E260" s="165"/>
      <c r="F260" s="373" t="n">
        <f aca="false">(B89*B59)-(C89*B59)</f>
        <v>47468.2056076868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358</v>
      </c>
      <c r="B262" s="467" t="n">
        <f aca="false">A108</f>
        <v>0.2</v>
      </c>
      <c r="C262" s="12"/>
      <c r="D262" s="165" t="s">
        <v>358</v>
      </c>
      <c r="E262" s="165"/>
      <c r="F262" s="373" t="n">
        <f aca="false">E240*10</f>
        <v>0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99.9916666666667</v>
      </c>
      <c r="C263" s="12"/>
      <c r="D263" s="115" t="s">
        <v>199</v>
      </c>
      <c r="E263" s="115"/>
      <c r="F263" s="373" t="n">
        <f aca="false">(B254-F254)+B255</f>
        <v>-376.883333333333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359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E34" colorId="64" zoomScale="75" zoomScaleNormal="75" zoomScalePageLayoutView="100" workbookViewId="0">
      <selection pane="topLeft" activeCell="K36" activeCellId="0" sqref="K36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(B3+D3+F3+H3+H10)*1.2</f>
        <v>57885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56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351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76" t="s">
        <v>236</v>
      </c>
      <c r="B45" s="402"/>
      <c r="C45" s="475" t="s">
        <v>236</v>
      </c>
      <c r="D45" s="475"/>
      <c r="E45" s="475"/>
      <c r="F45" s="402"/>
      <c r="G45" s="402"/>
      <c r="H45" s="11"/>
      <c r="J45" s="53" t="s">
        <v>352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353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57885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57885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57885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57885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B66+(B66*0.5*(H29/12-1))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(G158*B67)/1.2</f>
        <v>476.875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4341.375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578.85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199.99</v>
      </c>
      <c r="C182" s="164"/>
      <c r="D182" s="308"/>
      <c r="E182" s="164" t="n">
        <f aca="false">E179+A182+B182+A185</f>
        <v>75178.1956076868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476.875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576.865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str">
        <f aca="false">B167</f>
        <v>0</v>
      </c>
      <c r="C212" s="439"/>
      <c r="D212" s="439"/>
      <c r="E212" s="286" t="n">
        <f aca="false">E167</f>
        <v>1356.23444593391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199.99</v>
      </c>
      <c r="C224" s="164"/>
      <c r="D224" s="421"/>
      <c r="E224" s="164" t="n">
        <f aca="false">E182</f>
        <v>75178.1956076868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441"/>
      <c r="D230" s="441"/>
      <c r="E230" s="164" t="n">
        <f aca="false">E167</f>
        <v>1356.23444593391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J18*0.000006*100</f>
        <v>34.731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34.731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476.875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1576.865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251" customFormat="false" ht="22.05" hidden="false" customHeight="false" outlineLevel="0" collapsed="false">
      <c r="A251" s="442" t="s">
        <v>194</v>
      </c>
      <c r="B251" s="442"/>
      <c r="C251" s="442"/>
      <c r="D251" s="442"/>
      <c r="E251" s="442"/>
      <c r="F251" s="442"/>
      <c r="G251" s="442"/>
      <c r="H251" s="442"/>
    </row>
    <row r="252" customFormat="false" ht="17.35" hidden="false" customHeight="false" outlineLevel="0" collapsed="false">
      <c r="A252" s="293"/>
      <c r="B252" s="12"/>
      <c r="C252" s="12"/>
      <c r="D252" s="12"/>
      <c r="E252" s="308"/>
      <c r="F252" s="308"/>
      <c r="G252" s="308"/>
      <c r="H252" s="11"/>
    </row>
    <row r="253" customFormat="false" ht="17.35" hidden="false" customHeight="false" outlineLevel="0" collapsed="false">
      <c r="A253" s="443" t="s">
        <v>195</v>
      </c>
      <c r="B253" s="459" t="n">
        <f aca="false">K35</f>
        <v>0.065</v>
      </c>
      <c r="C253" s="460"/>
      <c r="D253" s="461" t="s">
        <v>355</v>
      </c>
      <c r="E253" s="461"/>
      <c r="F253" s="459" t="n">
        <f aca="false">B83</f>
        <v>0.137</v>
      </c>
      <c r="G253" s="308"/>
      <c r="H253" s="11"/>
    </row>
    <row r="254" customFormat="false" ht="17.35" hidden="false" customHeight="false" outlineLevel="0" collapsed="false">
      <c r="A254" s="443" t="s">
        <v>196</v>
      </c>
      <c r="B254" s="462"/>
      <c r="C254" s="460"/>
      <c r="D254" s="461" t="s">
        <v>197</v>
      </c>
      <c r="E254" s="461"/>
      <c r="F254" s="462" t="n">
        <f aca="false">F261+F267+F269+B270+B271</f>
        <v>476.875</v>
      </c>
      <c r="G254" s="308"/>
      <c r="H254" s="11"/>
    </row>
    <row r="255" customFormat="false" ht="17.35" hidden="false" customHeight="false" outlineLevel="0" collapsed="false">
      <c r="A255" s="443" t="s">
        <v>198</v>
      </c>
      <c r="B255" s="462" t="n">
        <f aca="false">F262+B263</f>
        <v>99.99</v>
      </c>
      <c r="C255" s="460"/>
      <c r="D255" s="461" t="s">
        <v>199</v>
      </c>
      <c r="E255" s="461"/>
      <c r="F255" s="462" t="n">
        <f aca="false">(B254-F254)+B255</f>
        <v>-376.885</v>
      </c>
      <c r="G255" s="308"/>
      <c r="H255" s="11"/>
    </row>
    <row r="256" customFormat="false" ht="17.35" hidden="false" customHeight="false" outlineLevel="0" collapsed="false">
      <c r="A256" s="463"/>
      <c r="B256" s="461"/>
      <c r="C256" s="464"/>
      <c r="D256" s="464"/>
      <c r="E256" s="464"/>
      <c r="F256" s="464"/>
      <c r="G256" s="465"/>
      <c r="H256" s="466"/>
    </row>
    <row r="257" customFormat="false" ht="17.35" hidden="false" customHeight="false" outlineLevel="0" collapsed="false">
      <c r="A257" s="293" t="s">
        <v>195</v>
      </c>
      <c r="B257" s="467" t="n">
        <f aca="false">B253</f>
        <v>0.065</v>
      </c>
      <c r="C257" s="460"/>
      <c r="D257" s="460"/>
      <c r="E257" s="460"/>
      <c r="F257" s="460"/>
      <c r="G257" s="308"/>
      <c r="H257" s="11"/>
    </row>
    <row r="258" customFormat="false" ht="17.35" hidden="false" customHeight="false" outlineLevel="0" collapsed="false">
      <c r="A258" s="468"/>
      <c r="B258" s="469"/>
      <c r="C258" s="470"/>
      <c r="D258" s="470"/>
      <c r="E258" s="465"/>
      <c r="F258" s="465"/>
      <c r="G258" s="465"/>
      <c r="H258" s="466"/>
    </row>
    <row r="259" customFormat="false" ht="17.35" hidden="false" customHeight="false" outlineLevel="0" collapsed="false">
      <c r="A259" s="293" t="s">
        <v>356</v>
      </c>
      <c r="B259" s="467" t="n">
        <f aca="false">B64</f>
        <v>0.072</v>
      </c>
      <c r="C259" s="12"/>
      <c r="D259" s="165" t="s">
        <v>357</v>
      </c>
      <c r="E259" s="165"/>
      <c r="F259" s="467" t="n">
        <v>0</v>
      </c>
      <c r="G259" s="308"/>
      <c r="H259" s="11"/>
    </row>
    <row r="260" customFormat="false" ht="17.35" hidden="false" customHeight="false" outlineLevel="0" collapsed="false">
      <c r="A260" s="54" t="s">
        <v>355</v>
      </c>
      <c r="B260" s="471" t="n">
        <f aca="false">B83</f>
        <v>0.137</v>
      </c>
      <c r="C260" s="316"/>
      <c r="D260" s="165" t="s">
        <v>196</v>
      </c>
      <c r="E260" s="165"/>
      <c r="F260" s="373" t="n">
        <f aca="false">(B89*B59)-(C89*B59)</f>
        <v>47468.2056076868</v>
      </c>
      <c r="G260" s="308"/>
      <c r="H260" s="11"/>
    </row>
    <row r="261" customFormat="false" ht="17.35" hidden="false" customHeight="false" outlineLevel="0" collapsed="false">
      <c r="A261" s="293" t="s">
        <v>200</v>
      </c>
      <c r="B261" s="471" t="n">
        <f aca="false">B67</f>
        <v>0.01</v>
      </c>
      <c r="C261" s="12"/>
      <c r="D261" s="165" t="s">
        <v>200</v>
      </c>
      <c r="E261" s="165"/>
      <c r="F261" s="151" t="n">
        <f aca="false">B68</f>
        <v>476.875</v>
      </c>
      <c r="G261" s="308"/>
      <c r="H261" s="11"/>
    </row>
    <row r="262" customFormat="false" ht="17.35" hidden="false" customHeight="false" outlineLevel="0" collapsed="false">
      <c r="A262" s="293" t="s">
        <v>358</v>
      </c>
      <c r="B262" s="467" t="n">
        <f aca="false">A108</f>
        <v>0.2</v>
      </c>
      <c r="C262" s="12"/>
      <c r="D262" s="165" t="s">
        <v>358</v>
      </c>
      <c r="E262" s="165"/>
      <c r="F262" s="373" t="n">
        <f aca="false">E240*10</f>
        <v>0</v>
      </c>
      <c r="G262" s="308"/>
      <c r="H262" s="11"/>
    </row>
    <row r="263" customFormat="false" ht="17.35" hidden="false" customHeight="false" outlineLevel="0" collapsed="false">
      <c r="A263" s="293" t="s">
        <v>202</v>
      </c>
      <c r="B263" s="373" t="n">
        <f aca="false">A243</f>
        <v>99.99</v>
      </c>
      <c r="C263" s="12"/>
      <c r="D263" s="115" t="s">
        <v>199</v>
      </c>
      <c r="E263" s="115"/>
      <c r="F263" s="373" t="n">
        <f aca="false">(B254-F254)+B255</f>
        <v>-376.885</v>
      </c>
      <c r="G263" s="308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308"/>
      <c r="G264" s="308"/>
      <c r="H264" s="11"/>
    </row>
    <row r="265" customFormat="false" ht="22.05" hidden="false" customHeight="false" outlineLevel="0" collapsed="false">
      <c r="A265" s="447" t="s">
        <v>359</v>
      </c>
      <c r="B265" s="447"/>
      <c r="C265" s="447"/>
      <c r="D265" s="447"/>
      <c r="E265" s="447"/>
      <c r="F265" s="447"/>
      <c r="G265" s="447"/>
      <c r="H265" s="447"/>
    </row>
    <row r="266" customFormat="false" ht="17.35" hidden="false" customHeight="false" outlineLevel="0" collapsed="false">
      <c r="A266" s="293" t="s">
        <v>206</v>
      </c>
      <c r="B266" s="151" t="n">
        <v>0</v>
      </c>
      <c r="C266" s="12"/>
      <c r="D266" s="472" t="s">
        <v>207</v>
      </c>
      <c r="E266" s="472"/>
      <c r="F266" s="151" t="n">
        <v>0</v>
      </c>
      <c r="G266" s="308"/>
      <c r="H266" s="11"/>
    </row>
    <row r="267" customFormat="false" ht="17.35" hidden="false" customHeight="false" outlineLevel="0" collapsed="false">
      <c r="A267" s="141"/>
      <c r="B267" s="373"/>
      <c r="C267" s="12"/>
      <c r="D267" s="165" t="s">
        <v>208</v>
      </c>
      <c r="E267" s="165"/>
      <c r="F267" s="373" t="n">
        <f aca="false">B266+F266*B209</f>
        <v>0</v>
      </c>
      <c r="G267" s="308"/>
      <c r="H267" s="11"/>
    </row>
    <row r="268" customFormat="false" ht="17.35" hidden="false" customHeight="false" outlineLevel="0" collapsed="false">
      <c r="A268" s="144" t="s">
        <v>209</v>
      </c>
      <c r="B268" s="473" t="s">
        <v>76</v>
      </c>
      <c r="C268" s="12"/>
      <c r="D268" s="165" t="s">
        <v>210</v>
      </c>
      <c r="E268" s="165"/>
      <c r="F268" s="473" t="n">
        <f aca="false">B70</f>
        <v>0</v>
      </c>
      <c r="G268" s="308"/>
      <c r="H268" s="11"/>
    </row>
    <row r="269" customFormat="false" ht="17.35" hidden="false" customHeight="false" outlineLevel="0" collapsed="false">
      <c r="A269" s="144"/>
      <c r="B269" s="302"/>
      <c r="C269" s="12"/>
      <c r="D269" s="165" t="s">
        <v>211</v>
      </c>
      <c r="E269" s="165"/>
      <c r="F269" s="373" t="n">
        <f aca="false">B91</f>
        <v>0</v>
      </c>
      <c r="G269" s="308"/>
      <c r="H269" s="11"/>
    </row>
    <row r="270" customFormat="false" ht="17.35" hidden="false" customHeight="false" outlineLevel="0" collapsed="false">
      <c r="A270" s="144" t="s">
        <v>212</v>
      </c>
      <c r="B270" s="151" t="n">
        <v>0</v>
      </c>
      <c r="C270" s="12"/>
      <c r="D270" s="12"/>
      <c r="E270" s="136"/>
      <c r="F270" s="308"/>
      <c r="G270" s="308"/>
      <c r="H270" s="11"/>
    </row>
    <row r="271" customFormat="false" ht="17.35" hidden="false" customHeight="false" outlineLevel="0" collapsed="false">
      <c r="A271" s="293" t="s">
        <v>214</v>
      </c>
      <c r="B271" s="151" t="n">
        <v>0</v>
      </c>
      <c r="C271" s="12"/>
      <c r="D271" s="12"/>
      <c r="E271" s="308"/>
      <c r="F271" s="308"/>
      <c r="G271" s="308"/>
      <c r="H271" s="11"/>
    </row>
    <row r="272" customFormat="false" ht="17.35" hidden="false" customHeight="false" outlineLevel="0" collapsed="false">
      <c r="A272" s="321"/>
      <c r="B272" s="322"/>
      <c r="C272" s="322"/>
      <c r="D272" s="322"/>
      <c r="E272" s="322"/>
      <c r="F272" s="322"/>
      <c r="G272" s="322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0.0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0.0</v>
      </c>
      <c r="C4" s="0" t="n">
        <v>0.0</v>
      </c>
      <c r="D4" s="0" t="n">
        <v>0.0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364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27500.0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0.0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0.0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1000.0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364</v>
      </c>
      <c r="B105" s="114" t="n">
        <v>0.0</v>
      </c>
      <c r="C105" s="114"/>
      <c r="D105" s="113" t="s">
        <v>366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364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10000.0</v>
      </c>
      <c r="E112" s="113" t="n">
        <v>6000.0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2000.0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550.0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55.0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44960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12.0</v>
      </c>
      <c r="B32" s="40" t="n">
        <v>5000.0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368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369</v>
      </c>
      <c r="B38" s="58" t="n">
        <f aca="false">A32-1</f>
        <v>11</v>
      </c>
      <c r="C38" s="58"/>
      <c r="D38" s="45" t="s">
        <v>370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371</v>
      </c>
      <c r="B41" s="45" t="s">
        <v>372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373</v>
      </c>
      <c r="B44" s="45" t="s">
        <v>374</v>
      </c>
      <c r="C44" s="45"/>
      <c r="D44" s="45" t="s">
        <v>374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200.0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5.0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165.0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355.0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200.0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200.0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-93.5075187127426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1000.0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0.0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365</v>
      </c>
      <c r="B111" s="110" t="n">
        <v>20.0</v>
      </c>
      <c r="C111" s="110"/>
      <c r="D111" s="113" t="s">
        <v>366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365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10000.0</v>
      </c>
      <c r="E118" s="113" t="n">
        <v>6000.0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2000.0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0.0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60</v>
      </c>
      <c r="C134" s="191"/>
      <c r="D134" s="120" t="n">
        <f aca="false">B97</f>
        <v>-93.5075187127426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-1381.56766841468</v>
      </c>
      <c r="C137" s="13"/>
      <c r="D137" s="136" t="n">
        <f aca="false">IF(A111="YES", B95*B63, 0)</f>
        <v>540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-841.567668414683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60</v>
      </c>
      <c r="C143" s="13"/>
      <c r="D143" s="136" t="n">
        <f aca="false">B97</f>
        <v>-93.5075187127426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120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798.84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-93.5075187127426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60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-1381.56766841468</v>
      </c>
      <c r="C180" s="31"/>
      <c r="D180" s="164" t="n">
        <f aca="false">IF(A111="YES", B95*B63, 0)</f>
        <v>540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-841.567668414683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60</v>
      </c>
      <c r="C186" s="31"/>
      <c r="D186" s="164" t="n">
        <f aca="false">B97</f>
        <v>-93.5075187127426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12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798.84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219.99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3693.09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3693.09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120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0.0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0.0</v>
      </c>
      <c r="C4" s="0" t="n">
        <v>0.0</v>
      </c>
      <c r="D4" s="0" t="n">
        <v>0.0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365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380</v>
      </c>
      <c r="C30" s="122"/>
      <c r="D30" s="203"/>
      <c r="E30" s="204"/>
      <c r="F30" s="171"/>
      <c r="G30" s="214" t="s">
        <v>41</v>
      </c>
      <c r="H30" s="216" t="n">
        <v>10000.0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922.920864561026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str">
        <f aca="false">IF(B26="YES", H42, "")</f>
        <v/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64443.3941780653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-15565.8941780653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381</v>
      </c>
      <c r="B45" s="203"/>
      <c r="C45" s="477" t="s">
        <v>381</v>
      </c>
      <c r="D45" s="477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922.920864561026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10000.0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165.0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355.0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0.0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0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1381.90051379218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1189.86736688544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984.491094073066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1000.0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0.0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365</v>
      </c>
      <c r="B105" s="114" t="n">
        <v>0.3</v>
      </c>
      <c r="C105" s="114"/>
      <c r="D105" s="113" t="s">
        <v>366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364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10000.0</v>
      </c>
      <c r="E112" s="113" t="n">
        <v>6000.0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2000.0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0</v>
      </c>
      <c r="I127" s="286"/>
      <c r="J127" s="134" t="n">
        <f aca="false">H91</f>
        <v>1189.86736688544</v>
      </c>
      <c r="K127" s="204"/>
      <c r="L127" s="171"/>
      <c r="M127" s="132" t="n">
        <f aca="false">N90</f>
        <v>984.491094073066</v>
      </c>
      <c r="N127" s="286" t="n">
        <f aca="false">IF(M105="YES", N89*N57, 0)</f>
        <v>0</v>
      </c>
      <c r="O127" s="286"/>
      <c r="P127" s="286" t="n">
        <f aca="false">N91</f>
        <v>984.491094073066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0</v>
      </c>
      <c r="C128" s="125"/>
      <c r="D128" s="120" t="n">
        <f aca="false">B91</f>
        <v>1381.90051379218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12437.1046241296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0</v>
      </c>
      <c r="I133" s="224"/>
      <c r="J133" s="140" t="n">
        <f aca="false">H91*H57</f>
        <v>7139.20420131264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0</v>
      </c>
      <c r="O133" s="224"/>
      <c r="P133" s="140" t="n">
        <f aca="false">N91*N57</f>
        <v>5906.94656443839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12437.1046241296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0</v>
      </c>
      <c r="C137" s="13"/>
      <c r="D137" s="136" t="n">
        <f aca="false">B91</f>
        <v>1381.90051379218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1257.69166666667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1189.86736688544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984.491094073066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1381.90051379218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0</v>
      </c>
      <c r="C177" s="162"/>
      <c r="D177" s="160" t="n">
        <f aca="false">B91</f>
        <v>1381.90051379218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12437.1046241296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12437.1046241296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0</v>
      </c>
      <c r="C186" s="31"/>
      <c r="D186" s="164" t="n">
        <f aca="false">B91</f>
        <v>1381.90051379218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1257.69166666667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5" t="n">
        <v>0.01</v>
      </c>
      <c r="C47" s="455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362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74" colorId="64" zoomScale="75" zoomScaleNormal="75" zoomScalePageLayoutView="100" workbookViewId="0">
      <selection pane="topLeft" activeCell="D191" activeCellId="0" sqref="D19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78" t="n">
        <v>0</v>
      </c>
      <c r="C4" s="478" t="n">
        <v>0</v>
      </c>
      <c r="D4" s="47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362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363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79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0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0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D149" activeCellId="0" sqref="D149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51" t="s">
        <v>362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363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6814.79427188382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79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567.899522656985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567.899522656985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567.899522656985</v>
      </c>
      <c r="B128" s="120" t="n">
        <f aca="false">IF(A105="YES", B89, 0)</f>
        <v>0</v>
      </c>
      <c r="C128" s="191"/>
      <c r="D128" s="120" t="n">
        <f aca="false">B91</f>
        <v>567.899522656985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0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0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5111.09570391287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5111.09570391287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567.899522656985</v>
      </c>
      <c r="B137" s="136" t="n">
        <f aca="false">IF(A105="YES", B89, 0)</f>
        <v>0</v>
      </c>
      <c r="C137" s="13"/>
      <c r="D137" s="136" t="n">
        <f aca="false">B91</f>
        <v>567.899522656985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0)*0.001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567.899522656985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567.899522656985</v>
      </c>
      <c r="B171" s="160" t="n">
        <f aca="false">IF(A105="YES", B89, 0)</f>
        <v>0</v>
      </c>
      <c r="C171" s="192"/>
      <c r="D171" s="160" t="n">
        <f aca="false">B91</f>
        <v>567.899522656985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5111.09570391287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5111.09570391287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567.899522656985</v>
      </c>
      <c r="B180" s="164" t="n">
        <f aca="false">IF(A105="YES", B89, 0)</f>
        <v>0</v>
      </c>
      <c r="C180" s="31"/>
      <c r="D180" s="164" t="n">
        <f aca="false">B91</f>
        <v>567.899522656985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0.0</v>
      </c>
      <c r="D3" s="196" t="n">
        <v>833.33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0.0</v>
      </c>
      <c r="C4" s="0" t="n">
        <v>0.0</v>
      </c>
      <c r="D4" s="0" t="n">
        <v>0.0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46" t="n">
        <v>10000</v>
      </c>
      <c r="D64" s="201" t="n">
        <f aca="false">B64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65"/>
      <c r="D81" s="270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65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65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41166.4094575303</v>
      </c>
      <c r="C85" s="265"/>
      <c r="D85" s="265"/>
      <c r="E85" s="247" t="n">
        <f aca="false">B85/(B58+B57)</f>
        <v>1143.51137382028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348.727147482104</v>
      </c>
      <c r="C86" s="265" t="s">
        <v>211</v>
      </c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41515.1366050124</v>
      </c>
      <c r="C87" s="265"/>
      <c r="D87" s="273"/>
      <c r="E87" s="247" t="n">
        <f aca="false">E86+E85</f>
        <v>1153.19823902812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37.1944444444444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1153.19823902812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1190.39268347257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64" colorId="64" zoomScale="75" zoomScaleNormal="75" zoomScalePageLayoutView="100" workbookViewId="0">
      <selection pane="topLeft" activeCell="E189" activeCellId="0" sqref="E189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str">
        <f aca="false">IF(A111="YES",A40,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119.843758333333</v>
      </c>
      <c r="C188" s="402"/>
      <c r="D188" s="402"/>
      <c r="E188" s="164" t="n">
        <f aca="false">(A41*A108)*0.1</f>
        <v>0.284848484848485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66.6583333333334</v>
      </c>
      <c r="B191" s="164" t="n">
        <f aca="false">B188+E188+A191</f>
        <v>186.786940151515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21.15</v>
      </c>
      <c r="C212" s="439"/>
      <c r="D212" s="439"/>
      <c r="E212" s="286" t="n">
        <f aca="false">E167</f>
        <v>1661.03541555755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21.15</v>
      </c>
      <c r="C230" s="441"/>
      <c r="D230" s="441"/>
      <c r="E230" s="164" t="n">
        <f aca="false">E167</f>
        <v>1661.03541555755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J18*0.000006*100*1.2</f>
        <v>41.202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41.202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0.284848484848485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-622.574308181818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21" colorId="64" zoomScale="75" zoomScaleNormal="75" zoomScalePageLayoutView="100" workbookViewId="0">
      <selection pane="topLeft" activeCell="E240" activeCellId="0" sqref="E240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str">
        <f aca="false">H29</f>
        <v>33</v>
      </c>
      <c r="B170" s="396" t="str">
        <f aca="false">H30</f>
        <v>5000</v>
      </c>
      <c r="C170" s="440"/>
      <c r="D170" s="308"/>
      <c r="E170" s="63" t="str">
        <f aca="false">IF(A111="YES",A40,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119.843758333333</v>
      </c>
      <c r="C188" s="402"/>
      <c r="D188" s="402"/>
      <c r="E188" s="164" t="n">
        <f aca="false">(A41*A108)*0.1</f>
        <v>0.284848484848485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220.118606818182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str">
        <f aca="false">H30</f>
        <v>5000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str">
        <f aca="false">H29</f>
        <v>33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446" t="s">
        <v>338</v>
      </c>
      <c r="B209" s="439" t="str">
        <f aca="false">A197</f>
        <v>33</v>
      </c>
      <c r="C209" s="439"/>
      <c r="D209" s="439"/>
      <c r="E209" s="439" t="str">
        <f aca="false">B196</f>
        <v>5000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1639.88541555755</v>
      </c>
      <c r="B212" s="286" t="n">
        <f aca="false">B167</f>
        <v>17.625</v>
      </c>
      <c r="C212" s="439"/>
      <c r="D212" s="439"/>
      <c r="E212" s="286" t="n">
        <f aca="false">E167</f>
        <v>1657.51041555755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1639.88541555755</v>
      </c>
      <c r="B230" s="164" t="n">
        <f aca="false">B167</f>
        <v>17.625</v>
      </c>
      <c r="C230" s="441"/>
      <c r="D230" s="441"/>
      <c r="E230" s="164" t="n">
        <f aca="false">E167</f>
        <v>1657.51041555755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339</v>
      </c>
      <c r="B232" s="402" t="s">
        <v>340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J18*0.000006*100</f>
        <v>34.335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34.335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0.284848484848485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-589.242641515152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223" colorId="64" zoomScale="75" zoomScaleNormal="75" zoomScalePageLayoutView="100" workbookViewId="0">
      <selection pane="topLeft" activeCell="E189" activeCellId="0" sqref="E189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1769.93333287614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343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20.5090909090909</v>
      </c>
      <c r="C167" s="439"/>
      <c r="D167" s="439"/>
      <c r="E167" s="286" t="n">
        <f aca="false">B96</f>
        <v>1769.93333287614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e">
        <f aca="false">(A167*B59)+E185-E179-A185</f>
        <v>#VALUE!</v>
      </c>
      <c r="B182" s="164" t="str">
        <f aca="false">B114</f>
        <v>199.99</v>
      </c>
      <c r="C182" s="164"/>
      <c r="D182" s="308"/>
      <c r="E182" s="164" t="e">
        <f aca="false">E179+A182+B182+A185</f>
        <v>#VALUE!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143.81251</v>
      </c>
      <c r="C188" s="402"/>
      <c r="D188" s="402"/>
      <c r="E188" s="164" t="n">
        <f aca="false">(A41*A108)*0.1</f>
        <v>0.284848484848485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B182/1.2-100</f>
        <v>66.6583333333334</v>
      </c>
      <c r="B191" s="164" t="n">
        <f aca="false">B188+E188+A191</f>
        <v>210.755691818182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1769.93333287614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442" t="s">
        <v>218</v>
      </c>
      <c r="B206" s="442"/>
      <c r="C206" s="442"/>
      <c r="D206" s="442"/>
      <c r="E206" s="442"/>
      <c r="F206" s="442"/>
      <c r="G206" s="442"/>
      <c r="H206" s="44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43" t="s">
        <v>119</v>
      </c>
      <c r="B208" s="444" t="s">
        <v>42</v>
      </c>
      <c r="C208" s="444"/>
      <c r="D208" s="444"/>
      <c r="E208" s="444" t="s">
        <v>43</v>
      </c>
      <c r="F208" s="445"/>
      <c r="G208" s="421"/>
      <c r="H208" s="11"/>
    </row>
    <row r="209" customFormat="false" ht="17.35" hidden="false" customHeight="false" outlineLevel="0" collapsed="false">
      <c r="A209" s="391" t="s">
        <v>344</v>
      </c>
      <c r="B209" s="439" t="n">
        <f aca="false">A197</f>
        <v>0</v>
      </c>
      <c r="C209" s="439"/>
      <c r="D209" s="439"/>
      <c r="E209" s="439" t="n">
        <f aca="false">B196</f>
        <v>0</v>
      </c>
      <c r="F209" s="44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43" t="s">
        <v>297</v>
      </c>
      <c r="B211" s="444" t="s">
        <v>298</v>
      </c>
      <c r="C211" s="444"/>
      <c r="D211" s="444"/>
      <c r="E211" s="44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1749.42424196705</v>
      </c>
      <c r="B212" s="286" t="n">
        <f aca="false">B167</f>
        <v>20.5090909090909</v>
      </c>
      <c r="C212" s="439"/>
      <c r="D212" s="439"/>
      <c r="E212" s="286" t="n">
        <f aca="false">E167</f>
        <v>1769.93333287614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47404.17</v>
      </c>
      <c r="B215" s="164" t="n">
        <f aca="false">B173</f>
        <v>9480.834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57525.004</v>
      </c>
      <c r="B218" s="164" t="n">
        <f aca="false">B176</f>
        <v>0</v>
      </c>
      <c r="C218" s="164"/>
      <c r="D218" s="421"/>
      <c r="E218" s="164" t="n">
        <f aca="false">E176</f>
        <v>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421"/>
      <c r="E221" s="164" t="n">
        <f aca="false">E179</f>
        <v>57525.004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e">
        <f aca="false">A182</f>
        <v>#VALUE!</v>
      </c>
      <c r="B224" s="164" t="str">
        <f aca="false">B182</f>
        <v>199.99</v>
      </c>
      <c r="C224" s="164"/>
      <c r="D224" s="421"/>
      <c r="E224" s="164" t="e">
        <f aca="false">E182</f>
        <v>#VALUE!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199.99</v>
      </c>
      <c r="C227" s="164"/>
      <c r="D227" s="421"/>
      <c r="E227" s="164" t="n">
        <f aca="false">B59</f>
        <v>32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1749.42424196705</v>
      </c>
      <c r="B230" s="164" t="n">
        <f aca="false">B167</f>
        <v>20.5090909090909</v>
      </c>
      <c r="C230" s="441"/>
      <c r="D230" s="441"/>
      <c r="E230" s="164" t="n">
        <f aca="false">E167</f>
        <v>1769.93333287614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340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str">
        <f aca="false">E170</f>
        <v>Monthly maintenance rental (Ex. VAT)</v>
      </c>
      <c r="B233" s="164" t="e">
        <f aca="false">E185</f>
        <v>#VALUE!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47" t="s">
        <v>341</v>
      </c>
      <c r="B238" s="447"/>
      <c r="C238" s="447"/>
      <c r="D238" s="447"/>
      <c r="E238" s="447"/>
      <c r="F238" s="447"/>
      <c r="G238" s="447"/>
      <c r="H238" s="447"/>
    </row>
    <row r="239" customFormat="false" ht="17.35" hidden="false" customHeight="false" outlineLevel="0" collapsed="false">
      <c r="A239" s="293" t="s">
        <v>342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-833.33</v>
      </c>
      <c r="B240" s="164" t="n">
        <f aca="false">B68</f>
        <v>143.81251</v>
      </c>
      <c r="C240" s="402"/>
      <c r="D240" s="402"/>
      <c r="E240" s="164" t="n">
        <f aca="false">E188</f>
        <v>0.284848484848485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66.6583333333334</v>
      </c>
      <c r="B243" s="164" t="n">
        <f aca="false">B240+E240+A243+A240</f>
        <v>-622.574308181818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8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1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345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</f>
        <v>19.008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697.848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697.848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118.998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3592.098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3592.098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D155" activeCellId="0" sqref="D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8" t="n">
        <v>0</v>
      </c>
      <c r="C4" s="448" t="n">
        <v>0</v>
      </c>
      <c r="D4" s="448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9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50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44960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345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51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52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13011.9513553852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7.6032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1084.32927961544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1091.93247961544</v>
      </c>
      <c r="C97" s="203"/>
      <c r="D97" s="453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20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1084.32927961544</v>
      </c>
      <c r="B134" s="120" t="n">
        <f aca="false">IF(A111="YES", B95, 0)</f>
        <v>7.6032</v>
      </c>
      <c r="C134" s="191"/>
      <c r="D134" s="120" t="n">
        <f aca="false">B97</f>
        <v>1091.93247961544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9758.96351653893</v>
      </c>
      <c r="C137" s="13"/>
      <c r="D137" s="136" t="n">
        <f aca="false">IF(A111="YES", B95*B63, 0)</f>
        <v>68.4288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9827.39231653893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1084.32927961544</v>
      </c>
      <c r="B143" s="136" t="n">
        <f aca="false">IF(A111="YES", B95, 0)</f>
        <v>7.6032</v>
      </c>
      <c r="C143" s="13"/>
      <c r="D143" s="136" t="n">
        <f aca="false">B97</f>
        <v>1091.93247961544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1.2672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680.108866666667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1091.93247961544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1084.32927961544</v>
      </c>
      <c r="B177" s="160" t="n">
        <f aca="false">IF(A111="YES", B95, 0)</f>
        <v>7.6032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9758.96351653893</v>
      </c>
      <c r="C180" s="31"/>
      <c r="D180" s="164" t="n">
        <f aca="false">IF(A111="YES", B95*B63, 0)</f>
        <v>68.4288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9827.39231653893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1084.32927961544</v>
      </c>
      <c r="B186" s="164" t="n">
        <f aca="false">IF(A111="YES", B95, 0)</f>
        <v>7.6032</v>
      </c>
      <c r="C186" s="31"/>
      <c r="D186" s="164" t="n">
        <f aca="false">B97</f>
        <v>1091.93247961544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1.2672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680.108866666667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112.663666666667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3585.76366666667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3585.76366666667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12.672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2023-02-02T13:23:29Z</dcterms:modified>
  <cp:revision>465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