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HPNR (Formula 3) - HPNR" sheetId="57" state="visible" r:id="rId58"/>
    <sheet name="FL (Formula 3) - FL" sheetId="58" state="visible" r:id="rId59"/>
    <sheet name="FL (Formula 3) - PCH" sheetId="59" state="visible" r:id="rId60"/>
    <sheet name="FL (Formula 3) - BCH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<sst xmlns="http://schemas.openxmlformats.org/spreadsheetml/2006/main" count="31966" uniqueCount="403">
  <si>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</si>
  <si>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</si>
  <si>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</si>
  <si>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</si>
  <si>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</si>
  <si>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</si>
  <si>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</si>
  <si>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</si>
  <si>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</si>
  <si>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</si>
  <si>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</si>
  <si>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</si>
  <si>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</si>
  <si>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</si>
  <si>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</si>
  <si>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</si>
  <si>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</si>
  <si>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</si>
  <si>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</si>
  <si>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</si>
  <si>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</si>
  <si>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</si>
  <si>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</si>
  <si>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</si>
  <si>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</si>
  <si>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</si>
  <si>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</si>
  <si>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</si>
  <si>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</si>
  <si>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</si>
  <si>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</si>
  <si>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</si>
  <si>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</si>
  <si>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</si>
  <si>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</si>
  <si>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</si>
  <si>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</si>
  <si>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</si>
  <si>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</si>
  <si>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</si>
  <si>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</si>
  <si>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</si>
  <si>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</si>
  <si>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</si>
  <si>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</si>
  <si>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</si>
  <si>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</si>
  <si>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</si>
  <si>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</si>
  <si>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</si>
  <si>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</si>
  <si>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</si>
  <si>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</si>
  <si>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</si>
  <si>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</si>
  <si>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</si>
  <si>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</si>
  <si>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</si>
  <si>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</si>
  <si>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</si>
  <si>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</si>
  <si>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</si>
  <si>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</si>
  <si>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</si>
  <si>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6000</t>
  </si>
  <si>
    <t xml:space="preserve">20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</si>
  <si>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</si>
  <si>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</si>
  <si>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</si>
  <si>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</si>
  <si>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</si>
  <si>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</si>
  <si>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</si>
  <si>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</si>
  <si>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</si>
  <si>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</si>
  <si>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</si>
  <si>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</si>
  <si>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</si>
  <si>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</si>
  <si>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</si>
  <si>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</si>
  <si>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364.17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</si>
  <si>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</si>
  <si>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</si>
  <si>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</si>
  <si>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</si>
  <si>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</si>
  <si>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</si>
  <si>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</si>
  <si>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</si>
  <si>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</si>
  <si>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</si>
  <si>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</si>
  <si>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</si>
  <si>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</si>
  <si>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</si>
  <si>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</si>
  <si>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</si>
  <si>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</si>
  <si>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</si>
  <si>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</si>
  <si>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</si>
  <si>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</si>
  <si>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</si>
  <si>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</si>
  <si>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</si>
  <si>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</si>
  <si>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</si>
  <si>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</si>
  <si>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</si>
  <si>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</si>
  <si>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</si>
  <si>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</si>
  <si>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</si>
  <si>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</si>
  <si>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</si>
  <si>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</si>
  <si>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</si>
  <si>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</si>
  <si>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</si>
  <si>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</si>
  <si>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</si>
  <si>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</si>
  <si>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</si>
  <si>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</si>
  <si>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</si>
  <si>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</si>
  <si>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</si>
  <si>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</si>
  <si>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</si>
  <si>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</si>
  <si>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</si>
  <si>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</si>
  <si>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</si>
  <si>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</si>
  <si>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</si>
  <si>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</si>
  <si>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</si>
  <si>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</si>
  <si>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</si>
  <si>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</si>
  <si>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</si>
  <si>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</si>
  <si>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</si>
  <si>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</si>
  <si>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</si>
  <si>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</si>
  <si>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</si>
  <si>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</si>
  <si>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</si>
  <si>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</si>
  <si>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</si>
  <si>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</si>
  <si>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</si>
  <si>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</si>
  <si>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</si>
  <si>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</si>
  <si>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</si>
  <si>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</si>
  <si>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</si>
  <si>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</si>
  <si>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</si>
  <si>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</si>
  <si>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</si>
  <si>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</si>
  <si>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</si>
  <si>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</si>
  <si>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</si>
  <si>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</si>
  <si>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</si>
  <si>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</si>
  <si>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</si>
  <si>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</si>
  <si>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</si>
  <si>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</si>
  <si>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</si>
  <si>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</si>
  <si>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</si>
  <si>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</si>
  <si>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</si>
  <si>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</si>
  <si>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</si>
  <si>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</si>
  <si>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</si>
  <si>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</si>
  <si>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</si>
  <si>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</si>
  <si>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</si>
  <si>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</si>
  <si>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</si>
  <si>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</si>
  <si>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</si>
  <si>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</si>
  <si>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</si>
  <si>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</si>
  <si>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</si>
  <si>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</si>
  <si>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</si>
  <si>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</si>
  <si>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</si>
  <si>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</si>
  <si>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</si>
  <si>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</si>
  <si>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</si>
  <si>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</si>
  <si>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</si>
  <si>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</si>
  <si>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</si>
  <si>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</si>
  <si>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</si>
  <si>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</si>
  <si>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</si>
  <si>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</si>
  <si>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</si>
  <si>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</si>
  <si>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</si>
  <si>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</si>
  <si>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</si>
  <si>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</si>
  <si>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</si>
  <si>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</si>
  <si>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</si>
  <si>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</si>
  <si>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</si>
  <si>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</si>
  <si>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</si>
  <si>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</si>
  <si>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</si>
  <si>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</si>
  <si>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</si>
  <si>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</si>
  <si>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</si>
  <si>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</si>
  <si>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</si>
  <si>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</si>
  <si>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</si>
  <si>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</si>
  <si>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</si>
  <si>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</si>
  <si>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</si>
  <si>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</si>
  <si>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</si>
  <si>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</si>
  <si>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</si>
  <si>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</si>
  <si>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</si>
  <si>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</si>
  <si>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</si>
  <si>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</si>
  <si>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</si>
  <si>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</si>
  <si>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</si>
  <si>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</si>
  <si>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</si>
  <si>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</si>
  <si>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</si>
  <si>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</si>
  <si>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</si>
  <si>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</si>
  <si>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</si>
  <si>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</si>
  <si>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</si>
  <si>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</si>
  <si>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</si>
  <si>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</si>
  <si>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</si>
  <si>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</si>
  <si>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</si>
  <si>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</si>
  <si>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</si>
  <si>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21125.00</t>
  </si>
  <si>
    <t xml:space="preserve">107.00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</si>
  <si>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</si>
  <si>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</si>
  <si>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</si>
  <si>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</si>
  <si>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</si>
  <si>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</si>
  <si>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</si>
  <si>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</si>
  <si>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</si>
  <si>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</si>
  <si>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</si>
  <si>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</si>
  <si>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</si>
  <si>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</si>
  <si>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</si>
  <si>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</si>
  <si>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</si>
  <si>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</si>
  <si>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</si>
  <si>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</si>
  <si>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</si>
  <si>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</si>
  <si>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</si>
  <si>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</si>
  <si>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</si>
  <si>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</si>
  <si>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</si>
  <si>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</si>
  <si>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</si>
  <si>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</si>
  <si>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</si>
  <si>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</si>
  <si>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</si>
  <si>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</si>
  <si>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</si>
  <si>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</si>
  <si>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</si>
  <si>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</si>
  <si>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</si>
  <si>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</si>
  <si>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</si>
  <si>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</si>
  <si>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</si>
  <si>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</si>
  <si>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</si>
  <si>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</si>
  <si>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</si>
  <si>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</si>
  <si>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</si>
  <si>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</si>
  <si>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</si>
  <si>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</si>
  <si>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</si>
  <si>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</si>
  <si>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</si>
  <si>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</si>
  <si>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</si>
  <si>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</si>
  <si>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</si>
  <si>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</si>
  <si>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</si>
  <si>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</si>
  <si>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</si>
  <si>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</si>
  <si>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</si>
  <si>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</si>
  <si>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</si>
  <si>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</si>
  <si>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</si>
  <si>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</si>
  <si>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</si>
  <si>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</si>
  <si>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</si>
  <si>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</si>
  <si>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</si>
  <si>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8.92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</si>
  <si>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</si>
  <si>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</si>
  <si>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</si>
  <si>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</si>
  <si>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</si>
  <si>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</si>
  <si>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</si>
  <si>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</si>
  <si>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</si>
  <si>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</si>
  <si>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</si>
  <si>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</si>
  <si>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</si>
  <si>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</si>
  <si>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</si>
  <si>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</si>
  <si>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</si>
  <si>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</si>
  <si>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</si>
  <si>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</si>
  <si>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</si>
  <si>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</si>
  <si>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</si>
  <si>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</si>
  <si>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</si>
  <si>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</si>
  <si>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30.35</t>
  </si>
  <si>
    <t xml:space="preserve">OTR Calculation</t>
  </si>
  <si>
    <t xml:space="preserve">470.00</t>
  </si>
  <si>
    <t xml:space="preserve">48877.50</t>
  </si>
  <si>
    <t xml:space="preserve">5.28</t>
  </si>
  <si>
    <t xml:space="preserve">60</t>
  </si>
  <si>
    <t xml:space="preserve">2</t>
  </si>
  <si>
    <t xml:space="preserve">RFL included?</t>
  </si>
  <si>
    <t>23625.00</t>
  </si>
  <si>
    <t>1000</t>
  </si>
  <si>
    <t>12</t>
  </si>
  <si>
    <t>5000</t>
  </si>
  <si>
    <t>YES</t>
  </si>
  <si>
    <t>500</t>
  </si>
  <si>
    <t>0.00</t>
  </si>
  <si>
    <t>199.99</t>
  </si>
  <si>
    <t>Limited Credit</t>
  </si>
  <si>
    <t>21125.00</t>
  </si>
  <si>
    <t>107.00</t>
  </si>
  <si>
    <t>6000</t>
  </si>
  <si>
    <t>20</t>
  </si>
  <si>
    <t>50</t>
  </si>
  <si>
    <t>239.99</t>
  </si>
  <si>
    <t>A1 Credit</t>
  </si>
  <si>
    <t>NO</t>
  </si>
  <si>
    <t>0</t>
  </si>
  <si>
    <t>60</t>
  </si>
  <si>
    <t>70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</si>
</sst>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E1" colorId="64" zoomScale="75" zoomScaleNormal="75" zoomScalePageLayoutView="100" workbookViewId="0">
      <selection pane="topLeft" activeCell="H8" activeCellId="0" sqref="H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45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247.916666666667</v>
      </c>
      <c r="L45" s="2"/>
    </row>
    <row r="46" customFormat="false" ht="17.35" hidden="false" customHeight="false" outlineLevel="0" collapsed="false">
      <c r="A46" s="40" t="s">
        <v>72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250.583333333333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200.583333333333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250.583333333333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18206.1617093596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250.583333333333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250.583333333333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250.583333333333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16943.1682206957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1656.1965190327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18218.1617093596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18218.1617093596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A34)*A117))/(B68)*1.2</f>
        <v>78.5454545454545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1656.1965190327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1734.74197357815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131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27750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27750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27750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27750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27750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23125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4625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27750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27750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1875</v>
      </c>
      <c r="I157" s="1" t="n">
        <f aca="false">(H157-G90)/1.2</f>
        <v>1562.5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1656.1965190327</v>
      </c>
      <c r="B176" s="174" t="n">
        <f aca="false">B103</f>
        <v>78.5454545454545</v>
      </c>
      <c r="C176" s="171"/>
      <c r="D176" s="171"/>
      <c r="E176" s="174" t="n">
        <f aca="false">B105</f>
        <v>1734.74197357815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-5781.83829064035</v>
      </c>
      <c r="B191" s="99" t="str">
        <f aca="false">B123</f>
        <v>239.99</v>
      </c>
      <c r="C191" s="99"/>
      <c r="D191" s="23"/>
      <c r="E191" s="99" t="n">
        <f aca="false">E188+A191+B191+A194</f>
        <v>24468.1517093596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9.72624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224.991666666667</v>
      </c>
      <c r="C200" s="130"/>
      <c r="D200" s="130"/>
      <c r="E200" s="99" t="n">
        <f aca="false">H157</f>
        <v>1875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1734.74197357815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1656.1965190327</v>
      </c>
      <c r="B221" s="174" t="n">
        <f aca="false">B176</f>
        <v>78.5454545454545</v>
      </c>
      <c r="C221" s="171"/>
      <c r="D221" s="171"/>
      <c r="E221" s="174" t="n">
        <f aca="false">E176</f>
        <v>1734.74197357815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-5781.83829064035</v>
      </c>
      <c r="B233" s="99" t="str">
        <f aca="false">B191</f>
        <v>239.99</v>
      </c>
      <c r="C233" s="99"/>
      <c r="D233" s="109"/>
      <c r="E233" s="99" t="n">
        <f aca="false">E191</f>
        <v>24468.1517093596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1656.1965190327</v>
      </c>
      <c r="B239" s="99" t="n">
        <f aca="false">B176</f>
        <v>78.5454545454545</v>
      </c>
      <c r="C239" s="183"/>
      <c r="D239" s="183"/>
      <c r="E239" s="99" t="n">
        <f aca="false">E176</f>
        <v>1734.74197357815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29.17872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9.72624</v>
      </c>
      <c r="B245" s="99" t="n">
        <f aca="false">E242+A245</f>
        <v>38.90496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2099.99166666667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99.9916666666667</v>
      </c>
      <c r="C264" s="194"/>
      <c r="D264" s="195" t="s">
        <v>218</v>
      </c>
      <c r="E264" s="195"/>
      <c r="F264" s="196" t="n">
        <f aca="false">(B263-F263)+B264</f>
        <v>-50.0083333333333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18218.1617093596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99.9916666666667</v>
      </c>
      <c r="C272" s="32"/>
      <c r="D272" s="39" t="s">
        <v>218</v>
      </c>
      <c r="E272" s="39"/>
      <c r="F272" s="143" t="n">
        <f aca="false">(B263-F263)+B264</f>
        <v>-50.0083333333333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6" activeCellId="0" sqref="A16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21125.0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385</v>
      </c>
      <c r="B34" s="32"/>
      <c r="C34" s="41" t="s">
        <v>386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384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385</v>
      </c>
      <c r="B40" s="32"/>
      <c r="C40" s="54" t="n">
        <f aca="false">A34-1</f>
        <v>11</v>
      </c>
      <c r="D40" s="54"/>
      <c r="E40" s="32"/>
      <c r="F40" s="41" t="s">
        <v>388</v>
      </c>
      <c r="G40" s="41"/>
      <c r="H40" s="47"/>
      <c r="J40" s="2" t="s">
        <v>58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394</v>
      </c>
      <c r="B43" s="32"/>
      <c r="C43" s="41" t="s">
        <v>395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197.916666666667</v>
      </c>
      <c r="L45" s="2"/>
    </row>
    <row r="46" customFormat="false" ht="17.35" hidden="false" customHeight="false" outlineLevel="0" collapsed="false">
      <c r="A46" s="40" t="s">
        <v>396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200.583333333333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200.583333333333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393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200.583333333333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18206.1617093596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200.583333333333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200.583333333333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200.583333333333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16943.1682206957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1656.1965190327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18218.1617093596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18218.1617093596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1656.1965190327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1656.1965190327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233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27750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27750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27750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27750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27750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23125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4625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27750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27750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1875</v>
      </c>
      <c r="I157" s="1" t="n">
        <f aca="false">(H157-G90)/1.2</f>
        <v>1562.5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1656.1965190327</v>
      </c>
      <c r="B176" s="174" t="n">
        <f aca="false">B103</f>
        <v>0</v>
      </c>
      <c r="C176" s="171"/>
      <c r="D176" s="171"/>
      <c r="E176" s="174" t="n">
        <f aca="false">B105</f>
        <v>1656.1965190327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-5781.83829064035</v>
      </c>
      <c r="B191" s="99" t="str">
        <f aca="false">B123</f>
        <v>199.99</v>
      </c>
      <c r="C191" s="99"/>
      <c r="D191" s="23"/>
      <c r="E191" s="99" t="n">
        <f aca="false">E188+A191+B191+A194</f>
        <v>24428.1517093596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8.1052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224.99</v>
      </c>
      <c r="C200" s="130"/>
      <c r="D200" s="130"/>
      <c r="E200" s="99" t="n">
        <f aca="false">H157</f>
        <v>1875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1656.1965190327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1656.1965190327</v>
      </c>
      <c r="B221" s="174" t="n">
        <f aca="false">B176</f>
        <v>0</v>
      </c>
      <c r="C221" s="171"/>
      <c r="D221" s="171"/>
      <c r="E221" s="174" t="n">
        <f aca="false">E176</f>
        <v>1656.1965190327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-5781.83829064035</v>
      </c>
      <c r="B233" s="99" t="str">
        <f aca="false">B191</f>
        <v>199.99</v>
      </c>
      <c r="C233" s="99"/>
      <c r="D233" s="109"/>
      <c r="E233" s="99" t="n">
        <f aca="false">E191</f>
        <v>24428.1517093596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1656.1965190327</v>
      </c>
      <c r="B239" s="99" t="n">
        <f aca="false">B176</f>
        <v>0</v>
      </c>
      <c r="C239" s="183"/>
      <c r="D239" s="183"/>
      <c r="E239" s="99" t="n">
        <f aca="false">E176</f>
        <v>1656.1965190327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24.3156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8.1052</v>
      </c>
      <c r="B245" s="99" t="n">
        <f aca="false">E242+A245</f>
        <v>32.4208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2099.99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</v>
      </c>
      <c r="C264" s="194"/>
      <c r="D264" s="195" t="s">
        <v>218</v>
      </c>
      <c r="E264" s="195"/>
      <c r="F264" s="196" t="n">
        <f aca="false">(B263-F263)+B264</f>
        <v>-50.01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18218.1617093596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</v>
      </c>
      <c r="C272" s="32"/>
      <c r="D272" s="39" t="s">
        <v>218</v>
      </c>
      <c r="E272" s="39"/>
      <c r="F272" s="143" t="n">
        <f aca="false">(B263-F263)+B264</f>
        <v>-50.01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B7" colorId="64" zoomScale="75" zoomScaleNormal="7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21520.7919667607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281.25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D41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4009.26178718784</v>
      </c>
      <c r="C86" s="130" t="n">
        <f aca="false">(B82/((1+B84)^(B85+1)))</f>
        <v>4009.26178718784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26.3248502148426</v>
      </c>
      <c r="C87" s="130" t="n">
        <f aca="false">((1-(1/((1+B84)^B85)))/B84)</f>
        <v>26.3248502148426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18115.7382128122</v>
      </c>
      <c r="C88" s="130" t="n">
        <f aca="false">B81-B86</f>
        <v>18115.7382128122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688.161112597635</v>
      </c>
      <c r="C89" s="130" t="n">
        <f aca="false">(B88/B87)</f>
        <v>688.161112597635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22021.1556031243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22021.1556031243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688.161112597635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688.161112597635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263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688.161112597635</v>
      </c>
      <c r="B167" s="174" t="str">
        <f aca="false">B94</f>
        <v>0</v>
      </c>
      <c r="C167" s="171"/>
      <c r="D167" s="171"/>
      <c r="E167" s="174" t="n">
        <f aca="false">B96</f>
        <v>688.161112597635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-1978.84439687567</v>
      </c>
      <c r="B182" s="99" t="str">
        <f aca="false">B114</f>
        <v>239.99</v>
      </c>
      <c r="C182" s="99"/>
      <c r="D182" s="23"/>
      <c r="E182" s="99" t="n">
        <f aca="false">E179+A182+B182+A185</f>
        <v>28271.1456031243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234.375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334.366666666667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688.161112597635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688.161112597635</v>
      </c>
      <c r="B212" s="174" t="str">
        <f aca="false">B167</f>
        <v>0</v>
      </c>
      <c r="C212" s="171"/>
      <c r="D212" s="171"/>
      <c r="E212" s="174" t="n">
        <f aca="false">E167</f>
        <v>688.161112597635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-1978.84439687567</v>
      </c>
      <c r="B224" s="99" t="str">
        <f aca="false">B182</f>
        <v>239.99</v>
      </c>
      <c r="C224" s="99"/>
      <c r="D224" s="109"/>
      <c r="E224" s="99" t="n">
        <f aca="false">E182</f>
        <v>28271.1456031243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688.161112597635</v>
      </c>
      <c r="B230" s="99" t="str">
        <f aca="false">B167</f>
        <v>0</v>
      </c>
      <c r="C230" s="183"/>
      <c r="D230" s="183"/>
      <c r="E230" s="99" t="n">
        <f aca="false">E167</f>
        <v>688.161112597635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234.375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2209.36666666667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281.25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-181.258333333333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281.25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-181.258333333333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" colorId="64" zoomScale="75" zoomScaleNormal="7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21125.0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392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384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385</v>
      </c>
      <c r="C35" s="219"/>
      <c r="D35" s="219" t="s">
        <v>386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389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387</v>
      </c>
      <c r="C38" s="219"/>
      <c r="D38" s="100" t="s">
        <v>388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385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17717.1617093596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IF(A111="YES",D41,0)*1.2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16943.1682206957</v>
      </c>
      <c r="C88" s="130" t="n">
        <f aca="false">B81-B86</f>
        <v>16943.1682206957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1656.1965190327</v>
      </c>
      <c r="C89" s="130" t="n">
        <f aca="false">(B88/B87)</f>
        <v>1656.1965190327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18218.1617093596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18218.1617093596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1656.1965190327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1656.1965190327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387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391</v>
      </c>
      <c r="C108" s="103"/>
      <c r="D108" s="103" t="n">
        <v>0.0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387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390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23125.0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1656.1965190327</v>
      </c>
      <c r="B167" s="174" t="str">
        <f aca="false">B94</f>
        <v>0</v>
      </c>
      <c r="C167" s="171"/>
      <c r="D167" s="171"/>
      <c r="E167" s="174" t="n">
        <f aca="false">B96</f>
        <v>1656.1965190327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-5781.83829064035</v>
      </c>
      <c r="B182" s="99" t="str">
        <f aca="false">B114</f>
        <v>199.99</v>
      </c>
      <c r="C182" s="99"/>
      <c r="D182" s="23"/>
      <c r="E182" s="99" t="n">
        <f aca="false">E179+A182+B182+A185</f>
        <v>24428.1517093596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224.99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1656.1965190327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1656.1965190327</v>
      </c>
      <c r="B212" s="174" t="str">
        <f aca="false">B167</f>
        <v>0</v>
      </c>
      <c r="C212" s="171"/>
      <c r="D212" s="171"/>
      <c r="E212" s="174" t="n">
        <f aca="false">E167</f>
        <v>1656.1965190327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-5781.83829064035</v>
      </c>
      <c r="B224" s="99" t="str">
        <f aca="false">B182</f>
        <v>199.99</v>
      </c>
      <c r="C224" s="99"/>
      <c r="D224" s="109"/>
      <c r="E224" s="99" t="n">
        <f aca="false">E182</f>
        <v>24428.1517093596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1656.1965190327</v>
      </c>
      <c r="B230" s="99" t="str">
        <f aca="false">B167</f>
        <v>0</v>
      </c>
      <c r="C230" s="183"/>
      <c r="D230" s="183"/>
      <c r="E230" s="99" t="n">
        <f aca="false">E167</f>
        <v>1656.1965190327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2099.99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-50.01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-50.01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3" colorId="64" zoomScale="75" zoomScaleNormal="75" zoomScalePageLayoutView="100" workbookViewId="0">
      <selection pane="topLeft" activeCell="K18" activeCellId="0" sqref="K1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21125.0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392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384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385</v>
      </c>
      <c r="C35" s="219"/>
      <c r="D35" s="219" t="s">
        <v>386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393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387</v>
      </c>
      <c r="C38" s="219"/>
      <c r="D38" s="100" t="s">
        <v>388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385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17031.8367972182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IF(A111="YES",D41,0)*1.2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5433.96849626786</v>
      </c>
      <c r="C86" s="130" t="n">
        <f aca="false">(B82/((1+B84)^(B85+1)))</f>
        <v>5433.96849626786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10.4718562469129</v>
      </c>
      <c r="C87" s="130" t="n">
        <f aca="false">((1-(1/((1+B84)^B85)))/B84)</f>
        <v>10.4718562469129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16691.0315037321</v>
      </c>
      <c r="C88" s="130" t="n">
        <f aca="false">B81-B86</f>
        <v>16691.0315037321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1593.89425429256</v>
      </c>
      <c r="C89" s="130" t="n">
        <f aca="false">(B88/B87)</f>
        <v>1593.89425429256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17532.8367972182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17532.8367972182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1593.89425429256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1593.89425429256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268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387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398</v>
      </c>
      <c r="C108" s="103"/>
      <c r="D108" s="103" t="n">
        <v>0.0</v>
      </c>
      <c r="E108" s="104" t="n">
        <f aca="false">B83</f>
        <v>0.0995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387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397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23125.0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1593.89425429256</v>
      </c>
      <c r="B167" s="174" t="str">
        <f aca="false">B94</f>
        <v>0</v>
      </c>
      <c r="C167" s="171"/>
      <c r="D167" s="171"/>
      <c r="E167" s="174" t="n">
        <f aca="false">B96</f>
        <v>1593.89425429256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-6467.16320278182</v>
      </c>
      <c r="B182" s="99" t="str">
        <f aca="false">B114</f>
        <v>199.99</v>
      </c>
      <c r="C182" s="99"/>
      <c r="D182" s="23"/>
      <c r="E182" s="99" t="n">
        <f aca="false">E179+A182+B182+A185</f>
        <v>23742.8267972182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199.99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125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66.6583333333334</v>
      </c>
      <c r="B191" s="99" t="n">
        <f aca="false">B188+E188+A191</f>
        <v>191.658333333333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1593.89425429256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1593.89425429256</v>
      </c>
      <c r="B212" s="174" t="str">
        <f aca="false">B167</f>
        <v>0</v>
      </c>
      <c r="C212" s="171"/>
      <c r="D212" s="171"/>
      <c r="E212" s="174" t="n">
        <f aca="false">E167</f>
        <v>1593.89425429256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-6467.16320278182</v>
      </c>
      <c r="B224" s="99" t="str">
        <f aca="false">B182</f>
        <v>199.99</v>
      </c>
      <c r="C224" s="99"/>
      <c r="D224" s="109"/>
      <c r="E224" s="99" t="n">
        <f aca="false">E182</f>
        <v>23742.8267972182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199.99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1593.89425429256</v>
      </c>
      <c r="B230" s="99" t="str">
        <f aca="false">B167</f>
        <v>0</v>
      </c>
      <c r="C230" s="183"/>
      <c r="D230" s="183"/>
      <c r="E230" s="99" t="n">
        <f aca="false">E167</f>
        <v>1593.89425429256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66.6583333333334</v>
      </c>
      <c r="B243" s="99" t="n">
        <f aca="false">B240+E240+A243+A240</f>
        <v>2066.65833333333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66.6583333333334</v>
      </c>
      <c r="C255" s="194"/>
      <c r="D255" s="195" t="s">
        <v>218</v>
      </c>
      <c r="E255" s="195"/>
      <c r="F255" s="196" t="n">
        <f aca="false">(B254-F254)+B255</f>
        <v>-83.3416666666667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0.0995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66.6583333333334</v>
      </c>
      <c r="C263" s="32"/>
      <c r="D263" s="39" t="s">
        <v>218</v>
      </c>
      <c r="E263" s="39"/>
      <c r="F263" s="143" t="n">
        <f aca="false">(B254-F254)+B255</f>
        <v>-83.3416666666667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0" colorId="64" zoomScale="75" zoomScaleNormal="7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21125.0</v>
      </c>
      <c r="C9" s="14" t="n">
        <f aca="false">B9*0.2</f>
        <v>4225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8.91666666666667</v>
      </c>
      <c r="E32" s="222"/>
      <c r="F32" s="63"/>
      <c r="G32" s="223" t="s">
        <v>241</v>
      </c>
      <c r="H32" s="221" t="n">
        <f aca="false">A41</f>
        <v>8.91666666666667</v>
      </c>
      <c r="I32" s="0"/>
      <c r="J32" s="44" t="s">
        <v>37</v>
      </c>
      <c r="K32" s="262" t="s">
        <v>392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384</v>
      </c>
      <c r="P34" s="208"/>
    </row>
    <row r="35" customFormat="false" ht="17.35" hidden="false" customHeight="false" outlineLevel="0" collapsed="false">
      <c r="A35" s="222" t="n">
        <f aca="false">B32+D32</f>
        <v>508.916666666667</v>
      </c>
      <c r="B35" s="219" t="s">
        <v>385</v>
      </c>
      <c r="C35" s="219"/>
      <c r="D35" s="219" t="s">
        <v>386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393</v>
      </c>
      <c r="I36" s="0"/>
      <c r="J36" s="44" t="s">
        <v>51</v>
      </c>
      <c r="K36" s="52" t="n">
        <f aca="false">K32-K34</f>
        <v>20125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387</v>
      </c>
      <c r="C38" s="219"/>
      <c r="D38" s="100" t="s">
        <v>388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8.91666666666667</v>
      </c>
      <c r="B41" s="237" t="n">
        <f aca="false">IF(B38="YES", D38+A41, D38)</f>
        <v>508.916666666667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385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8.91666666666667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509.916666666667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509.916666666667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14443.388520029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138.75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20125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6218.19813516518</v>
      </c>
      <c r="C86" s="130" t="n">
        <f aca="false">(B82/((1+B84)^(B85+1)))</f>
        <v>6218.19813516518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13906.8018648348</v>
      </c>
      <c r="C88" s="130" t="n">
        <f aca="false">B81-B86</f>
        <v>13906.8018648348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1359.39138060869</v>
      </c>
      <c r="C89" s="130" t="n">
        <f aca="false">(B88/B87)</f>
        <v>1359.39138060869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14953.3051866956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14953.3051866956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11.6727272727273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1359.39138060869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1371.06410788142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387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391</v>
      </c>
      <c r="C108" s="103"/>
      <c r="D108" s="103" t="n">
        <v>0.0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387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390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25350</v>
      </c>
      <c r="C121" s="117" t="n">
        <v>23125.0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25350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21125</v>
      </c>
      <c r="H135" s="150" t="n">
        <f aca="false">C125+E125+G125+H128</f>
        <v>23125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4225</v>
      </c>
      <c r="H137" s="33" t="n">
        <f aca="false">(H135+H136)*20%</f>
        <v>4625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25350</v>
      </c>
      <c r="H141" s="154" t="n">
        <f aca="false">(H135+H136+H139+H140+H137)-H138</f>
        <v>27750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25350</v>
      </c>
      <c r="H147" s="161" t="n">
        <f aca="false">H141-((H144*1.2)+(H145*1.2)+(H146*1.2)+(H142*1.2))</f>
        <v>27750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27750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1359.39138060869</v>
      </c>
      <c r="B167" s="174" t="n">
        <f aca="false">B94</f>
        <v>11.6727272727273</v>
      </c>
      <c r="C167" s="171"/>
      <c r="D167" s="171"/>
      <c r="E167" s="174" t="n">
        <f aca="false">B96</f>
        <v>1371.06410788142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27750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-5596.69481330438</v>
      </c>
      <c r="B182" s="99" t="str">
        <f aca="false">B114</f>
        <v>199.99</v>
      </c>
      <c r="C182" s="99"/>
      <c r="D182" s="23"/>
      <c r="E182" s="99" t="n">
        <f aca="false">E179+A182+B182+A185</f>
        <v>22363.2951866956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115.625</v>
      </c>
      <c r="C188" s="130"/>
      <c r="D188" s="130"/>
      <c r="E188" s="99" t="n">
        <f aca="false">IF(E105 ="YES" , (H36*A108)*0.1 , 0)</f>
        <v>2.14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217.755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1371.06410788142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1359.39138060869</v>
      </c>
      <c r="B212" s="174" t="n">
        <f aca="false">B167</f>
        <v>11.6727272727273</v>
      </c>
      <c r="C212" s="171"/>
      <c r="D212" s="171"/>
      <c r="E212" s="174" t="n">
        <f aca="false">E167</f>
        <v>1371.06410788142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-5596.69481330438</v>
      </c>
      <c r="B224" s="99" t="str">
        <f aca="false">B182</f>
        <v>199.99</v>
      </c>
      <c r="C224" s="99"/>
      <c r="D224" s="109"/>
      <c r="E224" s="99" t="n">
        <f aca="false">E182</f>
        <v>22363.2951866956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1359.39138060869</v>
      </c>
      <c r="B230" s="99" t="n">
        <f aca="false">B167</f>
        <v>11.6727272727273</v>
      </c>
      <c r="C230" s="183"/>
      <c r="D230" s="183"/>
      <c r="E230" s="99" t="n">
        <f aca="false">E167</f>
        <v>1371.06410788142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115.625</v>
      </c>
      <c r="C240" s="130"/>
      <c r="D240" s="130"/>
      <c r="E240" s="99" t="n">
        <f aca="false">IF(E105 = "YES" , (H36*A108)*0.1 , 0)</f>
        <v>2.14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2217.755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138.75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121.39</v>
      </c>
      <c r="C255" s="194"/>
      <c r="D255" s="195" t="s">
        <v>218</v>
      </c>
      <c r="E255" s="195"/>
      <c r="F255" s="196" t="n">
        <f aca="false">(B254-F254)+B255</f>
        <v>-17.36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138.75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21.4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-17.36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37" colorId="64" zoomScale="75" zoomScaleNormal="75" zoomScalePageLayoutView="100" workbookViewId="0">
      <selection pane="topLeft" activeCell="B61" activeCellId="0" sqref="B6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142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250</v>
      </c>
      <c r="B43" s="236" t="s">
        <v>251</v>
      </c>
      <c r="C43" s="226"/>
      <c r="D43" s="236" t="s">
        <v>255</v>
      </c>
      <c r="E43" s="239"/>
      <c r="F43" s="63"/>
      <c r="G43" s="63" t="s">
        <v>252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253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273</v>
      </c>
      <c r="B46" s="226"/>
      <c r="C46" s="226"/>
      <c r="D46" s="226"/>
      <c r="E46" s="239"/>
      <c r="F46" s="63"/>
      <c r="G46" s="63" t="s">
        <v>258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274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275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2836.82</v>
      </c>
      <c r="C64" s="211" t="n">
        <v>10000</v>
      </c>
      <c r="D64" s="290" t="n">
        <f aca="false">B64</f>
        <v>2836.82</v>
      </c>
      <c r="E64" s="212"/>
      <c r="F64" s="63"/>
      <c r="G64" s="284" t="s">
        <v>93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405.26</v>
      </c>
      <c r="C67" s="211"/>
      <c r="D67" s="290"/>
      <c r="E67" s="212"/>
      <c r="F67" s="63"/>
      <c r="G67" s="284" t="s">
        <v>96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0</v>
      </c>
      <c r="C74" s="211"/>
      <c r="D74" s="211"/>
      <c r="E74" s="212"/>
      <c r="F74" s="63"/>
      <c r="G74" s="291" t="s">
        <v>278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279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280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281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281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282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4163.48666666667</v>
      </c>
      <c r="C81" s="211"/>
      <c r="D81" s="211"/>
      <c r="E81" s="212"/>
      <c r="F81" s="63"/>
      <c r="G81" s="302" t="s">
        <v>105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346.957222222222</v>
      </c>
      <c r="C82" s="211"/>
      <c r="D82" s="211"/>
      <c r="E82" s="212"/>
      <c r="F82" s="63"/>
      <c r="G82" s="210" t="s">
        <v>106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((B83*(H29)+B81))*1.2</f>
        <v>12210.584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(((B83*(H29))+B81)/(1-B70))*B70</f>
        <v>86.1981524808391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8296.78215248084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120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691.398512706737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1049.32179292726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763.398512706737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285</v>
      </c>
      <c r="B99" s="311" t="s">
        <v>286</v>
      </c>
      <c r="C99" s="311"/>
      <c r="D99" s="103" t="n">
        <v>1000</v>
      </c>
      <c r="E99" s="103"/>
      <c r="F99" s="63"/>
      <c r="G99" s="216" t="s">
        <v>285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289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259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260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261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290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262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264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265</v>
      </c>
      <c r="AA107" s="63"/>
    </row>
    <row r="108" customFormat="false" ht="18.75" hidden="false" customHeight="true" outlineLevel="0" collapsed="false">
      <c r="A108" s="213" t="s">
        <v>291</v>
      </c>
      <c r="B108" s="213" t="n">
        <v>0</v>
      </c>
      <c r="C108" s="213"/>
      <c r="D108" s="213" t="n">
        <v>0</v>
      </c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266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267</v>
      </c>
    </row>
    <row r="110" customFormat="false" ht="18.75" hidden="false" customHeight="true" outlineLevel="0" collapsed="false">
      <c r="A110" s="210" t="s">
        <v>292</v>
      </c>
      <c r="B110" s="218" t="s">
        <v>18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(E118+E117)-D115</f>
        <v>-2760.012</v>
      </c>
      <c r="F119" s="63"/>
      <c r="G119" s="314" t="s">
        <v>293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691.398512706737</v>
      </c>
      <c r="B128" s="320" t="n">
        <f aca="false">IF(A105="YES", B89, 0)</f>
        <v>72</v>
      </c>
      <c r="C128" s="325"/>
      <c r="D128" s="320" t="n">
        <f aca="false">B91</f>
        <v>763.398512706737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297</v>
      </c>
      <c r="H129" s="327" t="s">
        <v>298</v>
      </c>
      <c r="I129" s="327"/>
      <c r="J129" s="327" t="s">
        <v>299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6222.58661436063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6870.58661436063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691.398512706737</v>
      </c>
      <c r="B137" s="38" t="n">
        <f aca="false">IF(A105="YES", B89, 0)</f>
        <v>72</v>
      </c>
      <c r="C137" s="316"/>
      <c r="D137" s="38" t="n">
        <f aca="false">B91</f>
        <v>763.398512706737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405.26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917.25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763.398512706737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285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295</v>
      </c>
      <c r="C170" s="354"/>
      <c r="D170" s="353" t="s">
        <v>296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691.398512706737</v>
      </c>
      <c r="B171" s="354" t="n">
        <f aca="false">IF(A105="YES", B89, 0)</f>
        <v>72</v>
      </c>
      <c r="C171" s="357"/>
      <c r="D171" s="354" t="n">
        <f aca="false">B91</f>
        <v>763.398512706737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6"/>
      <c r="D173" s="358" t="s">
        <v>301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6222.58661436063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305</v>
      </c>
      <c r="B176" s="163" t="s">
        <v>306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6870.58661436063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295</v>
      </c>
      <c r="C179" s="352"/>
      <c r="D179" s="352" t="s">
        <v>296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691.398512706737</v>
      </c>
      <c r="B180" s="99" t="n">
        <f aca="false">IF(A105="YES", B89, 0)</f>
        <v>72</v>
      </c>
      <c r="C180" s="352"/>
      <c r="D180" s="99" t="n">
        <f aca="false">B91</f>
        <v>763.398512706737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313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99"/>
      <c r="D185" s="363" t="s">
        <v>281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405.26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917.25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B209</f>
        <v>0.065</v>
      </c>
      <c r="C203" s="320" t="s">
        <v>215</v>
      </c>
      <c r="D203" s="369" t="n">
        <f aca="false">D64</f>
        <v>2836.82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405.26</v>
      </c>
      <c r="C205" s="319" t="s">
        <v>217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2891.55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2836.82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405.26</v>
      </c>
      <c r="C213" s="335" t="s">
        <v>327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327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328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2891.55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329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330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86.1981524808391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331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332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9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142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250</v>
      </c>
      <c r="B43" s="236" t="s">
        <v>251</v>
      </c>
      <c r="C43" s="226"/>
      <c r="D43" s="236" t="s">
        <v>255</v>
      </c>
      <c r="E43" s="239"/>
      <c r="F43" s="63"/>
      <c r="G43" s="63" t="s">
        <v>252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253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273</v>
      </c>
      <c r="B46" s="226"/>
      <c r="C46" s="226"/>
      <c r="D46" s="226"/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274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275</v>
      </c>
      <c r="B60" s="211" t="n">
        <f aca="false">E19</f>
        <v>25350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1774.5</v>
      </c>
      <c r="C64" s="211" t="n">
        <v>10000</v>
      </c>
      <c r="D64" s="290" t="n">
        <f aca="false">B64</f>
        <v>1774.5</v>
      </c>
      <c r="E64" s="212"/>
      <c r="F64" s="63"/>
      <c r="G64" s="284" t="s">
        <v>93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B60*B66</f>
        <v>253.5</v>
      </c>
      <c r="C67" s="211"/>
      <c r="D67" s="290"/>
      <c r="E67" s="212"/>
      <c r="F67" s="63"/>
      <c r="G67" s="284" t="s">
        <v>96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0</v>
      </c>
      <c r="C74" s="211"/>
      <c r="D74" s="211"/>
      <c r="E74" s="212"/>
      <c r="F74" s="63"/>
      <c r="G74" s="291" t="s">
        <v>278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0</v>
      </c>
      <c r="C75" s="211"/>
      <c r="D75" s="211"/>
      <c r="E75" s="212"/>
      <c r="F75" s="63"/>
      <c r="G75" s="294" t="s">
        <v>279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280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281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281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282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3101.16666666667</v>
      </c>
      <c r="C81" s="211"/>
      <c r="D81" s="211"/>
      <c r="E81" s="212"/>
      <c r="F81" s="63"/>
      <c r="G81" s="302" t="s">
        <v>105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258.430555555556</v>
      </c>
      <c r="C82" s="211"/>
      <c r="D82" s="211"/>
      <c r="E82" s="212"/>
      <c r="F82" s="63"/>
      <c r="G82" s="210" t="s">
        <v>106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</f>
        <v>9113.16666666667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(B85/(1-B70))*B70</f>
        <v>77.1990722065349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5190.3657388732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120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432.530478239434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1049.32179292726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492.530478239434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285</v>
      </c>
      <c r="B99" s="311" t="s">
        <v>286</v>
      </c>
      <c r="C99" s="311"/>
      <c r="D99" s="103" t="n">
        <v>1000</v>
      </c>
      <c r="E99" s="103"/>
      <c r="F99" s="63"/>
      <c r="G99" s="216" t="s">
        <v>285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289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259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260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261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290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262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264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265</v>
      </c>
      <c r="AA107" s="63"/>
    </row>
    <row r="108" customFormat="false" ht="18.75" hidden="false" customHeight="true" outlineLevel="0" collapsed="false">
      <c r="A108" s="213" t="s">
        <v>291</v>
      </c>
      <c r="B108" s="213" t="n">
        <v>0</v>
      </c>
      <c r="C108" s="213"/>
      <c r="D108" s="213" t="n">
        <v>0</v>
      </c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266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267</v>
      </c>
    </row>
    <row r="110" customFormat="false" ht="18.75" hidden="false" customHeight="true" outlineLevel="0" collapsed="false">
      <c r="A110" s="210" t="s">
        <v>292</v>
      </c>
      <c r="B110" s="218" t="s">
        <v>18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(E118+E117)-D115</f>
        <v>-2800.01</v>
      </c>
      <c r="F119" s="63"/>
      <c r="G119" s="314" t="s">
        <v>293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432.530478239434</v>
      </c>
      <c r="B128" s="320" t="n">
        <f aca="false">IF(A105="YES", B89, 0)</f>
        <v>60</v>
      </c>
      <c r="C128" s="325"/>
      <c r="D128" s="320" t="n">
        <f aca="false">B91</f>
        <v>492.530478239434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297</v>
      </c>
      <c r="H129" s="327" t="s">
        <v>298</v>
      </c>
      <c r="I129" s="327"/>
      <c r="J129" s="327" t="s">
        <v>299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3892.7743041549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4432.7743041549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432.530478239434</v>
      </c>
      <c r="B137" s="38" t="n">
        <f aca="false">IF(A105="YES", B89, 0)</f>
        <v>60</v>
      </c>
      <c r="C137" s="316"/>
      <c r="D137" s="38" t="n">
        <f aca="false">B91</f>
        <v>492.530478239434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253.5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765.49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492.530478239434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285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295</v>
      </c>
      <c r="C170" s="354"/>
      <c r="D170" s="353" t="s">
        <v>296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432.530478239434</v>
      </c>
      <c r="B171" s="354" t="n">
        <f aca="false">IF(A105="YES", B89, 0)</f>
        <v>60</v>
      </c>
      <c r="C171" s="357"/>
      <c r="D171" s="354" t="n">
        <f aca="false">B91</f>
        <v>492.530478239434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6"/>
      <c r="D173" s="358" t="s">
        <v>301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3892.7743041549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305</v>
      </c>
      <c r="B176" s="163" t="s">
        <v>306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4432.7743041549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295</v>
      </c>
      <c r="C179" s="352"/>
      <c r="D179" s="352" t="s">
        <v>296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432.530478239434</v>
      </c>
      <c r="B180" s="99" t="n">
        <f aca="false">IF(A105="YES", B89, 0)</f>
        <v>60</v>
      </c>
      <c r="C180" s="352"/>
      <c r="D180" s="99" t="n">
        <f aca="false">B91</f>
        <v>492.530478239434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313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99"/>
      <c r="D185" s="363" t="s">
        <v>281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253.5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765.49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H29</f>
        <v>12</v>
      </c>
      <c r="C203" s="320" t="s">
        <v>215</v>
      </c>
      <c r="D203" s="369" t="n">
        <f aca="false">D64</f>
        <v>1774.5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253.5</v>
      </c>
      <c r="C205" s="319" t="s">
        <v>217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1980.99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1774.5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253.5</v>
      </c>
      <c r="C213" s="335" t="s">
        <v>327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327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328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1980.99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329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330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77.1990722065349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331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332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75" zoomScaleNormal="75" zoomScalePageLayoutView="100" workbookViewId="0">
      <selection pane="topLeft" activeCell="B116" activeCellId="0" sqref="B11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45029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4225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65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334</v>
      </c>
      <c r="C44" s="100"/>
      <c r="D44" s="100" t="n">
        <v>0</v>
      </c>
      <c r="E44" s="100"/>
      <c r="F44" s="387"/>
      <c r="G44" s="2" t="s">
        <v>67</v>
      </c>
      <c r="H44" s="2" t="n">
        <f aca="false">((H40-(((H42/(1.2))*0.2)))/(H43))</f>
        <v>268.75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231.25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335</v>
      </c>
      <c r="B46" s="226" t="s">
        <v>336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335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233.916666666667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26"/>
      <c r="E50" s="239"/>
      <c r="F50" s="387"/>
      <c r="G50" s="2" t="s">
        <v>337</v>
      </c>
      <c r="H50" s="2" t="n">
        <f aca="false">H49-H41</f>
        <v>233.916666666667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233.916666666667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335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233.916666666667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275</v>
      </c>
      <c r="B66" s="211" t="n">
        <f aca="false">E19</f>
        <v>25350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276</v>
      </c>
      <c r="B68" s="292" t="n">
        <v>0.07</v>
      </c>
      <c r="C68" s="316"/>
      <c r="D68" s="316"/>
      <c r="E68" s="317"/>
      <c r="F68" s="387"/>
      <c r="G68" s="398" t="s">
        <v>276</v>
      </c>
      <c r="H68" s="399" t="n">
        <v>0.07</v>
      </c>
      <c r="I68" s="316"/>
      <c r="J68" s="316"/>
      <c r="K68" s="317"/>
      <c r="L68" s="387"/>
      <c r="M68" s="398" t="s">
        <v>276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277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277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93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93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93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94</v>
      </c>
      <c r="B71" s="292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316"/>
      <c r="D73" s="32"/>
      <c r="E73" s="317"/>
      <c r="F73" s="387"/>
      <c r="G73" s="365" t="s">
        <v>96</v>
      </c>
      <c r="H73" s="65" t="n">
        <f aca="false">H67*H72</f>
        <v>202.63</v>
      </c>
      <c r="I73" s="316"/>
      <c r="J73" s="32"/>
      <c r="K73" s="317"/>
      <c r="L73" s="387"/>
      <c r="M73" s="365" t="s">
        <v>96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278</v>
      </c>
      <c r="B80" s="86" t="n">
        <v>275</v>
      </c>
      <c r="C80" s="316"/>
      <c r="D80" s="316"/>
      <c r="E80" s="403" t="n">
        <f aca="false">E79+D82</f>
        <v>957.916666666667</v>
      </c>
      <c r="F80" s="387"/>
      <c r="G80" s="398" t="s">
        <v>278</v>
      </c>
      <c r="H80" s="86" t="n">
        <v>150</v>
      </c>
      <c r="I80" s="316"/>
      <c r="J80" s="316"/>
      <c r="K80" s="317"/>
      <c r="L80" s="387"/>
      <c r="M80" s="404" t="s">
        <v>278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279</v>
      </c>
      <c r="B81" s="77" t="n">
        <v>0</v>
      </c>
      <c r="C81" s="316"/>
      <c r="D81" s="316"/>
      <c r="E81" s="317" t="n">
        <f aca="false">E80/12</f>
        <v>79.8263888888889</v>
      </c>
      <c r="F81" s="387"/>
      <c r="G81" s="400" t="s">
        <v>279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279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280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280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280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281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281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281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338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282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282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4461.40333333333</v>
      </c>
      <c r="C87" s="316"/>
      <c r="D87" s="316"/>
      <c r="E87" s="317"/>
      <c r="F87" s="387"/>
      <c r="G87" s="411" t="s">
        <v>105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105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371.783611111111</v>
      </c>
      <c r="C88" s="316"/>
      <c r="D88" s="316"/>
      <c r="E88" s="317"/>
      <c r="F88" s="387"/>
      <c r="G88" s="315" t="s">
        <v>106</v>
      </c>
      <c r="H88" s="33" t="n">
        <f aca="false">H87/H29</f>
        <v>499.200277777778</v>
      </c>
      <c r="I88" s="316"/>
      <c r="J88" s="316"/>
      <c r="K88" s="317"/>
      <c r="L88" s="387"/>
      <c r="M88" s="315" t="s">
        <v>106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233.916666666667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((B89*H29)+B87)*1.2</f>
        <v>8722.084</v>
      </c>
      <c r="C91" s="316"/>
      <c r="D91" s="316"/>
      <c r="E91" s="317"/>
      <c r="F91" s="387"/>
      <c r="G91" s="395" t="s">
        <v>117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117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61.5717910447761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118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4783.65579104478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IF(B105=Z104,(((H41*A32)+(H41*A32)*(B111/100))/(B64)),(((H41*A32)+(H41*A32)*(B111/100))/(B63+B64)))*1.2</f>
        <v>0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398.637982587065</v>
      </c>
      <c r="C96" s="316"/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398.637982587065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387"/>
      <c r="G100" s="209" t="s">
        <v>283</v>
      </c>
      <c r="H100" s="209"/>
      <c r="I100" s="209"/>
      <c r="J100" s="209"/>
      <c r="K100" s="209"/>
      <c r="L100" s="387"/>
      <c r="M100" s="209" t="s">
        <v>339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284</v>
      </c>
      <c r="E104" s="317"/>
      <c r="F104" s="387"/>
      <c r="G104" s="315" t="s">
        <v>128</v>
      </c>
      <c r="H104" s="316" t="s">
        <v>23</v>
      </c>
      <c r="I104" s="316"/>
      <c r="J104" s="316" t="s">
        <v>284</v>
      </c>
      <c r="K104" s="317"/>
      <c r="L104" s="387"/>
      <c r="M104" s="315" t="s">
        <v>128</v>
      </c>
      <c r="N104" s="316" t="s">
        <v>23</v>
      </c>
      <c r="O104" s="316"/>
      <c r="P104" s="316" t="s">
        <v>284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259</v>
      </c>
    </row>
    <row r="105" customFormat="false" ht="18.75" hidden="false" customHeight="true" outlineLevel="0" collapsed="false">
      <c r="A105" s="373"/>
      <c r="B105" s="311" t="s">
        <v>131</v>
      </c>
      <c r="C105" s="311"/>
      <c r="D105" s="420" t="n">
        <v>1000</v>
      </c>
      <c r="E105" s="420"/>
      <c r="F105" s="387"/>
      <c r="G105" s="373" t="s">
        <v>285</v>
      </c>
      <c r="H105" s="311" t="s">
        <v>265</v>
      </c>
      <c r="I105" s="311"/>
      <c r="J105" s="420" t="n">
        <v>5000</v>
      </c>
      <c r="K105" s="420"/>
      <c r="L105" s="387"/>
      <c r="M105" s="373" t="s">
        <v>285</v>
      </c>
      <c r="N105" s="311" t="s">
        <v>264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260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261</v>
      </c>
    </row>
    <row r="107" customFormat="false" ht="18.75" hidden="false" customHeight="true" outlineLevel="0" collapsed="false">
      <c r="A107" s="315" t="s">
        <v>287</v>
      </c>
      <c r="B107" s="316" t="s">
        <v>288</v>
      </c>
      <c r="C107" s="316"/>
      <c r="D107" s="316" t="s">
        <v>289</v>
      </c>
      <c r="E107" s="317"/>
      <c r="F107" s="387"/>
      <c r="G107" s="315" t="s">
        <v>287</v>
      </c>
      <c r="H107" s="316" t="s">
        <v>288</v>
      </c>
      <c r="I107" s="316"/>
      <c r="J107" s="316" t="s">
        <v>289</v>
      </c>
      <c r="K107" s="317"/>
      <c r="L107" s="387"/>
      <c r="M107" s="315" t="s">
        <v>287</v>
      </c>
      <c r="N107" s="316" t="s">
        <v>288</v>
      </c>
      <c r="O107" s="316"/>
      <c r="P107" s="316" t="s">
        <v>289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262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264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265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266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267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340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387"/>
      <c r="G114" s="213" t="s">
        <v>291</v>
      </c>
      <c r="H114" s="213"/>
      <c r="I114" s="213"/>
      <c r="J114" s="213"/>
      <c r="K114" s="213"/>
      <c r="L114" s="387"/>
      <c r="M114" s="213" t="s">
        <v>291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292</v>
      </c>
      <c r="B116" s="388" t="s">
        <v>18</v>
      </c>
      <c r="C116" s="316"/>
      <c r="D116" s="316"/>
      <c r="E116" s="317"/>
      <c r="F116" s="387"/>
      <c r="G116" s="315" t="s">
        <v>292</v>
      </c>
      <c r="H116" s="388" t="s">
        <v>18</v>
      </c>
      <c r="I116" s="316"/>
      <c r="J116" s="316"/>
      <c r="K116" s="317"/>
      <c r="L116" s="387"/>
      <c r="M116" s="315" t="s">
        <v>292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293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293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293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387"/>
      <c r="G128" s="213" t="s">
        <v>294</v>
      </c>
      <c r="H128" s="213"/>
      <c r="I128" s="213"/>
      <c r="J128" s="213"/>
      <c r="K128" s="213"/>
      <c r="L128" s="387"/>
      <c r="M128" s="213" t="s">
        <v>294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398.637982587065</v>
      </c>
      <c r="B134" s="320" t="n">
        <f aca="false">IF(A111="YES", B95, 0)</f>
        <v>0</v>
      </c>
      <c r="C134" s="324"/>
      <c r="D134" s="320" t="n">
        <f aca="false">B97</f>
        <v>398.637982587065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297</v>
      </c>
      <c r="H135" s="423" t="s">
        <v>298</v>
      </c>
      <c r="I135" s="423"/>
      <c r="J135" s="423" t="s">
        <v>299</v>
      </c>
      <c r="K135" s="317"/>
      <c r="L135" s="387"/>
      <c r="M135" s="422" t="s">
        <v>341</v>
      </c>
      <c r="N135" s="423" t="s">
        <v>248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398.637982587065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302</v>
      </c>
      <c r="H138" s="316" t="s">
        <v>303</v>
      </c>
      <c r="I138" s="316"/>
      <c r="J138" s="316" t="s">
        <v>304</v>
      </c>
      <c r="K138" s="317"/>
      <c r="L138" s="387"/>
      <c r="M138" s="315" t="s">
        <v>342</v>
      </c>
      <c r="N138" s="316" t="s">
        <v>239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398.637982587065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307</v>
      </c>
      <c r="H141" s="316" t="s">
        <v>308</v>
      </c>
      <c r="I141" s="316"/>
      <c r="J141" s="316" t="s">
        <v>309</v>
      </c>
      <c r="K141" s="317"/>
      <c r="L141" s="387"/>
      <c r="M141" s="315" t="s">
        <v>250</v>
      </c>
      <c r="N141" s="316" t="s">
        <v>251</v>
      </c>
      <c r="O141" s="316"/>
      <c r="P141" s="316" t="s">
        <v>255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398.637982587065</v>
      </c>
      <c r="B143" s="38" t="n">
        <f aca="false">IF(A111="YES", B95, 0)</f>
        <v>0</v>
      </c>
      <c r="C143" s="316"/>
      <c r="D143" s="38" t="n">
        <f aca="false">B97</f>
        <v>398.637982587065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310</v>
      </c>
      <c r="H144" s="316" t="s">
        <v>311</v>
      </c>
      <c r="I144" s="316"/>
      <c r="J144" s="316" t="s">
        <v>312</v>
      </c>
      <c r="K144" s="317"/>
      <c r="L144" s="387"/>
      <c r="M144" s="315" t="s">
        <v>142</v>
      </c>
      <c r="N144" s="316" t="s">
        <v>311</v>
      </c>
      <c r="O144" s="316"/>
      <c r="P144" s="316" t="s">
        <v>312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314</v>
      </c>
      <c r="H147" s="316" t="s">
        <v>315</v>
      </c>
      <c r="I147" s="316"/>
      <c r="J147" s="316" t="s">
        <v>316</v>
      </c>
      <c r="K147" s="317"/>
      <c r="L147" s="387"/>
      <c r="M147" s="315" t="s">
        <v>314</v>
      </c>
      <c r="N147" s="316" t="s">
        <v>315</v>
      </c>
      <c r="O147" s="316"/>
      <c r="P147" s="316" t="s">
        <v>316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318</v>
      </c>
      <c r="H150" s="316" t="s">
        <v>319</v>
      </c>
      <c r="I150" s="316"/>
      <c r="J150" s="316"/>
      <c r="K150" s="317"/>
      <c r="L150" s="387"/>
      <c r="M150" s="315" t="s">
        <v>318</v>
      </c>
      <c r="N150" s="316" t="s">
        <v>319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343</v>
      </c>
      <c r="N153" s="39" t="s">
        <v>344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324</v>
      </c>
      <c r="H154" s="316"/>
      <c r="I154" s="316"/>
      <c r="J154" s="348"/>
      <c r="K154" s="349"/>
      <c r="L154" s="387"/>
      <c r="M154" s="424" t="n">
        <f aca="false">H40</f>
        <v>4225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753.491666666667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324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398.637982587065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398.637982587065</v>
      </c>
      <c r="B177" s="354" t="n">
        <f aca="false">IF(A111="YES", B95, 0)</f>
        <v>0</v>
      </c>
      <c r="C177" s="356"/>
      <c r="D177" s="354" t="n">
        <f aca="false">A177+B177</f>
        <v>398.637982587065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398.637982587065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398.637982587065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398.637982587065</v>
      </c>
      <c r="B186" s="99" t="n">
        <f aca="false">IF(A111="YES", B95, 0)</f>
        <v>0</v>
      </c>
      <c r="C186" s="352"/>
      <c r="D186" s="99" t="n">
        <f aca="false">B97</f>
        <v>398.637982587065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753.491666666667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2836.82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339.991666666667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2923.31166666667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2836.82</v>
      </c>
      <c r="C217" s="374" t="s">
        <v>221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327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2923.31166666667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61.5717910447761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275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8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45029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335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4225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4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72</v>
      </c>
      <c r="B44" s="100" t="s">
        <v>334</v>
      </c>
      <c r="C44" s="100"/>
      <c r="D44" s="100" t="s">
        <v>334</v>
      </c>
      <c r="E44" s="100"/>
      <c r="F44" s="387"/>
      <c r="G44" s="2" t="s">
        <v>67</v>
      </c>
      <c r="H44" s="2" t="n">
        <f aca="false">((H40-(((H42/(1.2))*0.2)))/(H43))</f>
        <v>268.75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281.25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335</v>
      </c>
      <c r="B46" s="226" t="s">
        <v>336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335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283.916666666667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337</v>
      </c>
      <c r="H50" s="2" t="n">
        <f aca="false">H49-H41</f>
        <v>233.916666666667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335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283.916666666667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275</v>
      </c>
      <c r="B66" s="211" t="n">
        <f aca="false">E19</f>
        <v>25350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276</v>
      </c>
      <c r="B68" s="292" t="n">
        <v>0.07</v>
      </c>
      <c r="C68" s="316"/>
      <c r="D68" s="316"/>
      <c r="E68" s="317"/>
      <c r="F68" s="387"/>
      <c r="G68" s="398" t="s">
        <v>276</v>
      </c>
      <c r="H68" s="399" t="n">
        <v>0.07</v>
      </c>
      <c r="I68" s="316"/>
      <c r="J68" s="316"/>
      <c r="K68" s="317"/>
      <c r="L68" s="387"/>
      <c r="M68" s="398" t="s">
        <v>276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277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277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93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93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93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94</v>
      </c>
      <c r="B71" s="292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316"/>
      <c r="D73" s="32"/>
      <c r="E73" s="317"/>
      <c r="F73" s="387"/>
      <c r="G73" s="365" t="s">
        <v>96</v>
      </c>
      <c r="H73" s="65" t="n">
        <f aca="false">H67*H72</f>
        <v>202.63</v>
      </c>
      <c r="I73" s="316"/>
      <c r="J73" s="32"/>
      <c r="K73" s="317"/>
      <c r="L73" s="387"/>
      <c r="M73" s="365" t="s">
        <v>96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278</v>
      </c>
      <c r="B80" s="86" t="n">
        <v>275</v>
      </c>
      <c r="C80" s="316"/>
      <c r="D80" s="316"/>
      <c r="E80" s="403" t="n">
        <f aca="false">E79+D82</f>
        <v>957.916666666667</v>
      </c>
      <c r="F80" s="387"/>
      <c r="G80" s="398" t="s">
        <v>278</v>
      </c>
      <c r="H80" s="86" t="n">
        <v>150</v>
      </c>
      <c r="I80" s="316"/>
      <c r="J80" s="316"/>
      <c r="K80" s="317"/>
      <c r="L80" s="387"/>
      <c r="M80" s="404" t="s">
        <v>278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279</v>
      </c>
      <c r="B81" s="77" t="n">
        <v>0</v>
      </c>
      <c r="C81" s="316"/>
      <c r="D81" s="316"/>
      <c r="E81" s="317" t="n">
        <f aca="false">E80/12</f>
        <v>79.8263888888889</v>
      </c>
      <c r="F81" s="387"/>
      <c r="G81" s="400" t="s">
        <v>279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279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280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280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280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281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281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281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338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282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282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4461.40333333333</v>
      </c>
      <c r="C87" s="316"/>
      <c r="D87" s="316"/>
      <c r="E87" s="317"/>
      <c r="F87" s="387"/>
      <c r="G87" s="411" t="s">
        <v>105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105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371.783611111111</v>
      </c>
      <c r="C88" s="316"/>
      <c r="D88" s="316"/>
      <c r="E88" s="317"/>
      <c r="F88" s="387"/>
      <c r="G88" s="315" t="s">
        <v>106</v>
      </c>
      <c r="H88" s="33" t="n">
        <f aca="false">H87/H29</f>
        <v>499.200277777778</v>
      </c>
      <c r="I88" s="316"/>
      <c r="J88" s="316"/>
      <c r="K88" s="317"/>
      <c r="L88" s="387"/>
      <c r="M88" s="315" t="s">
        <v>106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233.916666666667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</f>
        <v>7268.40333333333</v>
      </c>
      <c r="C91" s="316"/>
      <c r="D91" s="316"/>
      <c r="E91" s="317"/>
      <c r="F91" s="387"/>
      <c r="G91" s="395" t="s">
        <v>117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117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61.5717910447761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118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3329.97512437811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</f>
        <v>65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277.497927031509</v>
      </c>
      <c r="C96" s="316" t="s">
        <v>4</v>
      </c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342.497927031509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387"/>
      <c r="G100" s="209" t="s">
        <v>283</v>
      </c>
      <c r="H100" s="209"/>
      <c r="I100" s="209"/>
      <c r="J100" s="209"/>
      <c r="K100" s="209"/>
      <c r="L100" s="387"/>
      <c r="M100" s="209" t="s">
        <v>339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284</v>
      </c>
      <c r="E104" s="317"/>
      <c r="F104" s="387"/>
      <c r="G104" s="315" t="s">
        <v>128</v>
      </c>
      <c r="H104" s="316" t="s">
        <v>23</v>
      </c>
      <c r="I104" s="316"/>
      <c r="J104" s="316" t="s">
        <v>284</v>
      </c>
      <c r="K104" s="317"/>
      <c r="L104" s="387"/>
      <c r="M104" s="315" t="s">
        <v>128</v>
      </c>
      <c r="N104" s="316" t="s">
        <v>23</v>
      </c>
      <c r="O104" s="316"/>
      <c r="P104" s="316" t="s">
        <v>284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259</v>
      </c>
    </row>
    <row r="105" customFormat="false" ht="18.75" hidden="false" customHeight="true" outlineLevel="0" collapsed="false">
      <c r="A105" s="373"/>
      <c r="B105" s="311" t="s">
        <v>131</v>
      </c>
      <c r="C105" s="311"/>
      <c r="D105" s="420" t="n">
        <v>1000</v>
      </c>
      <c r="E105" s="420"/>
      <c r="F105" s="387"/>
      <c r="G105" s="373" t="s">
        <v>285</v>
      </c>
      <c r="H105" s="311" t="s">
        <v>265</v>
      </c>
      <c r="I105" s="311"/>
      <c r="J105" s="420" t="n">
        <v>5000</v>
      </c>
      <c r="K105" s="420"/>
      <c r="L105" s="387"/>
      <c r="M105" s="373" t="s">
        <v>285</v>
      </c>
      <c r="N105" s="311" t="s">
        <v>264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260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261</v>
      </c>
    </row>
    <row r="107" customFormat="false" ht="18.75" hidden="false" customHeight="true" outlineLevel="0" collapsed="false">
      <c r="A107" s="315" t="s">
        <v>287</v>
      </c>
      <c r="B107" s="316" t="s">
        <v>288</v>
      </c>
      <c r="C107" s="316"/>
      <c r="D107" s="316" t="s">
        <v>289</v>
      </c>
      <c r="E107" s="317"/>
      <c r="F107" s="387"/>
      <c r="G107" s="315" t="s">
        <v>287</v>
      </c>
      <c r="H107" s="316" t="s">
        <v>288</v>
      </c>
      <c r="I107" s="316"/>
      <c r="J107" s="316" t="s">
        <v>289</v>
      </c>
      <c r="K107" s="317"/>
      <c r="L107" s="387"/>
      <c r="M107" s="315" t="s">
        <v>287</v>
      </c>
      <c r="N107" s="316" t="s">
        <v>288</v>
      </c>
      <c r="O107" s="316"/>
      <c r="P107" s="316" t="s">
        <v>289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264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265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266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267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340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387"/>
      <c r="G114" s="213" t="s">
        <v>291</v>
      </c>
      <c r="H114" s="213"/>
      <c r="I114" s="213"/>
      <c r="J114" s="213"/>
      <c r="K114" s="213"/>
      <c r="L114" s="387"/>
      <c r="M114" s="213" t="s">
        <v>291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292</v>
      </c>
      <c r="B116" s="388" t="s">
        <v>18</v>
      </c>
      <c r="C116" s="316"/>
      <c r="D116" s="316"/>
      <c r="E116" s="317"/>
      <c r="F116" s="387"/>
      <c r="G116" s="315" t="s">
        <v>292</v>
      </c>
      <c r="H116" s="388" t="s">
        <v>18</v>
      </c>
      <c r="I116" s="316"/>
      <c r="J116" s="316"/>
      <c r="K116" s="317"/>
      <c r="L116" s="387"/>
      <c r="M116" s="315" t="s">
        <v>292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293</v>
      </c>
      <c r="B125" s="366"/>
      <c r="C125" s="366"/>
      <c r="D125" s="366"/>
      <c r="E125" s="65" t="n">
        <f aca="false">(E124+E123)-E120</f>
        <v>-2800.01</v>
      </c>
      <c r="F125" s="387"/>
      <c r="G125" s="421" t="s">
        <v>293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293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387"/>
      <c r="G128" s="213" t="s">
        <v>294</v>
      </c>
      <c r="H128" s="213"/>
      <c r="I128" s="213"/>
      <c r="J128" s="213"/>
      <c r="K128" s="213"/>
      <c r="L128" s="387"/>
      <c r="M128" s="213" t="s">
        <v>294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277.497927031509</v>
      </c>
      <c r="B134" s="320" t="n">
        <f aca="false">IF(A111="YES", B95, 0)</f>
        <v>65</v>
      </c>
      <c r="C134" s="325"/>
      <c r="D134" s="320" t="n">
        <f aca="false">B97</f>
        <v>342.497927031509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297</v>
      </c>
      <c r="H135" s="423" t="s">
        <v>298</v>
      </c>
      <c r="I135" s="423"/>
      <c r="J135" s="423" t="s">
        <v>299</v>
      </c>
      <c r="K135" s="317"/>
      <c r="L135" s="387"/>
      <c r="M135" s="422" t="s">
        <v>341</v>
      </c>
      <c r="N135" s="423" t="s">
        <v>248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277.497927031509</v>
      </c>
      <c r="C137" s="316"/>
      <c r="D137" s="38" t="n">
        <f aca="false">IF(A111="YES", B95*B63, 0)</f>
        <v>65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302</v>
      </c>
      <c r="H138" s="316" t="s">
        <v>303</v>
      </c>
      <c r="I138" s="316"/>
      <c r="J138" s="316" t="s">
        <v>304</v>
      </c>
      <c r="K138" s="317"/>
      <c r="L138" s="387"/>
      <c r="M138" s="315" t="s">
        <v>342</v>
      </c>
      <c r="N138" s="316" t="s">
        <v>239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342.497927031509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307</v>
      </c>
      <c r="H141" s="316" t="s">
        <v>308</v>
      </c>
      <c r="I141" s="316"/>
      <c r="J141" s="316" t="s">
        <v>309</v>
      </c>
      <c r="K141" s="317"/>
      <c r="L141" s="387"/>
      <c r="M141" s="315" t="s">
        <v>250</v>
      </c>
      <c r="N141" s="316" t="s">
        <v>251</v>
      </c>
      <c r="O141" s="316"/>
      <c r="P141" s="316" t="s">
        <v>255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277.497927031509</v>
      </c>
      <c r="B143" s="38" t="n">
        <f aca="false">IF(A111="YES", B95, 0)</f>
        <v>65</v>
      </c>
      <c r="C143" s="316"/>
      <c r="D143" s="38" t="n">
        <f aca="false">B97</f>
        <v>342.497927031509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310</v>
      </c>
      <c r="H144" s="316" t="s">
        <v>311</v>
      </c>
      <c r="I144" s="316"/>
      <c r="J144" s="316" t="s">
        <v>312</v>
      </c>
      <c r="K144" s="317"/>
      <c r="L144" s="387"/>
      <c r="M144" s="315" t="s">
        <v>142</v>
      </c>
      <c r="N144" s="316" t="s">
        <v>311</v>
      </c>
      <c r="O144" s="316"/>
      <c r="P144" s="316" t="s">
        <v>312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314</v>
      </c>
      <c r="H147" s="316" t="s">
        <v>315</v>
      </c>
      <c r="I147" s="316"/>
      <c r="J147" s="316" t="s">
        <v>316</v>
      </c>
      <c r="K147" s="317"/>
      <c r="L147" s="387"/>
      <c r="M147" s="315" t="s">
        <v>314</v>
      </c>
      <c r="N147" s="316" t="s">
        <v>315</v>
      </c>
      <c r="O147" s="316"/>
      <c r="P147" s="316" t="s">
        <v>316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318</v>
      </c>
      <c r="H150" s="316" t="s">
        <v>319</v>
      </c>
      <c r="I150" s="316"/>
      <c r="J150" s="316"/>
      <c r="K150" s="317"/>
      <c r="L150" s="387"/>
      <c r="M150" s="315" t="s">
        <v>318</v>
      </c>
      <c r="N150" s="316" t="s">
        <v>319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343</v>
      </c>
      <c r="N153" s="39" t="s">
        <v>344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253.5</v>
      </c>
      <c r="B154" s="99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324</v>
      </c>
      <c r="H154" s="316"/>
      <c r="I154" s="316"/>
      <c r="J154" s="348"/>
      <c r="K154" s="349"/>
      <c r="L154" s="387"/>
      <c r="M154" s="424" t="n">
        <f aca="false">H40</f>
        <v>4225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771.49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324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342.497927031509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277.497927031509</v>
      </c>
      <c r="B177" s="354" t="n">
        <f aca="false">IF(A111="YES", B95, 0)</f>
        <v>65</v>
      </c>
      <c r="C177" s="357"/>
      <c r="D177" s="354" t="n">
        <f aca="false">B91</f>
        <v>7268.40333333333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277.497927031509</v>
      </c>
      <c r="C180" s="352"/>
      <c r="D180" s="99" t="n">
        <f aca="false">IF(A111="YES", B95*B63, 0)</f>
        <v>65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342.497927031509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277.497927031509</v>
      </c>
      <c r="B186" s="99" t="n">
        <f aca="false">IF(A111="YES", B95, 0)</f>
        <v>65</v>
      </c>
      <c r="C186" s="352"/>
      <c r="D186" s="99" t="n">
        <f aca="false">B97</f>
        <v>342.497927031509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771.49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2836.82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519.99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3103.31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2836.82</v>
      </c>
      <c r="C217" s="374" t="s">
        <v>221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327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3103.31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329</v>
      </c>
      <c r="B225" s="340" t="n">
        <f aca="false">D197/0.1</f>
        <v>180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61.5717910447761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275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345</v>
      </c>
      <c r="B41" s="237" t="str">
        <f aca="false">IF(B38="YES", D38+A41, D38)</f>
        <v>500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334</v>
      </c>
      <c r="C44" s="100"/>
      <c r="D44" s="100" t="s">
        <v>345</v>
      </c>
      <c r="E44" s="100"/>
      <c r="F44" s="63"/>
      <c r="G44" s="63" t="s">
        <v>253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346</v>
      </c>
      <c r="C47" s="428"/>
      <c r="D47" s="100" t="s">
        <v>346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336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278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279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3101.16666666667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258.430555555556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9113.16666666667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77.1990722065349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5190.3657388732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432.530478239434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432.530478239434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347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286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13" t="n">
        <v>0</v>
      </c>
      <c r="C111" s="313"/>
      <c r="D111" s="103" t="s">
        <v>290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432.530478239434</v>
      </c>
      <c r="B134" s="320" t="n">
        <f aca="false">IF(A111="YES", B95, 0)</f>
        <v>0</v>
      </c>
      <c r="C134" s="325"/>
      <c r="D134" s="320" t="n">
        <f aca="false">B97</f>
        <v>432.530478239434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3892.7743041549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3892.7743041549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432.530478239434</v>
      </c>
      <c r="B143" s="38" t="n">
        <f aca="false">IF(A111="YES", B95, 0)</f>
        <v>0</v>
      </c>
      <c r="C143" s="316"/>
      <c r="D143" s="38" t="n">
        <f aca="false">B97</f>
        <v>432.530478239434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753.49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432.530478239434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432.530478239434</v>
      </c>
      <c r="B177" s="354" t="n">
        <f aca="false">IF(A111="YES", B95, 0)</f>
        <v>0</v>
      </c>
      <c r="C177" s="357"/>
      <c r="D177" s="354" t="n">
        <f aca="false">B91</f>
        <v>9113.16666666667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3892.7743041549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3892.7743041549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432.530478239434</v>
      </c>
      <c r="B186" s="99" t="n">
        <f aca="false">IF(A111="YES", B95, 0)</f>
        <v>0</v>
      </c>
      <c r="C186" s="352"/>
      <c r="D186" s="99" t="n">
        <f aca="false">B97</f>
        <v>432.530478239434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753.49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1860.99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77.1990722065349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1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345</v>
      </c>
      <c r="B41" s="237" t="str">
        <f aca="false">IF(B38="YES", D38+A41, D38)</f>
        <v>500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334</v>
      </c>
      <c r="C44" s="100"/>
      <c r="D44" s="100" t="s">
        <v>345</v>
      </c>
      <c r="E44" s="100"/>
      <c r="F44" s="63"/>
      <c r="G44" s="63" t="s">
        <v>253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346</v>
      </c>
      <c r="C47" s="428"/>
      <c r="D47" s="100" t="s">
        <v>346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3399.08333333333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283.256944444445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11293.3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79.7227712787414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7373.02277127874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614.418564273229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614.418564273229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614.418564273229</v>
      </c>
      <c r="B134" s="320" t="n">
        <f aca="false">IF(A111="YES", B95, 0)</f>
        <v>0</v>
      </c>
      <c r="C134" s="325"/>
      <c r="D134" s="320" t="n">
        <f aca="false">B97</f>
        <v>614.418564273229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614.418564273229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614.418564273229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614.418564273229</v>
      </c>
      <c r="B143" s="38" t="n">
        <f aca="false">IF(A111="YES", B95, 0)</f>
        <v>0</v>
      </c>
      <c r="C143" s="316"/>
      <c r="D143" s="38" t="n">
        <f aca="false">B97</f>
        <v>614.418564273229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753.491666666667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614.418564273229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614.418564273229</v>
      </c>
      <c r="B177" s="354" t="n">
        <f aca="false">IF(A111="YES", B95, 0)</f>
        <v>0</v>
      </c>
      <c r="C177" s="357"/>
      <c r="D177" s="354" t="n">
        <f aca="false">B97</f>
        <v>614.418564273229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614.418564273229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614.418564273229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614.418564273229</v>
      </c>
      <c r="B186" s="99" t="n">
        <f aca="false">IF(A111="YES", B95, 0)</f>
        <v>0</v>
      </c>
      <c r="C186" s="352"/>
      <c r="D186" s="99" t="n">
        <f aca="false">B97</f>
        <v>614.418564273229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753.491666666667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1860.99166666667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1860.99166666667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79.7227712787414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4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334</v>
      </c>
      <c r="C44" s="100"/>
      <c r="D44" s="100" t="s">
        <v>346</v>
      </c>
      <c r="E44" s="100"/>
      <c r="F44" s="63"/>
      <c r="G44" s="63" t="s">
        <v>253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346</v>
      </c>
      <c r="C47" s="428"/>
      <c r="D47" s="100" t="s">
        <v>346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2732.41666666667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227.701388888889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8744.41666666667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74.0753327954821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4818.49199946215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50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401.540999955179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401.540999955179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286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290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401.540999955179</v>
      </c>
      <c r="B134" s="320" t="n">
        <f aca="false">IF(A111="YES", B95, 0)</f>
        <v>0</v>
      </c>
      <c r="C134" s="325"/>
      <c r="D134" s="320" t="n">
        <f aca="false">B97</f>
        <v>401.540999955179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3613.86899959661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3613.86899959661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401.540999955179</v>
      </c>
      <c r="B143" s="38" t="n">
        <f aca="false">IF(A111="YES", B95, 0)</f>
        <v>0</v>
      </c>
      <c r="C143" s="316"/>
      <c r="D143" s="38" t="n">
        <f aca="false">B97</f>
        <v>401.540999955179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353.49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401.540999955179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401.540999955179</v>
      </c>
      <c r="B177" s="354" t="n">
        <f aca="false">IF(A111="YES", B95, 0)</f>
        <v>0</v>
      </c>
      <c r="C177" s="357"/>
      <c r="D177" s="354" t="n">
        <f aca="false">B91</f>
        <v>8744.41666666667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3613.86899959661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3613.86899959661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401.540999955179</v>
      </c>
      <c r="B186" s="99" t="n">
        <f aca="false">IF(A111="YES", B95, 0)</f>
        <v>0</v>
      </c>
      <c r="C186" s="352"/>
      <c r="D186" s="99" t="n">
        <f aca="false">B97</f>
        <v>401.540999955179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B154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353.49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1620.99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1620.99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74.0753327954821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8.92</v>
      </c>
      <c r="E32" s="222"/>
      <c r="F32" s="63"/>
      <c r="G32" s="223" t="s">
        <v>241</v>
      </c>
      <c r="H32" s="221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508.92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348</v>
      </c>
      <c r="B41" s="237" t="n">
        <f aca="false">IF(B38="YES", D38+A41, D38)</f>
        <v>508.92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str">
        <f aca="false">H32</f>
        <v>8.92</v>
      </c>
      <c r="I44" s="393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509.92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509.92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278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279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3101.16666666667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258.430555555556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9113.16666666667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77.1990722065349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5190.3657388732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10.704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432.530478239434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443.234478239434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339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432.530478239434</v>
      </c>
      <c r="B134" s="320" t="n">
        <f aca="false">IF(A111="YES", B95, 0)</f>
        <v>10.704</v>
      </c>
      <c r="C134" s="325"/>
      <c r="D134" s="320" t="n">
        <f aca="false">B97</f>
        <v>443.234478239434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432.530478239434</v>
      </c>
      <c r="C137" s="316"/>
      <c r="D137" s="38" t="n">
        <f aca="false">IF(A111="YES", B95*B63, 0)</f>
        <v>10.704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443.234478239434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432.530478239434</v>
      </c>
      <c r="B143" s="38" t="n">
        <f aca="false">IF(A111="YES", B95, 0)</f>
        <v>10.704</v>
      </c>
      <c r="C143" s="316"/>
      <c r="D143" s="38" t="n">
        <f aca="false">B97</f>
        <v>443.234478239434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2.1408</v>
      </c>
      <c r="H148" s="99" t="n">
        <f aca="false">G108-100</f>
        <v>139.988</v>
      </c>
      <c r="I148" s="99"/>
      <c r="J148" s="99" t="n">
        <f aca="false">(H145+J145+G148+H148)-H151</f>
        <v>1390.98713333333</v>
      </c>
      <c r="K148" s="101"/>
      <c r="L148" s="63"/>
      <c r="M148" s="107" t="n">
        <f aca="false">IF(M111="YES", ((A41*N111)*0.1)*(M133), 0)</f>
        <v>2.1408</v>
      </c>
      <c r="N148" s="99" t="n">
        <f aca="false">M108-100</f>
        <v>99.99</v>
      </c>
      <c r="O148" s="99"/>
      <c r="P148" s="99" t="n">
        <f aca="false">(N145+P145+M148+N148)-N151</f>
        <v>1350.98913333333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(A41/100*B111)*B131, 0)*0.1</f>
        <v>2.1408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755.6308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443.234478239434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432.530478239434</v>
      </c>
      <c r="B177" s="354" t="n">
        <f aca="false">IF(A111="YES", B95, 0)</f>
        <v>10.704</v>
      </c>
      <c r="C177" s="357"/>
      <c r="D177" s="354" t="n">
        <f aca="false">B91</f>
        <v>9113.16666666667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432.530478239434</v>
      </c>
      <c r="C180" s="352"/>
      <c r="D180" s="99" t="n">
        <f aca="false">IF(A111="YES", B95*B63, 0)</f>
        <v>10.704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443.234478239434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432.530478239434</v>
      </c>
      <c r="B186" s="99" t="n">
        <f aca="false">IF(A111="YES", B95, 0)</f>
        <v>10.704</v>
      </c>
      <c r="C186" s="352"/>
      <c r="D186" s="99" t="n">
        <f aca="false">B97</f>
        <v>443.234478239434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2.1408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755.6308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361.398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1882.398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1882.398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21.408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77.1990722065349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8.92</v>
      </c>
      <c r="E32" s="222"/>
      <c r="F32" s="63"/>
      <c r="G32" s="223" t="s">
        <v>241</v>
      </c>
      <c r="H32" s="221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508.92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348</v>
      </c>
      <c r="B41" s="237" t="n">
        <f aca="false">IF(B38="YES", D38+A41, D38)</f>
        <v>508.92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str">
        <f aca="false">H32</f>
        <v>8.92</v>
      </c>
      <c r="I44" s="393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509.92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509.92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3399.08333333333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283.256944444445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11293.3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79.7227712787414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7373.02277127874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13.9152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614.418564273229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628.333764273229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614.418564273229</v>
      </c>
      <c r="B134" s="320" t="n">
        <f aca="false">IF(A111="YES", B95, 0)</f>
        <v>13.9152</v>
      </c>
      <c r="C134" s="325"/>
      <c r="D134" s="320" t="n">
        <f aca="false">B97</f>
        <v>628.333764273229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614.418564273229</v>
      </c>
      <c r="C137" s="316"/>
      <c r="D137" s="38" t="n">
        <f aca="false">IF(A111="YES", B95*B63, 0)</f>
        <v>13.9152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628.333764273229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614.418564273229</v>
      </c>
      <c r="B143" s="38" t="n">
        <f aca="false">IF(A111="YES", B95, 0)</f>
        <v>13.9152</v>
      </c>
      <c r="C143" s="316"/>
      <c r="D143" s="38" t="n">
        <f aca="false">B97</f>
        <v>628.333764273229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2.1408</v>
      </c>
      <c r="H148" s="99" t="n">
        <f aca="false">G108-100</f>
        <v>139.988</v>
      </c>
      <c r="I148" s="99"/>
      <c r="J148" s="99" t="n">
        <f aca="false">(H145+J145+G148+H148)-H151</f>
        <v>1390.98713333333</v>
      </c>
      <c r="K148" s="101"/>
      <c r="L148" s="63"/>
      <c r="M148" s="107" t="n">
        <f aca="false">IF(M111="YES", ((A41*N111)*0.1)*(M133), 0)</f>
        <v>2.1408</v>
      </c>
      <c r="N148" s="99" t="n">
        <f aca="false">M108-100</f>
        <v>99.99</v>
      </c>
      <c r="O148" s="99"/>
      <c r="P148" s="99" t="n">
        <f aca="false">(N145+P145+M148+N148)-N151</f>
        <v>1350.98913333333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(A41/100*B111)*B131, 0)*0.1</f>
        <v>3.2112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756.702866666667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628.333764273229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614.418564273229</v>
      </c>
      <c r="B177" s="354" t="n">
        <f aca="false">IF(A111="YES", B95, 0)</f>
        <v>13.9152</v>
      </c>
      <c r="C177" s="357"/>
      <c r="D177" s="354" t="n">
        <f aca="false">B91</f>
        <v>11293.3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614.418564273229</v>
      </c>
      <c r="C180" s="352"/>
      <c r="D180" s="99" t="n">
        <f aca="false">IF(A111="YES", B95*B63, 0)</f>
        <v>13.9152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628.333764273229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614.418564273229</v>
      </c>
      <c r="B186" s="99" t="n">
        <f aca="false">IF(A111="YES", B95, 0)</f>
        <v>13.9152</v>
      </c>
      <c r="C186" s="352"/>
      <c r="D186" s="99" t="n">
        <f aca="false">B97</f>
        <v>628.333764273229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3.2112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756.702866666667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372.103666666667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1893.10366666667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1893.10366666667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32.112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79.7227712787414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0" colorId="64" zoomScale="75" zoomScaleNormal="75" zoomScalePageLayoutView="100" workbookViewId="0">
      <selection pane="topLeft" activeCell="B74" activeCellId="0" sqref="B7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3399.08333333333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283.256944444445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9411.08333333333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79.7227712787414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5490.80610461207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457.56717538434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457.56717538434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286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290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457.56717538434</v>
      </c>
      <c r="B134" s="320" t="n">
        <f aca="false">IF(A111="YES", B95, 0)</f>
        <v>0</v>
      </c>
      <c r="C134" s="325"/>
      <c r="D134" s="320" t="n">
        <f aca="false">B97</f>
        <v>457.56717538434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4118.10457845906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4118.10457845906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457.56717538434</v>
      </c>
      <c r="B143" s="38" t="n">
        <f aca="false">IF(A111="YES", B95, 0)</f>
        <v>0</v>
      </c>
      <c r="C143" s="316"/>
      <c r="D143" s="38" t="n">
        <f aca="false">B97</f>
        <v>457.56717538434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753.49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457.56717538434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457.56717538434</v>
      </c>
      <c r="B177" s="354" t="n">
        <f aca="false">IF(A111="YES", B95, 0)</f>
        <v>0</v>
      </c>
      <c r="C177" s="357"/>
      <c r="D177" s="354" t="n">
        <f aca="false">B91</f>
        <v>9411.08333333333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4118.10457845906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4118.10457845906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457.56717538434</v>
      </c>
      <c r="B186" s="99" t="n">
        <f aca="false">IF(A111="YES", B95, 0)</f>
        <v>0</v>
      </c>
      <c r="C186" s="352"/>
      <c r="D186" s="99" t="n">
        <f aca="false">B97</f>
        <v>457.56717538434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753.49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1860.99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79.7227712787414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0" colorId="64" zoomScale="75" zoomScaleNormal="75" zoomScalePageLayoutView="100" workbookViewId="0">
      <selection pane="topLeft" activeCell="K35" activeCellId="0" sqref="K3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36</v>
      </c>
      <c r="P29" s="208"/>
    </row>
    <row r="30" customFormat="false" ht="17.9" hidden="false" customHeight="false" outlineLevel="0" collapsed="false">
      <c r="A30" s="31" t="s">
        <v>184</v>
      </c>
      <c r="B30" s="100" t="s">
        <v>345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648.737329716138</v>
      </c>
      <c r="F33" s="228"/>
      <c r="G33" s="228"/>
      <c r="H33" s="47"/>
      <c r="I33" s="2"/>
      <c r="J33" s="34" t="s">
        <v>351</v>
      </c>
      <c r="K33" s="48" t="n">
        <f aca="false">E21</f>
        <v>21166.67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648.737329716138</v>
      </c>
      <c r="B36" s="228" t="str">
        <f aca="false">IF(B26="YES", K42, "0.00")</f>
        <v>0.00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87</v>
      </c>
      <c r="K39" s="2" t="n">
        <f aca="false">K33</f>
        <v>21166.67</v>
      </c>
      <c r="L39" s="2" t="n">
        <f aca="false">(L47*K46)+K44</f>
        <v>26101.9910899984</v>
      </c>
      <c r="N39" s="1" t="n">
        <f aca="false">K39-L39</f>
        <v>-4935.32108999842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-4935.32108999842</v>
      </c>
      <c r="N40" s="1" t="n">
        <f aca="false">N38-N39</f>
        <v>7847.00108999842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21166.67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648.737329716138</v>
      </c>
      <c r="L47" s="2" t="n">
        <f aca="false">L49-K42</f>
        <v>800</v>
      </c>
      <c r="M47" s="1" t="n">
        <f aca="false">K47-L47</f>
        <v>-151.262670283862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648.737329716138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648.737329716138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6486.05314631966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210.416666666667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3039.45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405.26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648.737329716138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648.737329716138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648.737329716138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648.737329716138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25250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29.6156943349079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25250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852.588486174303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29840.5970161006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29840.5970161006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852.588486174303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852.588486174303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19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21166.67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25400.004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25400.004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25400.004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21166.67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21166.67</v>
      </c>
      <c r="H135" s="150" t="n">
        <f aca="false">C125+E125+G125+H128</f>
        <v>23125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4233.334</v>
      </c>
      <c r="H137" s="33" t="n">
        <f aca="false">(H135+H136)*20%</f>
        <v>4625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25400.004</v>
      </c>
      <c r="H141" s="154" t="n">
        <f aca="false">(H135+H136+H139+H140+H137)-H138</f>
        <v>27750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25400.004</v>
      </c>
      <c r="H147" s="161" t="n">
        <f aca="false">H141-((H144*1.2)+(H145*1.2)+(H146*1.2)+(H142*1.2))</f>
        <v>27750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1958.33</v>
      </c>
      <c r="I148" s="1" t="n">
        <f aca="false">(H148-G81)/1.2</f>
        <v>1631.94166666667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25250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852.588486174303</v>
      </c>
      <c r="B167" s="174" t="n">
        <f aca="false">B94</f>
        <v>0</v>
      </c>
      <c r="C167" s="171"/>
      <c r="D167" s="171"/>
      <c r="E167" s="174" t="n">
        <f aca="false">B96</f>
        <v>852.588486174303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25250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5443.18550227492</v>
      </c>
      <c r="B182" s="99" t="str">
        <f aca="false">B114</f>
        <v>239.99</v>
      </c>
      <c r="C182" s="99"/>
      <c r="D182" s="23"/>
      <c r="E182" s="99" t="n">
        <f aca="false">E179+A182+B182+A185</f>
        <v>30943.1755022749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2239.99</v>
      </c>
      <c r="C185" s="99"/>
      <c r="D185" s="23"/>
      <c r="E185" s="99" t="n">
        <f aca="false">B233</f>
        <v>862.588486174303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210.416666666667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310.408333333333</v>
      </c>
      <c r="C191" s="130"/>
      <c r="D191" s="130"/>
      <c r="E191" s="99" t="n">
        <f aca="false">H148</f>
        <v>1958.33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852.588486174303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852.588486174303</v>
      </c>
      <c r="B212" s="174" t="n">
        <f aca="false">B167</f>
        <v>0</v>
      </c>
      <c r="C212" s="171"/>
      <c r="D212" s="171"/>
      <c r="E212" s="174" t="n">
        <f aca="false">E167</f>
        <v>852.588486174303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25250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5443.18550227492</v>
      </c>
      <c r="B224" s="99" t="str">
        <f aca="false">B182</f>
        <v>239.99</v>
      </c>
      <c r="C224" s="99"/>
      <c r="D224" s="109"/>
      <c r="E224" s="99" t="n">
        <f aca="false">E182</f>
        <v>30943.1755022749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852.588486174303</v>
      </c>
      <c r="B230" s="99" t="n">
        <f aca="false">B167</f>
        <v>0</v>
      </c>
      <c r="C230" s="183"/>
      <c r="D230" s="183"/>
      <c r="E230" s="99" t="n">
        <f aca="false">E167</f>
        <v>852.588486174303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E212+A227</f>
        <v>862.588486174303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0</v>
      </c>
      <c r="B236" s="99" t="n">
        <f aca="false">E233+A236</f>
        <v>29.17872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1958.33</v>
      </c>
      <c r="B240" s="99" t="n">
        <f aca="false">B68</f>
        <v>210.416666666667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2268.73833333334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252.5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-152.508333333333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29840.5970161006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0.01</v>
      </c>
      <c r="C261" s="32"/>
      <c r="D261" s="163" t="s">
        <v>221</v>
      </c>
      <c r="E261" s="163"/>
      <c r="F261" s="148" t="n">
        <f aca="false">B68*1.2</f>
        <v>252.5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-152.508333333333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4" colorId="64" zoomScale="75" zoomScaleNormal="75" zoomScalePageLayoutView="100" workbookViewId="0">
      <selection pane="topLeft" activeCell="K36" activeCellId="0" sqref="K36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36</v>
      </c>
      <c r="P29" s="208"/>
    </row>
    <row r="30" customFormat="false" ht="17.9" hidden="false" customHeight="false" outlineLevel="0" collapsed="false">
      <c r="A30" s="31" t="s">
        <v>184</v>
      </c>
      <c r="B30" s="100" t="s">
        <v>345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648.737329716138</v>
      </c>
      <c r="F33" s="228"/>
      <c r="G33" s="228"/>
      <c r="H33" s="47"/>
      <c r="I33" s="2"/>
      <c r="J33" s="34" t="s">
        <v>351</v>
      </c>
      <c r="K33" s="48" t="n">
        <f aca="false">E21</f>
        <v>21166.67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648.737329716138</v>
      </c>
      <c r="B36" s="228" t="str">
        <f aca="false">IF(B26="YES", K42, "0.00")</f>
        <v>0.00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87</v>
      </c>
      <c r="K39" s="2" t="n">
        <f aca="false">K33</f>
        <v>21166.67</v>
      </c>
      <c r="L39" s="2" t="n">
        <f aca="false">(L47*K46)+K44</f>
        <v>26101.9910899984</v>
      </c>
      <c r="N39" s="1" t="n">
        <f aca="false">K39-L39</f>
        <v>-4935.32108999842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-4935.32108999842</v>
      </c>
      <c r="N40" s="1" t="n">
        <f aca="false">N38-N39</f>
        <v>7847.00108999842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21166.67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648.737329716138</v>
      </c>
      <c r="L47" s="2" t="n">
        <f aca="false">L49-K42</f>
        <v>800</v>
      </c>
      <c r="M47" s="1" t="n">
        <f aca="false">K47-L47</f>
        <v>-151.262670283862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648.737329716138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648.737329716138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6486.05314631966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210.416666666667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3039.45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405.26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648.737329716138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648.737329716138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648.737329716138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648.737329716138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25250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29.6156943349079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25250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852.588486174303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29840.5970161006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29840.5970161006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str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852.588486174303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852.588486174303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19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21166.67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25400.004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25400.004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25400.004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21166.67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21166.67</v>
      </c>
      <c r="H135" s="150" t="n">
        <f aca="false">C125+E125+G125+H128</f>
        <v>23125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4233.334</v>
      </c>
      <c r="H137" s="33" t="n">
        <f aca="false">(H135+H136)*20%</f>
        <v>4625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25400.004</v>
      </c>
      <c r="H141" s="154" t="n">
        <f aca="false">(H135+H136+H139+H140+H137)-H138</f>
        <v>27750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25400.004</v>
      </c>
      <c r="H147" s="161" t="n">
        <f aca="false">H141-((H144*1.2)+(H145*1.2)+(H146*1.2)+(H142*1.2))</f>
        <v>27750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1958.33</v>
      </c>
      <c r="I148" s="1" t="n">
        <f aca="false">(H148-G81)/1.2</f>
        <v>1631.94166666667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25250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852.588486174303</v>
      </c>
      <c r="B167" s="174" t="str">
        <f aca="false">B94</f>
        <v>0</v>
      </c>
      <c r="C167" s="171"/>
      <c r="D167" s="171"/>
      <c r="E167" s="174" t="n">
        <f aca="false">B96</f>
        <v>852.588486174303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25250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5443.18550227492</v>
      </c>
      <c r="B182" s="99" t="str">
        <f aca="false">B114</f>
        <v>199.99</v>
      </c>
      <c r="C182" s="99"/>
      <c r="D182" s="23"/>
      <c r="E182" s="99" t="n">
        <f aca="false">E179+A182+B182+A185</f>
        <v>30903.1755022749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E167+A185</f>
        <v>862.588486174303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210.416666666667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310.406666666667</v>
      </c>
      <c r="C191" s="130"/>
      <c r="D191" s="130"/>
      <c r="E191" s="99" t="n">
        <f aca="false">H148</f>
        <v>1958.33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852.588486174303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852.588486174303</v>
      </c>
      <c r="B212" s="174" t="str">
        <f aca="false">B167</f>
        <v>0</v>
      </c>
      <c r="C212" s="171"/>
      <c r="D212" s="171"/>
      <c r="E212" s="174" t="n">
        <f aca="false">E167</f>
        <v>852.588486174303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25250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5443.18550227492</v>
      </c>
      <c r="B224" s="99" t="str">
        <f aca="false">B182</f>
        <v>199.99</v>
      </c>
      <c r="C224" s="99"/>
      <c r="D224" s="109"/>
      <c r="E224" s="99" t="n">
        <f aca="false">E182</f>
        <v>30903.1755022749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852.588486174303</v>
      </c>
      <c r="B230" s="99" t="str">
        <f aca="false">B167</f>
        <v>0</v>
      </c>
      <c r="C230" s="183"/>
      <c r="D230" s="183"/>
      <c r="E230" s="99" t="n">
        <f aca="false">E167</f>
        <v>852.588486174303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862.588486174303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24.3156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1958.33</v>
      </c>
      <c r="B240" s="99" t="n">
        <f aca="false">B68</f>
        <v>210.416666666667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2268.73666666667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252.5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-152.51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29840.5970161006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0.01</v>
      </c>
      <c r="C261" s="32"/>
      <c r="D261" s="163" t="s">
        <v>221</v>
      </c>
      <c r="E261" s="163"/>
      <c r="F261" s="148" t="n">
        <f aca="false">B68*1.2</f>
        <v>252.5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-152.51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J18" activeCellId="0" sqref="J1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345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1839.35777998069</v>
      </c>
      <c r="F33" s="228"/>
      <c r="G33" s="228"/>
      <c r="H33" s="47"/>
      <c r="I33" s="2"/>
      <c r="J33" s="34" t="s">
        <v>351</v>
      </c>
      <c r="K33" s="48" t="n">
        <f aca="false">E21</f>
        <v>21166.67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1826.60777998069</v>
      </c>
      <c r="B36" s="228" t="n">
        <f aca="false">IF(B26="YES", K42, "0.00")</f>
        <v>12.75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87</v>
      </c>
      <c r="K39" s="2" t="n">
        <f aca="false">K33</f>
        <v>21166.67</v>
      </c>
      <c r="L39" s="2" t="n">
        <f aca="false">(L47*K46)+K44</f>
        <v>9122.62672924568</v>
      </c>
      <c r="N39" s="1" t="n">
        <f aca="false">K39-L39</f>
        <v>12044.0432707543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12.75</v>
      </c>
      <c r="C40" s="103"/>
      <c r="D40" s="103"/>
      <c r="E40" s="179" t="n">
        <f aca="false">K32</f>
        <v>153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12044.0432707543</v>
      </c>
      <c r="N40" s="1" t="n">
        <f aca="false">N38-N39</f>
        <v>-9132.36327075432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12.75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21166.67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1826.60777998069</v>
      </c>
      <c r="L47" s="2" t="n">
        <f aca="false">L49-K42</f>
        <v>787.25</v>
      </c>
      <c r="M47" s="1" t="n">
        <f aca="false">K47-L47</f>
        <v>1039.35777998069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1839.35777998069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1839.35777998069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2829.97834367243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105.208333333333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1826.60777998069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1826.60777998069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1839.35777998069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1839.35777998069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25250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12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11.222552458438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25250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2249.93379122189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26999.2054946626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26999.2054946626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19.89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19.89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16.6909090909091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20.0290909090909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2249.93379122189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2269.82379122189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21166.67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25400.004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25400.004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25400.004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21166.67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21166.67</v>
      </c>
      <c r="H135" s="150" t="n">
        <f aca="false">C125+E125+G125+H128</f>
        <v>23125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4233.334</v>
      </c>
      <c r="H137" s="33" t="n">
        <f aca="false">(H135+H136)*20%</f>
        <v>4625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25400.004</v>
      </c>
      <c r="H141" s="154" t="n">
        <f aca="false">(H135+H136+H139+H140+H137)-H138</f>
        <v>27750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25400.004</v>
      </c>
      <c r="H147" s="161" t="n">
        <f aca="false">H141-((H144*1.2)+(H145*1.2)+(H146*1.2)+(H142*1.2))</f>
        <v>27750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1958.33</v>
      </c>
      <c r="I148" s="1" t="n">
        <f aca="false">(H148-G81)/1.2</f>
        <v>1631.94166666667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25250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2249.93379122189</v>
      </c>
      <c r="B167" s="174" t="n">
        <f aca="false">B94</f>
        <v>19.89</v>
      </c>
      <c r="C167" s="171"/>
      <c r="D167" s="171"/>
      <c r="E167" s="174" t="n">
        <f aca="false">B96</f>
        <v>2269.82379122189</v>
      </c>
      <c r="F167" s="23"/>
      <c r="G167" s="23"/>
      <c r="H167" s="33"/>
      <c r="J167" s="173" t="e">
        <f aca="false">K95</f>
        <v>#VALUE!</v>
      </c>
      <c r="K167" s="174" t="n">
        <f aca="false">K94</f>
        <v>19.89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16.6909090909091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20.0290909090909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25250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1769.09549466265</v>
      </c>
      <c r="B182" s="99" t="str">
        <f aca="false">B114</f>
        <v>239.99</v>
      </c>
      <c r="C182" s="99"/>
      <c r="D182" s="23"/>
      <c r="E182" s="99" t="n">
        <f aca="false">E179+A182+B182+A185</f>
        <v>27269.0854946626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E167+A185</f>
        <v>2279.82379122189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9.72624</v>
      </c>
      <c r="B188" s="99" t="n">
        <f aca="false">(G158*B67)/1.2</f>
        <v>105.208333333333</v>
      </c>
      <c r="C188" s="130"/>
      <c r="D188" s="130"/>
      <c r="E188" s="99" t="n">
        <f aca="false">(E40*A108)*0.1</f>
        <v>4.59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4.59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3.06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209.79</v>
      </c>
      <c r="C191" s="130"/>
      <c r="D191" s="130"/>
      <c r="E191" s="99" t="n">
        <f aca="false">H148</f>
        <v>1958.33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2269.82379122189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2249.93379122189</v>
      </c>
      <c r="B212" s="174" t="n">
        <f aca="false">B167</f>
        <v>19.89</v>
      </c>
      <c r="C212" s="171"/>
      <c r="D212" s="171"/>
      <c r="E212" s="174" t="n">
        <f aca="false">E167</f>
        <v>2269.82379122189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25250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1769.09549466265</v>
      </c>
      <c r="B224" s="99" t="str">
        <f aca="false">B182</f>
        <v>239.99</v>
      </c>
      <c r="C224" s="99"/>
      <c r="D224" s="109"/>
      <c r="E224" s="99" t="n">
        <f aca="false">E182</f>
        <v>27269.0854946626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2249.93379122189</v>
      </c>
      <c r="B230" s="99" t="n">
        <f aca="false">B167</f>
        <v>19.89</v>
      </c>
      <c r="C230" s="183"/>
      <c r="D230" s="183"/>
      <c r="E230" s="99" t="n">
        <f aca="false">E167</f>
        <v>2269.82379122189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2279.82379122189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1958.33</v>
      </c>
      <c r="B240" s="99" t="n">
        <f aca="false">B68</f>
        <v>105.208333333333</v>
      </c>
      <c r="C240" s="130"/>
      <c r="D240" s="130"/>
      <c r="E240" s="99" t="n">
        <f aca="false">E188</f>
        <v>4.59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2168.12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126.25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145.891666666667</v>
      </c>
      <c r="C255" s="194"/>
      <c r="D255" s="195" t="s">
        <v>218</v>
      </c>
      <c r="E255" s="195"/>
      <c r="F255" s="196" t="n">
        <f aca="false">(B254-F254)+B255</f>
        <v>19.6416666666667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24749.2717034408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126.25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19.6416666666667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" colorId="64" zoomScale="75" zoomScaleNormal="75" zoomScalePageLayoutView="100" workbookViewId="0">
      <selection pane="topLeft" activeCell="K41" activeCellId="0" sqref="K4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36</v>
      </c>
      <c r="P29" s="208"/>
    </row>
    <row r="30" customFormat="false" ht="17.9" hidden="false" customHeight="false" outlineLevel="0" collapsed="false">
      <c r="A30" s="31" t="s">
        <v>184</v>
      </c>
      <c r="B30" s="100" t="s">
        <v>345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648.737329716138</v>
      </c>
      <c r="F33" s="228"/>
      <c r="G33" s="228"/>
      <c r="H33" s="47"/>
      <c r="I33" s="2"/>
      <c r="J33" s="34" t="s">
        <v>351</v>
      </c>
      <c r="K33" s="48" t="n">
        <f aca="false">E21</f>
        <v>21166.67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648.737329716138</v>
      </c>
      <c r="B36" s="228" t="n">
        <f aca="false">IF(B26="YES", K42, "0.00")</f>
        <v>0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87</v>
      </c>
      <c r="K39" s="2" t="n">
        <f aca="false">K33</f>
        <v>21166.67</v>
      </c>
      <c r="L39" s="2" t="n">
        <f aca="false">(L47*K46)+K44</f>
        <v>26101.9910899984</v>
      </c>
      <c r="N39" s="1" t="n">
        <f aca="false">K39-L39</f>
        <v>-4935.32108999842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-4935.32108999842</v>
      </c>
      <c r="N40" s="1" t="n">
        <f aca="false">N38-N39</f>
        <v>7847.00108999842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21166.67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648.737329716138</v>
      </c>
      <c r="L47" s="2" t="n">
        <f aca="false">L49-K42</f>
        <v>800</v>
      </c>
      <c r="M47" s="1" t="n">
        <f aca="false">K47-L47</f>
        <v>-151.262670283862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648.737329716138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648.737329716138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7962.16682456305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231.25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3039.45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405.26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648.737329716138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648.737329716138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648.737329716138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648.737329716138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27750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36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31.0137935455467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27750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894.763162695543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32211.4738570396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32211.4738570396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894.763162695543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894.763162695543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21166.67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25400.004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25400.004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25400.004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21166.67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21166.67</v>
      </c>
      <c r="H135" s="150" t="n">
        <f aca="false">C125+E125+G125+H128</f>
        <v>23125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4233.334</v>
      </c>
      <c r="H137" s="33" t="n">
        <f aca="false">(H135+H136)*20%</f>
        <v>4625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25400.004</v>
      </c>
      <c r="H141" s="154" t="n">
        <f aca="false">(H135+H136+H139+H140+H137)-H138</f>
        <v>27750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25400.004</v>
      </c>
      <c r="H147" s="161" t="n">
        <f aca="false">H141-((H144*1.2)+(H145*1.2)+(H146*1.2)+(H142*1.2))</f>
        <v>27750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1958.33</v>
      </c>
      <c r="I148" s="1" t="n">
        <f aca="false">(H148-G81)/1.2</f>
        <v>1631.94166666667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27750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894.763162695543</v>
      </c>
      <c r="B167" s="174" t="n">
        <f aca="false">B94</f>
        <v>0</v>
      </c>
      <c r="C167" s="171"/>
      <c r="D167" s="171"/>
      <c r="E167" s="174" t="n">
        <f aca="false">B96</f>
        <v>894.763162695543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4461.47385703956</v>
      </c>
      <c r="B182" s="99" t="str">
        <f aca="false">B114</f>
        <v>199.99</v>
      </c>
      <c r="C182" s="99"/>
      <c r="D182" s="23"/>
      <c r="E182" s="99" t="n">
        <f aca="false">E179+A182+B182+A185</f>
        <v>32421.4638570396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E167+A185</f>
        <v>904.763162695543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8.1052</v>
      </c>
      <c r="B188" s="99" t="n">
        <f aca="false">(G158*B67)/1.2</f>
        <v>231.25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331.24</v>
      </c>
      <c r="C191" s="130"/>
      <c r="D191" s="130"/>
      <c r="E191" s="99" t="n">
        <f aca="false">H148</f>
        <v>1958.33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894.763162695543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894.763162695543</v>
      </c>
      <c r="B212" s="174" t="n">
        <f aca="false">B167</f>
        <v>0</v>
      </c>
      <c r="C212" s="171"/>
      <c r="D212" s="171"/>
      <c r="E212" s="174" t="n">
        <f aca="false">E167</f>
        <v>894.763162695543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4461.47385703956</v>
      </c>
      <c r="B224" s="99" t="str">
        <f aca="false">B182</f>
        <v>199.99</v>
      </c>
      <c r="C224" s="99"/>
      <c r="D224" s="109"/>
      <c r="E224" s="99" t="n">
        <f aca="false">E182</f>
        <v>32421.4638570396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894.763162695543</v>
      </c>
      <c r="B230" s="99" t="n">
        <f aca="false">B167</f>
        <v>0</v>
      </c>
      <c r="C230" s="183"/>
      <c r="D230" s="183"/>
      <c r="E230" s="99" t="n">
        <f aca="false">E167</f>
        <v>894.763162695543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904.763162695543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1958.33</v>
      </c>
      <c r="B240" s="99" t="n">
        <f aca="false">B68</f>
        <v>231.25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2289.57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277.5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-177.51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0.0995</v>
      </c>
      <c r="C260" s="43"/>
      <c r="D260" s="163" t="s">
        <v>215</v>
      </c>
      <c r="E260" s="163"/>
      <c r="F260" s="143" t="n">
        <f aca="false">(B89*B59)-(C89*B59)</f>
        <v>31316.710694344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0.01</v>
      </c>
      <c r="C261" s="32"/>
      <c r="D261" s="163" t="s">
        <v>221</v>
      </c>
      <c r="E261" s="163"/>
      <c r="F261" s="148" t="n">
        <f aca="false">B68*1.2</f>
        <v>277.5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-177.51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30" colorId="64" zoomScale="75" zoomScaleNormal="75" zoomScalePageLayoutView="100" workbookViewId="0">
      <selection pane="topLeft" activeCell="B62" activeCellId="0" sqref="B6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345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350</v>
      </c>
      <c r="E32" s="212"/>
      <c r="F32" s="63"/>
      <c r="G32" s="214" t="s">
        <v>36</v>
      </c>
      <c r="I32" s="448" t="n">
        <v>951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1846.78680828596</v>
      </c>
      <c r="E33" s="212"/>
      <c r="F33" s="63"/>
      <c r="G33" s="215" t="s">
        <v>351</v>
      </c>
      <c r="H33" s="459" t="n">
        <f aca="false">E21-E11</f>
        <v>21125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1823.01180828596</v>
      </c>
      <c r="B36" s="99" t="n">
        <f aca="false">IF(B26="YES", H42, "")</f>
        <v>23.775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87</v>
      </c>
      <c r="H39" s="234" t="n">
        <f aca="false">H33</f>
        <v>21125</v>
      </c>
      <c r="I39" s="234" t="n">
        <f aca="false">(I48*H46)+H44</f>
        <v>15947.649374984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23.775</v>
      </c>
      <c r="C40" s="103"/>
      <c r="D40" s="181" t="n">
        <f aca="false">I32</f>
        <v>951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5177.35062501602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23.775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368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369</v>
      </c>
      <c r="H45" s="234" t="n">
        <f aca="false">(H39-H44)</f>
        <v>21125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370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1823.01180828596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365</v>
      </c>
      <c r="H48" s="234" t="n">
        <f aca="false">IF(B26="YES", H47+H42, H47)</f>
        <v>1846.78680828596</v>
      </c>
      <c r="I48" s="234" t="n">
        <f aca="false">I49-H42</f>
        <v>1376.225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1846.78680828596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371</v>
      </c>
      <c r="B60" s="211" t="n">
        <f aca="false">E19</f>
        <v>25350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291" t="s">
        <v>276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277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1774.5</v>
      </c>
      <c r="C64" s="464" t="n">
        <v>10000</v>
      </c>
      <c r="D64" s="290" t="n">
        <f aca="false">B64</f>
        <v>1774.5</v>
      </c>
      <c r="E64" s="465" t="n">
        <f aca="false">D64/(B58+B57)</f>
        <v>147.875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B60*B66</f>
        <v>253.5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471" t="n">
        <f aca="false">B73+B71</f>
        <v>260</v>
      </c>
      <c r="E73" s="212" t="s">
        <v>227</v>
      </c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102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0</v>
      </c>
      <c r="C74" s="211"/>
      <c r="D74" s="211"/>
      <c r="E74" s="212"/>
      <c r="F74" s="63"/>
      <c r="G74" s="291" t="s">
        <v>278</v>
      </c>
      <c r="H74" s="297" t="n">
        <v>165</v>
      </c>
      <c r="I74" s="211"/>
      <c r="J74" s="211"/>
      <c r="K74" s="212"/>
      <c r="L74" s="63"/>
      <c r="M74" s="430" t="s">
        <v>278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0</v>
      </c>
      <c r="C75" s="211"/>
      <c r="D75" s="211"/>
      <c r="E75" s="212"/>
      <c r="F75" s="63"/>
      <c r="G75" s="294" t="s">
        <v>279</v>
      </c>
      <c r="H75" s="298" t="n">
        <v>0</v>
      </c>
      <c r="I75" s="211"/>
      <c r="J75" s="211"/>
      <c r="K75" s="212"/>
      <c r="L75" s="63"/>
      <c r="M75" s="432" t="s">
        <v>279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280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280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281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281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281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282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282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55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3101.16666666667</v>
      </c>
      <c r="C81" s="472"/>
      <c r="D81" s="473"/>
      <c r="E81" s="465"/>
      <c r="F81" s="63"/>
      <c r="G81" s="302" t="s">
        <v>105</v>
      </c>
      <c r="H81" s="303" t="n">
        <f aca="false">SUM(J64:J80)</f>
        <v>627.75</v>
      </c>
      <c r="I81" s="211"/>
      <c r="J81" s="211"/>
      <c r="K81" s="212"/>
      <c r="L81" s="63"/>
      <c r="M81" s="302" t="s">
        <v>105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258.430555555556</v>
      </c>
      <c r="C82" s="472"/>
      <c r="D82" s="211"/>
      <c r="E82" s="465"/>
      <c r="F82" s="63"/>
      <c r="G82" s="210" t="s">
        <v>106</v>
      </c>
      <c r="H82" s="299" t="n">
        <f aca="false">H81/H29</f>
        <v>52.3125</v>
      </c>
      <c r="I82" s="211"/>
      <c r="J82" s="211"/>
      <c r="K82" s="212"/>
      <c r="L82" s="63"/>
      <c r="M82" s="210" t="s">
        <v>106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1823.01180828596</v>
      </c>
      <c r="C83" s="472"/>
      <c r="D83" s="211"/>
      <c r="E83" s="465" t="n">
        <f aca="false">B83+E80+E77+E64</f>
        <v>2062.923845323</v>
      </c>
      <c r="F83" s="63"/>
      <c r="G83" s="304" t="s">
        <v>107</v>
      </c>
      <c r="H83" s="305" t="n">
        <f aca="false">H47</f>
        <v>1823.01180828596</v>
      </c>
      <c r="I83" s="211"/>
      <c r="J83" s="211"/>
      <c r="K83" s="212"/>
      <c r="L83" s="63"/>
      <c r="M83" s="304" t="s">
        <v>107</v>
      </c>
      <c r="N83" s="305" t="n">
        <f aca="false">H47</f>
        <v>1823.01180828596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24977.3083660982</v>
      </c>
      <c r="C85" s="472"/>
      <c r="D85" s="472"/>
      <c r="E85" s="465" t="n">
        <f aca="false">B85/(B58+B57)</f>
        <v>2081.44236384152</v>
      </c>
      <c r="F85" s="63"/>
      <c r="G85" s="287" t="s">
        <v>117</v>
      </c>
      <c r="H85" s="127" t="n">
        <f aca="false">((H83*H29)+H81)*1.2</f>
        <v>27004.6700393178</v>
      </c>
      <c r="I85" s="211"/>
      <c r="J85" s="211"/>
      <c r="K85" s="212"/>
      <c r="L85" s="63"/>
      <c r="M85" s="287" t="s">
        <v>117</v>
      </c>
      <c r="N85" s="127" t="n">
        <f aca="false">((N83*H29)+N81)</f>
        <v>22490.1416994315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211.586718712409</v>
      </c>
      <c r="C86" s="472" t="s">
        <v>230</v>
      </c>
      <c r="D86" s="211"/>
      <c r="E86" s="465" t="n">
        <f aca="false">B86/(B58+B57)</f>
        <v>17.6322265593674</v>
      </c>
      <c r="F86" s="63"/>
      <c r="G86" s="210" t="s">
        <v>118</v>
      </c>
      <c r="H86" s="299" t="n">
        <f aca="false">((((H83*H29)+H81))/(1-H70))*H70</f>
        <v>190.634016009706</v>
      </c>
      <c r="I86" s="211"/>
      <c r="J86" s="211"/>
      <c r="K86" s="212"/>
      <c r="L86" s="63"/>
      <c r="M86" s="210" t="s">
        <v>118</v>
      </c>
      <c r="N86" s="299" t="n">
        <f aca="false">(N85/(1-N70))*N70</f>
        <v>190.517537590989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25188.8950848106</v>
      </c>
      <c r="C87" s="472"/>
      <c r="D87" s="474"/>
      <c r="E87" s="465" t="n">
        <f aca="false">E86+E85</f>
        <v>2099.07459040088</v>
      </c>
      <c r="F87" s="63"/>
      <c r="G87" s="284" t="s">
        <v>119</v>
      </c>
      <c r="H87" s="129" t="n">
        <f aca="false">IF(H110="YES",((H85+H86)-K114),(H85+H86))</f>
        <v>27195.3040553275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22680.6592370225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30.9075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80.5552941176471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67.1294117647059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2099.07459040088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1599.72376796044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1334.15642570721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2129.98209040088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1680.27906207809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1401.28583747191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209" t="s">
        <v>339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372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210" t="s">
        <v>128</v>
      </c>
      <c r="N98" s="211" t="s">
        <v>23</v>
      </c>
      <c r="O98" s="211"/>
      <c r="P98" s="211" t="s">
        <v>284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285</v>
      </c>
      <c r="B99" s="311" t="s">
        <v>131</v>
      </c>
      <c r="C99" s="311"/>
      <c r="D99" s="103" t="n">
        <v>1000</v>
      </c>
      <c r="E99" s="103"/>
      <c r="F99" s="63"/>
      <c r="G99" s="216" t="s">
        <v>285</v>
      </c>
      <c r="H99" s="311" t="s">
        <v>261</v>
      </c>
      <c r="I99" s="311"/>
      <c r="J99" s="103" t="n">
        <v>0</v>
      </c>
      <c r="K99" s="103"/>
      <c r="L99" s="63"/>
      <c r="M99" s="216" t="s">
        <v>285</v>
      </c>
      <c r="N99" s="311" t="s">
        <v>261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373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210" t="s">
        <v>287</v>
      </c>
      <c r="N101" s="211" t="s">
        <v>288</v>
      </c>
      <c r="O101" s="211"/>
      <c r="P101" s="211" t="s">
        <v>289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340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213" t="s">
        <v>291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292</v>
      </c>
      <c r="B110" s="218" t="s">
        <v>19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210" t="s">
        <v>292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IF(B110="YES",((E118*1.2)+E117)-E114,((E118*1.2)+E117))</f>
        <v>1239.988</v>
      </c>
      <c r="F119" s="63"/>
      <c r="G119" s="314" t="s">
        <v>293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293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213" t="s">
        <v>294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297</v>
      </c>
      <c r="H126" s="327" t="s">
        <v>298</v>
      </c>
      <c r="I126" s="327"/>
      <c r="J126" s="327" t="s">
        <v>299</v>
      </c>
      <c r="K126" s="212"/>
      <c r="L126" s="63"/>
      <c r="M126" s="326" t="s">
        <v>341</v>
      </c>
      <c r="N126" s="327" t="s">
        <v>248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332" t="n">
        <f aca="false">H90</f>
        <v>1599.72376796044</v>
      </c>
      <c r="H127" s="174" t="n">
        <f aca="false">IF(G105="YES", H89*H57, 0)</f>
        <v>483.331764705882</v>
      </c>
      <c r="I127" s="174"/>
      <c r="J127" s="333" t="n">
        <f aca="false">H91</f>
        <v>1680.27906207809</v>
      </c>
      <c r="K127" s="212"/>
      <c r="L127" s="63"/>
      <c r="M127" s="332" t="n">
        <f aca="false">N90</f>
        <v>1334.15642570721</v>
      </c>
      <c r="N127" s="174" t="n">
        <f aca="false">IF(M105="YES", N89*N57, 0)</f>
        <v>402.776470588235</v>
      </c>
      <c r="O127" s="174"/>
      <c r="P127" s="174" t="n">
        <f aca="false">N91</f>
        <v>1401.28583747191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2099.07459040088</v>
      </c>
      <c r="B128" s="320" t="n">
        <f aca="false">IF(A105="YES", B89, 0)</f>
        <v>30.9075</v>
      </c>
      <c r="C128" s="324"/>
      <c r="D128" s="320" t="n">
        <f aca="false">B91</f>
        <v>2129.98209040088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2099.07459040088</v>
      </c>
      <c r="C131" s="316"/>
      <c r="D131" s="38" t="n">
        <f aca="false">IF(A105="YES", B89*B57, 0)</f>
        <v>30.9075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210" t="s">
        <v>342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9598.34260776266</v>
      </c>
      <c r="H133" s="99" t="n">
        <f aca="false">IF(G105="YES", H89*H57, 0)</f>
        <v>483.331764705882</v>
      </c>
      <c r="I133" s="217"/>
      <c r="J133" s="181" t="n">
        <f aca="false">H91*H57</f>
        <v>10081.6743724685</v>
      </c>
      <c r="K133" s="212"/>
      <c r="L133" s="63"/>
      <c r="M133" s="182" t="n">
        <f aca="false">N90*N57</f>
        <v>8004.93855424324</v>
      </c>
      <c r="N133" s="99" t="n">
        <f aca="false">IF(M105="YES", N89*N57, 0)</f>
        <v>402.776470588235</v>
      </c>
      <c r="O133" s="217"/>
      <c r="P133" s="181" t="n">
        <f aca="false">N91*N57</f>
        <v>8407.71502483147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2129.98209040088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2099.07459040088</v>
      </c>
      <c r="B137" s="38" t="n">
        <f aca="false">IF(A105="YES", B89, 0)</f>
        <v>30.9075</v>
      </c>
      <c r="C137" s="316"/>
      <c r="D137" s="38" t="n">
        <f aca="false">B91</f>
        <v>2129.98209040088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210" t="s">
        <v>142</v>
      </c>
      <c r="N138" s="211" t="s">
        <v>311</v>
      </c>
      <c r="O138" s="211"/>
      <c r="P138" s="211" t="s">
        <v>312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210" t="s">
        <v>314</v>
      </c>
      <c r="N141" s="211" t="s">
        <v>315</v>
      </c>
      <c r="O141" s="211"/>
      <c r="P141" s="211" t="s">
        <v>316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((B36*H105)*0.1)*(G130), 0)</f>
        <v>5.706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5.706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210" t="s">
        <v>318</v>
      </c>
      <c r="N144" s="211" t="s">
        <v>319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343</v>
      </c>
      <c r="N147" s="163" t="s">
        <v>344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253.5</v>
      </c>
      <c r="B148" s="99" t="n">
        <f aca="false">B102</f>
        <v>400</v>
      </c>
      <c r="C148" s="38"/>
      <c r="D148" s="38" t="n">
        <f aca="false">IF(A105="YES", (B40*B105)*B125, 0)*0.1</f>
        <v>8.559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762.049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324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1680.27906207809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1401.28583747191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2129.98209040088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374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2099.07459040088</v>
      </c>
      <c r="B177" s="354" t="n">
        <f aca="false">IF(A105="YES", B89, 0)</f>
        <v>30.9075</v>
      </c>
      <c r="C177" s="356"/>
      <c r="D177" s="354" t="n">
        <f aca="false">B91</f>
        <v>2129.98209040088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2099.07459040088</v>
      </c>
      <c r="C180" s="352"/>
      <c r="D180" s="99" t="n">
        <f aca="false">IF(A105="YES", B89*B57, 0)</f>
        <v>30.9075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2129.98209040088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2099.07459040088</v>
      </c>
      <c r="B186" s="99" t="n">
        <f aca="false">IF(A105="YES", B89, 0)</f>
        <v>30.9075</v>
      </c>
      <c r="C186" s="352"/>
      <c r="D186" s="99" t="n">
        <f aca="false">B91</f>
        <v>2129.98209040088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253.5</v>
      </c>
      <c r="B197" s="99" t="n">
        <f aca="false">B102</f>
        <v>400</v>
      </c>
      <c r="C197" s="99"/>
      <c r="D197" s="99" t="n">
        <f aca="false">IF(A105="YES", (B40*B105)*B125, 0)*0.1</f>
        <v>8.559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762.049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425.58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1946.58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1774.5</v>
      </c>
      <c r="C217" s="374" t="s">
        <v>221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253.5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1946.58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85.59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211.586718712409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331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332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93" colorId="64" zoomScale="75" zoomScaleNormal="7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345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350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665.530211777516</v>
      </c>
      <c r="E33" s="212"/>
      <c r="F33" s="63"/>
      <c r="G33" s="215" t="s">
        <v>351</v>
      </c>
      <c r="H33" s="459" t="n">
        <f aca="false">E21-E11</f>
        <v>21166.67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665.530211777516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87</v>
      </c>
      <c r="H39" s="234" t="n">
        <f aca="false">H33</f>
        <v>21166.67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-23359.2395313712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368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369</v>
      </c>
      <c r="H45" s="234" t="n">
        <f aca="false">(H39-H44)</f>
        <v>21166.67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370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665.530211777516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365</v>
      </c>
      <c r="H48" s="234" t="n">
        <f aca="false">IF(B26="YES", H47+H42, H47)</f>
        <v>665.530211777516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665.530211777516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371</v>
      </c>
      <c r="B60" s="211" t="n">
        <f aca="false">E19</f>
        <v>25400.004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291" t="s">
        <v>276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277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2629.9587475</v>
      </c>
      <c r="C64" s="464" t="n">
        <v>10000</v>
      </c>
      <c r="D64" s="290" t="n">
        <f aca="false">B64</f>
        <v>2629.9587475</v>
      </c>
      <c r="E64" s="465" t="n">
        <f aca="false">D64/(B58+B57)</f>
        <v>75.1416785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0.0195833333333333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B60*B66</f>
        <v>497.416745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175</v>
      </c>
      <c r="C73" s="211"/>
      <c r="D73" s="471" t="n">
        <f aca="false">B73+B71</f>
        <v>375</v>
      </c>
      <c r="E73" s="212" t="s">
        <v>227</v>
      </c>
      <c r="F73" s="63"/>
      <c r="G73" s="284" t="s">
        <v>102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102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275</v>
      </c>
      <c r="C74" s="211"/>
      <c r="D74" s="211"/>
      <c r="E74" s="212"/>
      <c r="F74" s="63"/>
      <c r="G74" s="291" t="s">
        <v>278</v>
      </c>
      <c r="H74" s="297" t="n">
        <v>165</v>
      </c>
      <c r="I74" s="211"/>
      <c r="J74" s="211"/>
      <c r="K74" s="212"/>
      <c r="L74" s="63"/>
      <c r="M74" s="430" t="s">
        <v>278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0</v>
      </c>
      <c r="C75" s="211"/>
      <c r="D75" s="211"/>
      <c r="E75" s="212"/>
      <c r="F75" s="63"/>
      <c r="G75" s="294" t="s">
        <v>279</v>
      </c>
      <c r="H75" s="298" t="n">
        <v>0</v>
      </c>
      <c r="I75" s="211"/>
      <c r="J75" s="211"/>
      <c r="K75" s="212"/>
      <c r="L75" s="63"/>
      <c r="M75" s="432" t="s">
        <v>279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((B74+B75)/12)*(H29+1)</f>
        <v>825</v>
      </c>
      <c r="C76" s="211"/>
      <c r="D76" s="290" t="n">
        <f aca="false">B76</f>
        <v>825</v>
      </c>
      <c r="E76" s="212"/>
      <c r="F76" s="63"/>
      <c r="G76" s="284" t="s">
        <v>280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280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281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12.6984126984127</v>
      </c>
      <c r="F77" s="63"/>
      <c r="G77" s="291" t="s">
        <v>281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281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282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282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45.7142857142857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4896.62541416667</v>
      </c>
      <c r="C81" s="472"/>
      <c r="D81" s="473"/>
      <c r="E81" s="465"/>
      <c r="F81" s="63"/>
      <c r="G81" s="302" t="s">
        <v>105</v>
      </c>
      <c r="H81" s="303" t="n">
        <f aca="false">SUM(J64:J80)</f>
        <v>1047.5</v>
      </c>
      <c r="I81" s="211"/>
      <c r="J81" s="211"/>
      <c r="K81" s="212"/>
      <c r="L81" s="63"/>
      <c r="M81" s="302" t="s">
        <v>105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139.903583261905</v>
      </c>
      <c r="C82" s="472"/>
      <c r="D82" s="211"/>
      <c r="E82" s="465"/>
      <c r="F82" s="63"/>
      <c r="G82" s="210" t="s">
        <v>106</v>
      </c>
      <c r="H82" s="299" t="n">
        <f aca="false">H81/H29</f>
        <v>29.9285714285714</v>
      </c>
      <c r="I82" s="211"/>
      <c r="J82" s="211"/>
      <c r="K82" s="212"/>
      <c r="L82" s="63"/>
      <c r="M82" s="210" t="s">
        <v>106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665.530211777516</v>
      </c>
      <c r="C83" s="472"/>
      <c r="D83" s="211"/>
      <c r="E83" s="465" t="n">
        <f aca="false">B83+E80+E77+E64</f>
        <v>799.084588690215</v>
      </c>
      <c r="F83" s="63"/>
      <c r="G83" s="304" t="s">
        <v>107</v>
      </c>
      <c r="H83" s="305" t="n">
        <f aca="false">H47</f>
        <v>665.530211777516</v>
      </c>
      <c r="I83" s="211"/>
      <c r="J83" s="211"/>
      <c r="K83" s="212"/>
      <c r="L83" s="63"/>
      <c r="M83" s="304" t="s">
        <v>107</v>
      </c>
      <c r="N83" s="305" t="n">
        <f aca="false">H47</f>
        <v>665.530211777516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((B83*H29)+B81)*1.2</f>
        <v>33828.2193916557</v>
      </c>
      <c r="C85" s="472"/>
      <c r="D85" s="472"/>
      <c r="E85" s="465" t="n">
        <f aca="false">B85/(B58+B57)</f>
        <v>966.520554047305</v>
      </c>
      <c r="F85" s="63"/>
      <c r="G85" s="287" t="s">
        <v>117</v>
      </c>
      <c r="H85" s="127" t="n">
        <f aca="false">((H83*H29)+H81)*1.2</f>
        <v>29209.2688946557</v>
      </c>
      <c r="I85" s="211"/>
      <c r="J85" s="211"/>
      <c r="K85" s="212"/>
      <c r="L85" s="63"/>
      <c r="M85" s="287" t="s">
        <v>117</v>
      </c>
      <c r="N85" s="127" t="n">
        <f aca="false">((N83*H29)+N81)</f>
        <v>24011.0574122131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238.803485015722</v>
      </c>
      <c r="C86" s="472" t="s">
        <v>230</v>
      </c>
      <c r="D86" s="211"/>
      <c r="E86" s="465" t="n">
        <f aca="false">B86/(B58+B57)</f>
        <v>6.82295671473491</v>
      </c>
      <c r="F86" s="63"/>
      <c r="G86" s="210" t="s">
        <v>118</v>
      </c>
      <c r="H86" s="299" t="n">
        <f aca="false">((((H83*H29)+H81))/(1-H70))*H70</f>
        <v>206.196936529437</v>
      </c>
      <c r="I86" s="211"/>
      <c r="J86" s="211"/>
      <c r="K86" s="212"/>
      <c r="L86" s="63"/>
      <c r="M86" s="210" t="s">
        <v>118</v>
      </c>
      <c r="N86" s="299" t="n">
        <f aca="false">(N85/(1-N70))*N70</f>
        <v>203.401454480224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34067.0228766714</v>
      </c>
      <c r="C87" s="472"/>
      <c r="D87" s="474"/>
      <c r="E87" s="465" t="n">
        <f aca="false">E86+E85</f>
        <v>973.34351076204</v>
      </c>
      <c r="F87" s="63"/>
      <c r="G87" s="284" t="s">
        <v>119</v>
      </c>
      <c r="H87" s="129" t="n">
        <f aca="false">IF(H110="YES",((H85+H86)-K114),(H85+H86))</f>
        <v>29415.4658311851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24214.4588666933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(I32+(I32*B105))/(B57+B58))*(C45/100)*1.2</f>
        <v>0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973.34351076204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735.386645779628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605.361471667332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973.34351076204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735.386645779628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605.361471667332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209" t="s">
        <v>339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372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210" t="s">
        <v>128</v>
      </c>
      <c r="N98" s="211" t="s">
        <v>23</v>
      </c>
      <c r="O98" s="211"/>
      <c r="P98" s="211" t="s">
        <v>284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285</v>
      </c>
      <c r="B99" s="311" t="s">
        <v>131</v>
      </c>
      <c r="C99" s="311"/>
      <c r="D99" s="103" t="n">
        <v>1000</v>
      </c>
      <c r="E99" s="103"/>
      <c r="F99" s="63"/>
      <c r="G99" s="216" t="s">
        <v>285</v>
      </c>
      <c r="H99" s="311" t="s">
        <v>261</v>
      </c>
      <c r="I99" s="311"/>
      <c r="J99" s="103" t="n">
        <v>0</v>
      </c>
      <c r="K99" s="103"/>
      <c r="L99" s="63"/>
      <c r="M99" s="216" t="s">
        <v>285</v>
      </c>
      <c r="N99" s="311" t="s">
        <v>261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373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210" t="s">
        <v>287</v>
      </c>
      <c r="N101" s="211" t="s">
        <v>288</v>
      </c>
      <c r="O101" s="211"/>
      <c r="P101" s="211" t="s">
        <v>289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340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213" t="s">
        <v>291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292</v>
      </c>
      <c r="B110" s="218" t="s">
        <v>19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210" t="s">
        <v>292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IF(B110="YES",((E118*1.2)+E117)-E114,((E118*1.2)+E117))</f>
        <v>1287.988</v>
      </c>
      <c r="F119" s="63"/>
      <c r="G119" s="314" t="s">
        <v>293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293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213" t="s">
        <v>294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297</v>
      </c>
      <c r="H126" s="327" t="s">
        <v>298</v>
      </c>
      <c r="I126" s="327"/>
      <c r="J126" s="327" t="s">
        <v>299</v>
      </c>
      <c r="K126" s="212"/>
      <c r="L126" s="63"/>
      <c r="M126" s="326" t="s">
        <v>341</v>
      </c>
      <c r="N126" s="327" t="s">
        <v>248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332" t="n">
        <f aca="false">H90</f>
        <v>735.386645779628</v>
      </c>
      <c r="H127" s="174" t="n">
        <f aca="false">IF(G105="YES", H89*H57, 0)</f>
        <v>0</v>
      </c>
      <c r="I127" s="174"/>
      <c r="J127" s="333" t="n">
        <f aca="false">H91</f>
        <v>735.386645779628</v>
      </c>
      <c r="K127" s="212"/>
      <c r="L127" s="63"/>
      <c r="M127" s="332" t="n">
        <f aca="false">N90</f>
        <v>605.361471667332</v>
      </c>
      <c r="N127" s="174" t="n">
        <f aca="false">IF(M105="YES", N89*N57, 0)</f>
        <v>0</v>
      </c>
      <c r="O127" s="174"/>
      <c r="P127" s="174" t="n">
        <f aca="false">N91</f>
        <v>605.361471667332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973.34351076204</v>
      </c>
      <c r="B128" s="320" t="n">
        <f aca="false">IF(A105="YES", B89, 0)</f>
        <v>0</v>
      </c>
      <c r="C128" s="324"/>
      <c r="D128" s="320" t="n">
        <f aca="false">B91</f>
        <v>973.34351076204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973.34351076204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210" t="s">
        <v>342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4412.31987467777</v>
      </c>
      <c r="H133" s="99" t="n">
        <f aca="false">IF(G105="YES", H89*H57, 0)</f>
        <v>0</v>
      </c>
      <c r="I133" s="217"/>
      <c r="J133" s="181" t="n">
        <f aca="false">H91*H57</f>
        <v>4412.31987467777</v>
      </c>
      <c r="K133" s="212"/>
      <c r="L133" s="63"/>
      <c r="M133" s="182" t="n">
        <f aca="false">N90*N57</f>
        <v>3632.16883000399</v>
      </c>
      <c r="N133" s="99" t="n">
        <f aca="false">IF(M105="YES", N89*N57, 0)</f>
        <v>0</v>
      </c>
      <c r="O133" s="217"/>
      <c r="P133" s="181" t="n">
        <f aca="false">N91*N57</f>
        <v>3632.16883000399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973.34351076204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973.34351076204</v>
      </c>
      <c r="B137" s="38" t="n">
        <f aca="false">IF(A105="YES", B89, 0)</f>
        <v>0</v>
      </c>
      <c r="C137" s="316"/>
      <c r="D137" s="38" t="n">
        <f aca="false">B91</f>
        <v>973.34351076204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210" t="s">
        <v>142</v>
      </c>
      <c r="N138" s="211" t="s">
        <v>311</v>
      </c>
      <c r="O138" s="211"/>
      <c r="P138" s="211" t="s">
        <v>312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210" t="s">
        <v>314</v>
      </c>
      <c r="N141" s="211" t="s">
        <v>315</v>
      </c>
      <c r="O141" s="211"/>
      <c r="P141" s="211" t="s">
        <v>316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210" t="s">
        <v>318</v>
      </c>
      <c r="N144" s="211" t="s">
        <v>319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343</v>
      </c>
      <c r="N147" s="163" t="s">
        <v>344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497.416745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997.408411666667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324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735.386645779628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605.361471667332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973.34351076204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374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973.34351076204</v>
      </c>
      <c r="B177" s="354" t="n">
        <f aca="false">IF(A105="YES", B89, 0)</f>
        <v>0</v>
      </c>
      <c r="C177" s="356"/>
      <c r="D177" s="354" t="n">
        <f aca="false">B91</f>
        <v>973.34351076204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973.34351076204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973.34351076204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973.34351076204</v>
      </c>
      <c r="B186" s="99" t="n">
        <f aca="false">IF(A105="YES", B89, 0)</f>
        <v>0</v>
      </c>
      <c r="C186" s="352"/>
      <c r="D186" s="99" t="n">
        <f aca="false">B91</f>
        <v>973.34351076204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497.416745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E118/1.2-100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997.408411666667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2629.9587475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497.416745</v>
      </c>
      <c r="C211" s="319" t="s">
        <v>217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2472.53366916667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2629.9587475</v>
      </c>
      <c r="C217" s="374" t="s">
        <v>221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497.416745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2472.53366916667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238.803485015722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331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332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0" colorId="64" zoomScale="75" zoomScaleNormal="75" zoomScalePageLayoutView="100" workbookViewId="0">
      <selection pane="topLeft" activeCell="B62" activeCellId="0" sqref="B6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345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350</v>
      </c>
      <c r="E32" s="212"/>
      <c r="F32" s="63"/>
      <c r="G32" s="214" t="s">
        <v>36</v>
      </c>
      <c r="I32" s="448" t="n">
        <v>953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1850.43277998069</v>
      </c>
      <c r="E33" s="212"/>
      <c r="F33" s="63"/>
      <c r="G33" s="215" t="s">
        <v>351</v>
      </c>
      <c r="H33" s="459" t="n">
        <f aca="false">E21-E11</f>
        <v>21166.67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1826.60777998069</v>
      </c>
      <c r="B36" s="99" t="n">
        <f aca="false">IF(B26="YES", H42, "")</f>
        <v>23.825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87</v>
      </c>
      <c r="H39" s="234" t="n">
        <f aca="false">H33</f>
        <v>21166.67</v>
      </c>
      <c r="I39" s="234" t="n">
        <f aca="false">(I48*H46)+H44</f>
        <v>15947.0699766525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23.825</v>
      </c>
      <c r="C40" s="103"/>
      <c r="D40" s="181" t="n">
        <f aca="false">I32</f>
        <v>953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5219.6000233475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23.825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368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369</v>
      </c>
      <c r="H45" s="234" t="n">
        <f aca="false">(H39-H44)</f>
        <v>21166.67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370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1826.60777998069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365</v>
      </c>
      <c r="H48" s="234" t="n">
        <f aca="false">IF(B26="YES", H47+H42, H47)</f>
        <v>1850.43277998069</v>
      </c>
      <c r="I48" s="234" t="n">
        <f aca="false">I49-H42</f>
        <v>1376.175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1850.43277998069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371</v>
      </c>
      <c r="B60" s="211" t="n">
        <f aca="false">E19</f>
        <v>25400.004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291" t="s">
        <v>276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277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1778.00028</v>
      </c>
      <c r="C64" s="464" t="n">
        <v>10000</v>
      </c>
      <c r="D64" s="290" t="n">
        <f aca="false">B64</f>
        <v>1778.00028</v>
      </c>
      <c r="E64" s="465" t="n">
        <f aca="false">D64/(B58+B57)</f>
        <v>148.16669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B60*B66</f>
        <v>254.00004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471" t="n">
        <f aca="false">B73+B71</f>
        <v>260</v>
      </c>
      <c r="E73" s="212" t="s">
        <v>227</v>
      </c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102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275</v>
      </c>
      <c r="C74" s="211"/>
      <c r="D74" s="211"/>
      <c r="E74" s="212"/>
      <c r="F74" s="63"/>
      <c r="G74" s="291" t="s">
        <v>278</v>
      </c>
      <c r="H74" s="297" t="n">
        <v>165</v>
      </c>
      <c r="I74" s="211"/>
      <c r="J74" s="211"/>
      <c r="K74" s="212"/>
      <c r="L74" s="63"/>
      <c r="M74" s="430" t="s">
        <v>278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0</v>
      </c>
      <c r="C75" s="211"/>
      <c r="D75" s="211"/>
      <c r="E75" s="212"/>
      <c r="F75" s="63"/>
      <c r="G75" s="294" t="s">
        <v>279</v>
      </c>
      <c r="H75" s="298" t="n">
        <v>0</v>
      </c>
      <c r="I75" s="211"/>
      <c r="J75" s="211"/>
      <c r="K75" s="212"/>
      <c r="L75" s="63"/>
      <c r="M75" s="432" t="s">
        <v>279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((B74+B75)/12)*(H29+1)</f>
        <v>297.916666666667</v>
      </c>
      <c r="C76" s="211"/>
      <c r="D76" s="290" t="n">
        <f aca="false">B76</f>
        <v>297.916666666667</v>
      </c>
      <c r="E76" s="212"/>
      <c r="F76" s="63"/>
      <c r="G76" s="284" t="s">
        <v>280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280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281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281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281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282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282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79.8263888888889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3402.58361333333</v>
      </c>
      <c r="C81" s="472"/>
      <c r="D81" s="473"/>
      <c r="E81" s="465"/>
      <c r="F81" s="63"/>
      <c r="G81" s="302" t="s">
        <v>105</v>
      </c>
      <c r="H81" s="303" t="n">
        <f aca="false">SUM(J64:J80)</f>
        <v>627.75</v>
      </c>
      <c r="I81" s="211"/>
      <c r="J81" s="211"/>
      <c r="K81" s="212"/>
      <c r="L81" s="63"/>
      <c r="M81" s="302" t="s">
        <v>105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283.548634444444</v>
      </c>
      <c r="C82" s="472"/>
      <c r="D82" s="211"/>
      <c r="E82" s="465"/>
      <c r="F82" s="63"/>
      <c r="G82" s="210" t="s">
        <v>106</v>
      </c>
      <c r="H82" s="299" t="n">
        <f aca="false">H81/H29</f>
        <v>52.3125</v>
      </c>
      <c r="I82" s="211"/>
      <c r="J82" s="211"/>
      <c r="K82" s="212"/>
      <c r="L82" s="63"/>
      <c r="M82" s="210" t="s">
        <v>106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1826.60777998069</v>
      </c>
      <c r="C83" s="472"/>
      <c r="D83" s="211"/>
      <c r="E83" s="465" t="n">
        <f aca="false">B83+E80+E77+E64</f>
        <v>2091.63789590662</v>
      </c>
      <c r="F83" s="63"/>
      <c r="G83" s="304" t="s">
        <v>107</v>
      </c>
      <c r="H83" s="305" t="n">
        <f aca="false">H47</f>
        <v>1826.60777998069</v>
      </c>
      <c r="I83" s="211"/>
      <c r="J83" s="211"/>
      <c r="K83" s="212"/>
      <c r="L83" s="63"/>
      <c r="M83" s="304" t="s">
        <v>107</v>
      </c>
      <c r="N83" s="305" t="n">
        <f aca="false">H47</f>
        <v>1826.60777998069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25321.8769731017</v>
      </c>
      <c r="C85" s="472"/>
      <c r="D85" s="472"/>
      <c r="E85" s="465" t="n">
        <f aca="false">B85/(B58+B57)</f>
        <v>2110.15641442514</v>
      </c>
      <c r="F85" s="63"/>
      <c r="G85" s="287" t="s">
        <v>117</v>
      </c>
      <c r="H85" s="127" t="n">
        <f aca="false">((H83*H29)+H81)*1.2</f>
        <v>27056.452031722</v>
      </c>
      <c r="I85" s="211"/>
      <c r="J85" s="211"/>
      <c r="K85" s="212"/>
      <c r="L85" s="63"/>
      <c r="M85" s="287" t="s">
        <v>117</v>
      </c>
      <c r="N85" s="127" t="n">
        <f aca="false">((N83*H29)+N81)</f>
        <v>22533.2933597683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214.505613729381</v>
      </c>
      <c r="C86" s="472" t="s">
        <v>230</v>
      </c>
      <c r="D86" s="211"/>
      <c r="E86" s="465" t="n">
        <f aca="false">B86/(B58+B57)</f>
        <v>17.8754678107817</v>
      </c>
      <c r="F86" s="63"/>
      <c r="G86" s="210" t="s">
        <v>118</v>
      </c>
      <c r="H86" s="299" t="n">
        <f aca="false">((((H83*H29)+H81))/(1-H70))*H70</f>
        <v>190.99956053051</v>
      </c>
      <c r="I86" s="211"/>
      <c r="J86" s="211"/>
      <c r="K86" s="212"/>
      <c r="L86" s="63"/>
      <c r="M86" s="210" t="s">
        <v>118</v>
      </c>
      <c r="N86" s="299" t="n">
        <f aca="false">(N85/(1-N70))*N70</f>
        <v>190.883082111793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25536.382586831</v>
      </c>
      <c r="C87" s="472"/>
      <c r="D87" s="474"/>
      <c r="E87" s="465" t="n">
        <f aca="false">E86+E85</f>
        <v>2128.03188223592</v>
      </c>
      <c r="F87" s="63"/>
      <c r="G87" s="284" t="s">
        <v>119</v>
      </c>
      <c r="H87" s="129" t="n">
        <f aca="false">IF(H110="YES",((H85+H86)-K114),(H85+H86))</f>
        <v>27247.4515922525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22724.1764418801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30.9725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80.7247058823529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67.2705882352941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2128.03188223592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1602.7912701325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1336.71626128707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2159.00438223592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1683.51597601485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1403.98684952236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209" t="s">
        <v>339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372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210" t="s">
        <v>128</v>
      </c>
      <c r="N98" s="211" t="s">
        <v>23</v>
      </c>
      <c r="O98" s="211"/>
      <c r="P98" s="211" t="s">
        <v>284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285</v>
      </c>
      <c r="B99" s="311" t="s">
        <v>131</v>
      </c>
      <c r="C99" s="311"/>
      <c r="D99" s="103" t="n">
        <v>1000</v>
      </c>
      <c r="E99" s="103"/>
      <c r="F99" s="63"/>
      <c r="G99" s="216" t="s">
        <v>285</v>
      </c>
      <c r="H99" s="311" t="s">
        <v>261</v>
      </c>
      <c r="I99" s="311"/>
      <c r="J99" s="103" t="n">
        <v>0</v>
      </c>
      <c r="K99" s="103"/>
      <c r="L99" s="63"/>
      <c r="M99" s="216" t="s">
        <v>285</v>
      </c>
      <c r="N99" s="311" t="s">
        <v>261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373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210" t="s">
        <v>287</v>
      </c>
      <c r="N101" s="211" t="s">
        <v>288</v>
      </c>
      <c r="O101" s="211"/>
      <c r="P101" s="211" t="s">
        <v>289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340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213" t="s">
        <v>291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292</v>
      </c>
      <c r="B110" s="218" t="s">
        <v>19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210" t="s">
        <v>292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IF(B110="YES",((E118*1.2)+E117)-E114,((E118*1.2)+E117))</f>
        <v>1239.988</v>
      </c>
      <c r="F119" s="63"/>
      <c r="G119" s="314" t="s">
        <v>293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293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213" t="s">
        <v>294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297</v>
      </c>
      <c r="H126" s="327" t="s">
        <v>298</v>
      </c>
      <c r="I126" s="327"/>
      <c r="J126" s="327" t="s">
        <v>299</v>
      </c>
      <c r="K126" s="212"/>
      <c r="L126" s="63"/>
      <c r="M126" s="326" t="s">
        <v>341</v>
      </c>
      <c r="N126" s="327" t="s">
        <v>248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332" t="n">
        <f aca="false">H90</f>
        <v>1602.7912701325</v>
      </c>
      <c r="H127" s="174" t="n">
        <f aca="false">IF(G105="YES", H89*H57, 0)</f>
        <v>484.348235294118</v>
      </c>
      <c r="I127" s="174"/>
      <c r="J127" s="333" t="n">
        <f aca="false">H91</f>
        <v>1683.51597601485</v>
      </c>
      <c r="K127" s="212"/>
      <c r="L127" s="63"/>
      <c r="M127" s="332" t="n">
        <f aca="false">N90</f>
        <v>1336.71626128707</v>
      </c>
      <c r="N127" s="174" t="n">
        <f aca="false">IF(M105="YES", N89*N57, 0)</f>
        <v>403.623529411765</v>
      </c>
      <c r="O127" s="174"/>
      <c r="P127" s="174" t="n">
        <f aca="false">N91</f>
        <v>1403.98684952236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2128.03188223592</v>
      </c>
      <c r="B128" s="320" t="n">
        <f aca="false">IF(A105="YES", B89, 0)</f>
        <v>30.9725</v>
      </c>
      <c r="C128" s="324"/>
      <c r="D128" s="320" t="n">
        <f aca="false">B91</f>
        <v>2159.00438223592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2128.03188223592</v>
      </c>
      <c r="C131" s="316"/>
      <c r="D131" s="38" t="n">
        <f aca="false">IF(A105="YES", B89*B57, 0)</f>
        <v>30.9725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210" t="s">
        <v>342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9616.747620795</v>
      </c>
      <c r="H133" s="99" t="n">
        <f aca="false">IF(G105="YES", H89*H57, 0)</f>
        <v>484.348235294118</v>
      </c>
      <c r="I133" s="217"/>
      <c r="J133" s="181" t="n">
        <f aca="false">H91*H57</f>
        <v>10101.0958560891</v>
      </c>
      <c r="K133" s="212"/>
      <c r="L133" s="63"/>
      <c r="M133" s="182" t="n">
        <f aca="false">N90*N57</f>
        <v>8020.29756772239</v>
      </c>
      <c r="N133" s="99" t="n">
        <f aca="false">IF(M105="YES", N89*N57, 0)</f>
        <v>403.623529411765</v>
      </c>
      <c r="O133" s="217"/>
      <c r="P133" s="181" t="n">
        <f aca="false">N91*N57</f>
        <v>8423.92109713416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2159.00438223592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2128.03188223592</v>
      </c>
      <c r="B137" s="38" t="n">
        <f aca="false">IF(A105="YES", B89, 0)</f>
        <v>30.9725</v>
      </c>
      <c r="C137" s="316"/>
      <c r="D137" s="38" t="n">
        <f aca="false">B91</f>
        <v>2159.00438223592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210" t="s">
        <v>142</v>
      </c>
      <c r="N138" s="211" t="s">
        <v>311</v>
      </c>
      <c r="O138" s="211"/>
      <c r="P138" s="211" t="s">
        <v>312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210" t="s">
        <v>314</v>
      </c>
      <c r="N141" s="211" t="s">
        <v>315</v>
      </c>
      <c r="O141" s="211"/>
      <c r="P141" s="211" t="s">
        <v>316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((B36*H105)*0.1)*(G130), 0)</f>
        <v>5.718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5.718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210" t="s">
        <v>318</v>
      </c>
      <c r="N144" s="211" t="s">
        <v>319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343</v>
      </c>
      <c r="N147" s="163" t="s">
        <v>344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254.00004</v>
      </c>
      <c r="B148" s="99" t="n">
        <f aca="false">B102</f>
        <v>400</v>
      </c>
      <c r="C148" s="38"/>
      <c r="D148" s="38" t="n">
        <f aca="false">IF(A105="YES", (B40*B105)*B125, 0)*0.1</f>
        <v>8.577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762.56704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324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1683.51597601485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1403.98684952236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2159.00438223592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374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2128.03188223592</v>
      </c>
      <c r="B177" s="354" t="n">
        <f aca="false">IF(A105="YES", B89, 0)</f>
        <v>30.9725</v>
      </c>
      <c r="C177" s="356"/>
      <c r="D177" s="354" t="n">
        <f aca="false">B91</f>
        <v>2159.00438223592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2128.03188223592</v>
      </c>
      <c r="C180" s="352"/>
      <c r="D180" s="99" t="n">
        <f aca="false">IF(A105="YES", B89*B57, 0)</f>
        <v>30.9725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2159.00438223592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2128.03188223592</v>
      </c>
      <c r="B186" s="99" t="n">
        <f aca="false">IF(A105="YES", B89, 0)</f>
        <v>30.9725</v>
      </c>
      <c r="C186" s="352"/>
      <c r="D186" s="99" t="n">
        <f aca="false">B91</f>
        <v>2159.00438223592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254.00004</v>
      </c>
      <c r="B197" s="99" t="n">
        <f aca="false">B102</f>
        <v>400</v>
      </c>
      <c r="C197" s="99"/>
      <c r="D197" s="99" t="n">
        <f aca="false">IF(A105="YES", (B40*B105)*B125, 0)*0.1</f>
        <v>8.577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762.56704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1778.00028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254.00004</v>
      </c>
      <c r="C211" s="319" t="s">
        <v>217</v>
      </c>
      <c r="D211" s="369" t="n">
        <f aca="false">B225+E221+B221+B223</f>
        <v>425.76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1949.76024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1778.00028</v>
      </c>
      <c r="C217" s="374" t="s">
        <v>221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254.00004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1949.76024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85.77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214.505613729381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331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332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3" colorId="64" zoomScale="75" zoomScaleNormal="75" zoomScalePageLayoutView="100" workbookViewId="0">
      <selection pane="topLeft" activeCell="A38" activeCellId="0" sqref="A3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45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247.916666666667</v>
      </c>
      <c r="L45" s="2"/>
    </row>
    <row r="46" customFormat="false" ht="17.35" hidden="false" customHeight="false" outlineLevel="0" collapsed="false">
      <c r="A46" s="40" t="s">
        <v>72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250.583333333333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200.583333333333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250.583333333333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18206.1617093596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250.583333333333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250.583333333333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250.583333333333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16943.1682206957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1656.1965190327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18218.1617093596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18218.1617093596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A34)*A117))/(B68)*1.2</f>
        <v>78.5454545454545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1656.1965190327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1734.74197357815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131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27750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27750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27750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27750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27750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23125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4625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27750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27750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1875</v>
      </c>
      <c r="I157" s="1" t="n">
        <f aca="false">(H157-G90)/1.2</f>
        <v>1562.5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1656.1965190327</v>
      </c>
      <c r="B176" s="174" t="n">
        <f aca="false">B103</f>
        <v>78.5454545454545</v>
      </c>
      <c r="C176" s="171"/>
      <c r="D176" s="171"/>
      <c r="E176" s="174" t="n">
        <f aca="false">B105</f>
        <v>1734.74197357815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-5781.83829064035</v>
      </c>
      <c r="B191" s="99" t="str">
        <f aca="false">B123</f>
        <v>239.99</v>
      </c>
      <c r="C191" s="99"/>
      <c r="D191" s="23"/>
      <c r="E191" s="99" t="n">
        <f aca="false">E188+A191+B191+A194</f>
        <v>24468.1517093596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8.97696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224.991666666667</v>
      </c>
      <c r="C200" s="130"/>
      <c r="D200" s="130"/>
      <c r="E200" s="99" t="n">
        <f aca="false">H157</f>
        <v>1875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1734.74197357815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1656.1965190327</v>
      </c>
      <c r="B221" s="174" t="n">
        <f aca="false">B176</f>
        <v>78.5454545454545</v>
      </c>
      <c r="C221" s="171"/>
      <c r="D221" s="171"/>
      <c r="E221" s="174" t="n">
        <f aca="false">E176</f>
        <v>1734.74197357815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-5781.83829064035</v>
      </c>
      <c r="B233" s="99" t="str">
        <f aca="false">B191</f>
        <v>239.99</v>
      </c>
      <c r="C233" s="99"/>
      <c r="D233" s="109"/>
      <c r="E233" s="99" t="n">
        <f aca="false">E191</f>
        <v>24468.1517093596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1656.1965190327</v>
      </c>
      <c r="B239" s="99" t="n">
        <f aca="false">B176</f>
        <v>78.5454545454545</v>
      </c>
      <c r="C239" s="183"/>
      <c r="D239" s="183"/>
      <c r="E239" s="99" t="n">
        <f aca="false">E176</f>
        <v>1734.74197357815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26.93088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8.97696</v>
      </c>
      <c r="B245" s="99" t="n">
        <f aca="false">E242+A245</f>
        <v>35.90784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2099.99166666667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99.9916666666667</v>
      </c>
      <c r="C264" s="194"/>
      <c r="D264" s="195" t="s">
        <v>218</v>
      </c>
      <c r="E264" s="195"/>
      <c r="F264" s="196" t="n">
        <f aca="false">(B263-F263)+B264</f>
        <v>-50.0083333333333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18218.1617093596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99.9916666666667</v>
      </c>
      <c r="C272" s="32"/>
      <c r="D272" s="39" t="s">
        <v>218</v>
      </c>
      <c r="E272" s="39"/>
      <c r="F272" s="143" t="n">
        <f aca="false">(B263-F263)+B264</f>
        <v>-50.0083333333333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23625.0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385</v>
      </c>
      <c r="B34" s="32"/>
      <c r="C34" s="41" t="s">
        <v>386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384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385</v>
      </c>
      <c r="B40" s="32"/>
      <c r="C40" s="54" t="n">
        <f aca="false">A34-1</f>
        <v>11</v>
      </c>
      <c r="D40" s="54"/>
      <c r="E40" s="32"/>
      <c r="F40" s="41" t="s">
        <v>388</v>
      </c>
      <c r="G40" s="41"/>
      <c r="H40" s="47"/>
      <c r="J40" s="2" t="s">
        <v>58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394</v>
      </c>
      <c r="B43" s="32"/>
      <c r="C43" s="41" t="s">
        <v>395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197.916666666667</v>
      </c>
      <c r="L45" s="2"/>
    </row>
    <row r="46" customFormat="false" ht="17.35" hidden="false" customHeight="false" outlineLevel="0" collapsed="false">
      <c r="A46" s="40" t="s">
        <v>396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200.583333333333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200.583333333333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389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200.583333333333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18206.1617093596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200.583333333333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200.583333333333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200.583333333333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16943.1682206957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1656.1965190327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18218.1617093596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18218.1617093596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1656.1965190327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1656.1965190327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233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27750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27750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27750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27750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27750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23125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4625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27750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27750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1875</v>
      </c>
      <c r="I157" s="1" t="n">
        <f aca="false">(H157-G90)/1.2</f>
        <v>1562.5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1656.1965190327</v>
      </c>
      <c r="B176" s="174" t="n">
        <f aca="false">B103</f>
        <v>0</v>
      </c>
      <c r="C176" s="171"/>
      <c r="D176" s="171"/>
      <c r="E176" s="174" t="n">
        <f aca="false">B105</f>
        <v>1656.1965190327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-5781.83829064035</v>
      </c>
      <c r="B191" s="99" t="str">
        <f aca="false">B123</f>
        <v>199.99</v>
      </c>
      <c r="C191" s="99"/>
      <c r="D191" s="23"/>
      <c r="E191" s="99" t="n">
        <f aca="false">E188+A191+B191+A194</f>
        <v>24428.1517093596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7.4808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224.99</v>
      </c>
      <c r="C200" s="130"/>
      <c r="D200" s="130"/>
      <c r="E200" s="99" t="n">
        <f aca="false">H157</f>
        <v>1875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1656.1965190327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1656.1965190327</v>
      </c>
      <c r="B221" s="174" t="n">
        <f aca="false">B176</f>
        <v>0</v>
      </c>
      <c r="C221" s="171"/>
      <c r="D221" s="171"/>
      <c r="E221" s="174" t="n">
        <f aca="false">E176</f>
        <v>1656.1965190327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-5781.83829064035</v>
      </c>
      <c r="B233" s="99" t="str">
        <f aca="false">B191</f>
        <v>199.99</v>
      </c>
      <c r="C233" s="99"/>
      <c r="D233" s="109"/>
      <c r="E233" s="99" t="n">
        <f aca="false">E191</f>
        <v>24428.1517093596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1656.1965190327</v>
      </c>
      <c r="B239" s="99" t="n">
        <f aca="false">B176</f>
        <v>0</v>
      </c>
      <c r="C239" s="183"/>
      <c r="D239" s="183"/>
      <c r="E239" s="99" t="n">
        <f aca="false">E176</f>
        <v>1656.1965190327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22.4424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7.4808</v>
      </c>
      <c r="B245" s="99" t="n">
        <f aca="false">E242+A245</f>
        <v>29.9232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2099.99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</v>
      </c>
      <c r="C264" s="194"/>
      <c r="D264" s="195" t="s">
        <v>218</v>
      </c>
      <c r="E264" s="195"/>
      <c r="F264" s="196" t="n">
        <f aca="false">(B263-F263)+B264</f>
        <v>-50.01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18218.1617093596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</v>
      </c>
      <c r="C272" s="32"/>
      <c r="D272" s="39" t="s">
        <v>218</v>
      </c>
      <c r="E272" s="39"/>
      <c r="F272" s="143" t="n">
        <f aca="false">(B263-F263)+B264</f>
        <v>-50.01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" colorId="64" zoomScale="75" zoomScaleNormal="75" zoomScalePageLayoutView="100" workbookViewId="0">
      <selection pane="topLeft" activeCell="J32" activeCellId="0" sqref="J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21520.7919667607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281.25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D41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4009.26178718784</v>
      </c>
      <c r="C86" s="130" t="n">
        <f aca="false">(B82/((1+B84)^(B85+1)))</f>
        <v>4009.26178718784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26.3248502148426</v>
      </c>
      <c r="C87" s="130" t="n">
        <f aca="false">((1-(1/((1+B84)^B85)))/B84)</f>
        <v>26.3248502148426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18115.7382128122</v>
      </c>
      <c r="C88" s="130" t="n">
        <f aca="false">B81-B86</f>
        <v>18115.7382128122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688.161112597635</v>
      </c>
      <c r="C89" s="130" t="n">
        <f aca="false">(B88/B87)</f>
        <v>688.161112597635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22021.1556031243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22021.1556031243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688.161112597635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688.161112597635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263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688.161112597635</v>
      </c>
      <c r="B167" s="174" t="str">
        <f aca="false">B94</f>
        <v>0</v>
      </c>
      <c r="C167" s="171"/>
      <c r="D167" s="171"/>
      <c r="E167" s="174" t="n">
        <f aca="false">B96</f>
        <v>688.161112597635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-1978.84439687567</v>
      </c>
      <c r="B182" s="99" t="str">
        <f aca="false">B114</f>
        <v>239.99</v>
      </c>
      <c r="C182" s="99"/>
      <c r="D182" s="23"/>
      <c r="E182" s="99" t="n">
        <f aca="false">E179+A182+B182+A185</f>
        <v>28271.1456031243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234.375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334.366666666667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688.161112597635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688.161112597635</v>
      </c>
      <c r="B212" s="174" t="str">
        <f aca="false">B167</f>
        <v>0</v>
      </c>
      <c r="C212" s="171"/>
      <c r="D212" s="171"/>
      <c r="E212" s="174" t="n">
        <f aca="false">E167</f>
        <v>688.161112597635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-1978.84439687567</v>
      </c>
      <c r="B224" s="99" t="str">
        <f aca="false">B182</f>
        <v>239.99</v>
      </c>
      <c r="C224" s="99"/>
      <c r="D224" s="109"/>
      <c r="E224" s="99" t="n">
        <f aca="false">E182</f>
        <v>28271.1456031243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688.161112597635</v>
      </c>
      <c r="B230" s="99" t="str">
        <f aca="false">B167</f>
        <v>0</v>
      </c>
      <c r="C230" s="183"/>
      <c r="D230" s="183"/>
      <c r="E230" s="99" t="n">
        <f aca="false">E167</f>
        <v>688.161112597635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26.93088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8.97696</v>
      </c>
      <c r="B236" s="99" t="n">
        <f aca="false">E233+A236</f>
        <v>35.90784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234.375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2209.36666666667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281.25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-181.258333333333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281.25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-181.258333333333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9" colorId="64" zoomScale="75" zoomScaleNormal="7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23625.0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383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384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385</v>
      </c>
      <c r="C35" s="219"/>
      <c r="D35" s="219" t="s">
        <v>386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389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387</v>
      </c>
      <c r="C38" s="219"/>
      <c r="D38" s="100" t="s">
        <v>388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385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17717.1617093596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16943.1682206957</v>
      </c>
      <c r="C88" s="130" t="n">
        <f aca="false">B81-B86</f>
        <v>16943.1682206957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1656.1965190327</v>
      </c>
      <c r="C89" s="130" t="n">
        <f aca="false">(B88/B87)</f>
        <v>1656.1965190327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18218.1617093596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18218.1617093596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1656.1965190327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1656.1965190327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387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391</v>
      </c>
      <c r="C108" s="103"/>
      <c r="D108" s="103" t="n">
        <v>0.0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387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390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25416.67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1656.1965190327</v>
      </c>
      <c r="B167" s="174" t="str">
        <f aca="false">B94</f>
        <v>0</v>
      </c>
      <c r="C167" s="171"/>
      <c r="D167" s="171"/>
      <c r="E167" s="174" t="n">
        <f aca="false">B96</f>
        <v>1656.1965190327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-5781.83829064035</v>
      </c>
      <c r="B182" s="99" t="str">
        <f aca="false">B114</f>
        <v>199.99</v>
      </c>
      <c r="C182" s="99"/>
      <c r="D182" s="23"/>
      <c r="E182" s="99" t="n">
        <f aca="false">E179+A182+B182+A185</f>
        <v>24428.1517093596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224.99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1656.1965190327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1656.1965190327</v>
      </c>
      <c r="B212" s="174" t="str">
        <f aca="false">B167</f>
        <v>0</v>
      </c>
      <c r="C212" s="171"/>
      <c r="D212" s="171"/>
      <c r="E212" s="174" t="n">
        <f aca="false">E167</f>
        <v>1656.1965190327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-5781.83829064035</v>
      </c>
      <c r="B224" s="99" t="str">
        <f aca="false">B182</f>
        <v>199.99</v>
      </c>
      <c r="C224" s="99"/>
      <c r="D224" s="109"/>
      <c r="E224" s="99" t="n">
        <f aca="false">E182</f>
        <v>24428.1517093596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1656.1965190327</v>
      </c>
      <c r="B230" s="99" t="str">
        <f aca="false">B167</f>
        <v>0</v>
      </c>
      <c r="C230" s="183"/>
      <c r="D230" s="183"/>
      <c r="E230" s="99" t="n">
        <f aca="false">E167</f>
        <v>1656.1965190327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22.4424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7.4808</v>
      </c>
      <c r="B236" s="99" t="n">
        <f aca="false">E233+A236</f>
        <v>29.9232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2099.99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-50.01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-50.01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8" colorId="64" zoomScale="75" zoomScaleNormal="7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23625.0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383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384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385</v>
      </c>
      <c r="C35" s="219"/>
      <c r="D35" s="219" t="s">
        <v>386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389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387</v>
      </c>
      <c r="C38" s="219"/>
      <c r="D38" s="100" t="s">
        <v>388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385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17031.8367972182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5433.96849626786</v>
      </c>
      <c r="C86" s="130" t="n">
        <f aca="false">(B82/((1+B84)^(B85+1)))</f>
        <v>5433.96849626786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10.4718562469129</v>
      </c>
      <c r="C87" s="130" t="n">
        <f aca="false">((1-(1/((1+B84)^B85)))/B84)</f>
        <v>10.4718562469129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16691.0315037321</v>
      </c>
      <c r="C88" s="130" t="n">
        <f aca="false">B81-B86</f>
        <v>16691.0315037321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1593.89425429256</v>
      </c>
      <c r="C89" s="130" t="n">
        <f aca="false">(B88/B87)</f>
        <v>1593.89425429256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17532.8367972182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17532.8367972182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1593.89425429256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1593.89425429256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268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387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398</v>
      </c>
      <c r="C108" s="103"/>
      <c r="D108" s="103" t="n">
        <v>0.0</v>
      </c>
      <c r="E108" s="104" t="n">
        <f aca="false">B83</f>
        <v>0.0995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387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397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25416.67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1593.89425429256</v>
      </c>
      <c r="B167" s="174" t="str">
        <f aca="false">B94</f>
        <v>0</v>
      </c>
      <c r="C167" s="171"/>
      <c r="D167" s="171"/>
      <c r="E167" s="174" t="n">
        <f aca="false">B96</f>
        <v>1593.89425429256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-6467.16320278182</v>
      </c>
      <c r="B182" s="99" t="str">
        <f aca="false">B114</f>
        <v>199.99</v>
      </c>
      <c r="C182" s="99"/>
      <c r="D182" s="23"/>
      <c r="E182" s="99" t="n">
        <f aca="false">E179+A182+B182+A185</f>
        <v>23742.8267972182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199.99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125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66.6583333333334</v>
      </c>
      <c r="B191" s="99" t="n">
        <f aca="false">B188+E188+A191</f>
        <v>191.658333333333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1593.89425429256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1593.89425429256</v>
      </c>
      <c r="B212" s="174" t="str">
        <f aca="false">B167</f>
        <v>0</v>
      </c>
      <c r="C212" s="171"/>
      <c r="D212" s="171"/>
      <c r="E212" s="174" t="n">
        <f aca="false">E167</f>
        <v>1593.89425429256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-6467.16320278182</v>
      </c>
      <c r="B224" s="99" t="str">
        <f aca="false">B182</f>
        <v>199.99</v>
      </c>
      <c r="C224" s="99"/>
      <c r="D224" s="109"/>
      <c r="E224" s="99" t="n">
        <f aca="false">E182</f>
        <v>23742.8267972182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199.99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1593.89425429256</v>
      </c>
      <c r="B230" s="99" t="str">
        <f aca="false">B167</f>
        <v>0</v>
      </c>
      <c r="C230" s="183"/>
      <c r="D230" s="183"/>
      <c r="E230" s="99" t="n">
        <f aca="false">E167</f>
        <v>1593.89425429256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8.97696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66.6583333333334</v>
      </c>
      <c r="B243" s="99" t="n">
        <f aca="false">B240+E240+A243+A240</f>
        <v>2066.65833333333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66.6583333333334</v>
      </c>
      <c r="C255" s="194"/>
      <c r="D255" s="195" t="s">
        <v>218</v>
      </c>
      <c r="E255" s="195"/>
      <c r="F255" s="196" t="n">
        <f aca="false">(B254-F254)+B255</f>
        <v>-83.3416666666667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0.0995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66.6583333333334</v>
      </c>
      <c r="C263" s="32"/>
      <c r="D263" s="39" t="s">
        <v>218</v>
      </c>
      <c r="E263" s="39"/>
      <c r="F263" s="143" t="n">
        <f aca="false">(B254-F254)+B255</f>
        <v>-83.3416666666667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0" colorId="64" zoomScale="75" zoomScaleNormal="75" zoomScalePageLayoutView="100" workbookViewId="0">
      <selection pane="topLeft" activeCell="B81" activeCellId="0" sqref="B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23625.0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383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384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385</v>
      </c>
      <c r="C35" s="219"/>
      <c r="D35" s="219" t="s">
        <v>386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389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387</v>
      </c>
      <c r="C38" s="219"/>
      <c r="D38" s="100" t="s">
        <v>388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385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17717.1617093596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16943.1682206957</v>
      </c>
      <c r="C88" s="130" t="n">
        <f aca="false">B81-B86</f>
        <v>16943.1682206957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1656.1965190327</v>
      </c>
      <c r="C89" s="130" t="n">
        <f aca="false">(B88/B87)</f>
        <v>1656.1965190327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18218.1617093596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18218.1617093596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1656.1965190327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1656.1965190327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387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391</v>
      </c>
      <c r="C108" s="103"/>
      <c r="D108" s="103" t="n">
        <v>0.0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387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390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25416.67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1656.1965190327</v>
      </c>
      <c r="B167" s="174" t="str">
        <f aca="false">B94</f>
        <v>0</v>
      </c>
      <c r="C167" s="171"/>
      <c r="D167" s="171"/>
      <c r="E167" s="174" t="n">
        <f aca="false">B96</f>
        <v>1656.1965190327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-5781.83829064035</v>
      </c>
      <c r="B182" s="99" t="str">
        <f aca="false">B114</f>
        <v>199.99</v>
      </c>
      <c r="C182" s="99"/>
      <c r="D182" s="23"/>
      <c r="E182" s="99" t="n">
        <f aca="false">E179+A182+B182+A185</f>
        <v>24428.1517093596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224.99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1656.1965190327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1656.1965190327</v>
      </c>
      <c r="B212" s="174" t="str">
        <f aca="false">B167</f>
        <v>0</v>
      </c>
      <c r="C212" s="171"/>
      <c r="D212" s="171"/>
      <c r="E212" s="174" t="n">
        <f aca="false">E167</f>
        <v>1656.1965190327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-5781.83829064035</v>
      </c>
      <c r="B224" s="99" t="str">
        <f aca="false">B182</f>
        <v>199.99</v>
      </c>
      <c r="C224" s="99"/>
      <c r="D224" s="109"/>
      <c r="E224" s="99" t="n">
        <f aca="false">E182</f>
        <v>24428.1517093596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1656.1965190327</v>
      </c>
      <c r="B230" s="99" t="str">
        <f aca="false">B167</f>
        <v>0</v>
      </c>
      <c r="C230" s="183"/>
      <c r="D230" s="183"/>
      <c r="E230" s="99" t="n">
        <f aca="false">E167</f>
        <v>1656.1965190327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7.4808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2099.99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-50.01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-50.01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28350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23625</v>
      </c>
      <c r="C9" s="14" t="n">
        <f aca="false">B9*0.2</f>
        <v>4725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45029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4725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65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334</v>
      </c>
      <c r="C44" s="100"/>
      <c r="D44" s="100" t="n">
        <v>0</v>
      </c>
      <c r="E44" s="100"/>
      <c r="F44" s="387"/>
      <c r="G44" s="2" t="s">
        <v>67</v>
      </c>
      <c r="H44" s="2" t="n">
        <f aca="false">((H40-(((H42/(1.2))*0.2)))/(H43))</f>
        <v>310.416666666667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189.583333333333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335</v>
      </c>
      <c r="B46" s="226" t="s">
        <v>336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335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192.25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26"/>
      <c r="E50" s="239"/>
      <c r="F50" s="387"/>
      <c r="G50" s="2" t="s">
        <v>337</v>
      </c>
      <c r="H50" s="2" t="n">
        <f aca="false">H49-H41</f>
        <v>192.25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192.25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335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192.25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275</v>
      </c>
      <c r="B66" s="211" t="n">
        <f aca="false">E19</f>
        <v>28350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276</v>
      </c>
      <c r="B68" s="292" t="n">
        <v>0.07</v>
      </c>
      <c r="C68" s="316"/>
      <c r="D68" s="316"/>
      <c r="E68" s="317"/>
      <c r="F68" s="387"/>
      <c r="G68" s="398" t="s">
        <v>276</v>
      </c>
      <c r="H68" s="399" t="n">
        <v>0.07</v>
      </c>
      <c r="I68" s="316"/>
      <c r="J68" s="316"/>
      <c r="K68" s="317"/>
      <c r="L68" s="387"/>
      <c r="M68" s="398" t="s">
        <v>276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277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277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93</v>
      </c>
      <c r="B70" s="129" t="n">
        <f aca="false">B66*B69</f>
        <v>1984.5</v>
      </c>
      <c r="C70" s="316" t="n">
        <v>10000</v>
      </c>
      <c r="D70" s="32" t="n">
        <f aca="false">B70-A149</f>
        <v>1984.5</v>
      </c>
      <c r="E70" s="317" t="n">
        <f aca="false">D70/12</f>
        <v>165.375</v>
      </c>
      <c r="F70" s="387"/>
      <c r="G70" s="365" t="s">
        <v>93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93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94</v>
      </c>
      <c r="B71" s="292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96</v>
      </c>
      <c r="B73" s="129" t="n">
        <f aca="false">B66*B72</f>
        <v>283.5</v>
      </c>
      <c r="C73" s="316"/>
      <c r="D73" s="32"/>
      <c r="E73" s="317"/>
      <c r="F73" s="387"/>
      <c r="G73" s="365" t="s">
        <v>96</v>
      </c>
      <c r="H73" s="65" t="n">
        <f aca="false">H67*H72</f>
        <v>187.02</v>
      </c>
      <c r="I73" s="316"/>
      <c r="J73" s="32"/>
      <c r="K73" s="317"/>
      <c r="L73" s="387"/>
      <c r="M73" s="365" t="s">
        <v>96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278</v>
      </c>
      <c r="B80" s="86" t="n">
        <v>0</v>
      </c>
      <c r="C80" s="316"/>
      <c r="D80" s="316"/>
      <c r="E80" s="403" t="n">
        <f aca="false">E79+D82</f>
        <v>660</v>
      </c>
      <c r="F80" s="387"/>
      <c r="G80" s="398" t="s">
        <v>278</v>
      </c>
      <c r="H80" s="86" t="n">
        <v>150</v>
      </c>
      <c r="I80" s="316"/>
      <c r="J80" s="316"/>
      <c r="K80" s="317"/>
      <c r="L80" s="387"/>
      <c r="M80" s="404" t="s">
        <v>278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279</v>
      </c>
      <c r="B81" s="77" t="n">
        <v>0</v>
      </c>
      <c r="C81" s="316"/>
      <c r="D81" s="316"/>
      <c r="E81" s="317" t="n">
        <f aca="false">E80/12</f>
        <v>55</v>
      </c>
      <c r="F81" s="387"/>
      <c r="G81" s="400" t="s">
        <v>279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279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280</v>
      </c>
      <c r="B82" s="65" t="n">
        <f aca="false">((B80+B81)/12)*(H29+1)</f>
        <v>0</v>
      </c>
      <c r="C82" s="316"/>
      <c r="D82" s="32" t="n">
        <f aca="false">IF(A50="YES", 0, B82)</f>
        <v>0</v>
      </c>
      <c r="E82" s="317"/>
      <c r="F82" s="387"/>
      <c r="G82" s="365" t="s">
        <v>280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280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281</v>
      </c>
      <c r="B83" s="86" t="n">
        <f aca="false">B108/(1-0.1)</f>
        <v>0</v>
      </c>
      <c r="C83" s="316"/>
      <c r="D83" s="32" t="n">
        <f aca="false">B83</f>
        <v>0</v>
      </c>
      <c r="E83" s="317" t="n">
        <f aca="false">D83/12</f>
        <v>0</v>
      </c>
      <c r="F83" s="387"/>
      <c r="G83" s="398" t="s">
        <v>281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281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338</v>
      </c>
      <c r="B84" s="33" t="n">
        <f aca="false">D108/(1-0.1)</f>
        <v>0</v>
      </c>
      <c r="C84" s="316"/>
      <c r="D84" s="32" t="n">
        <f aca="false">B84</f>
        <v>0</v>
      </c>
      <c r="E84" s="317"/>
      <c r="F84" s="387"/>
      <c r="G84" s="315" t="s">
        <v>282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282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2644.5</v>
      </c>
      <c r="C87" s="316"/>
      <c r="D87" s="316"/>
      <c r="E87" s="317"/>
      <c r="F87" s="387"/>
      <c r="G87" s="411" t="s">
        <v>105</v>
      </c>
      <c r="H87" s="412" t="n">
        <f aca="false">SUM(J70:J86)</f>
        <v>5744.78</v>
      </c>
      <c r="I87" s="316"/>
      <c r="J87" s="316"/>
      <c r="K87" s="317"/>
      <c r="L87" s="387"/>
      <c r="M87" s="411" t="s">
        <v>105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220.375</v>
      </c>
      <c r="C88" s="316"/>
      <c r="D88" s="316"/>
      <c r="E88" s="317"/>
      <c r="F88" s="387"/>
      <c r="G88" s="315" t="s">
        <v>106</v>
      </c>
      <c r="H88" s="33" t="n">
        <f aca="false">H87/H29</f>
        <v>478.731666666667</v>
      </c>
      <c r="I88" s="316"/>
      <c r="J88" s="316"/>
      <c r="K88" s="317"/>
      <c r="L88" s="387"/>
      <c r="M88" s="315" t="s">
        <v>106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192.25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((B89*H29)+B87)*1.2</f>
        <v>5941.8</v>
      </c>
      <c r="C91" s="316"/>
      <c r="D91" s="316"/>
      <c r="E91" s="317"/>
      <c r="F91" s="387"/>
      <c r="G91" s="395" t="s">
        <v>117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117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41.9449374747882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118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5983.74493747479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IF(B105=Z104,(((H41*A32)+(H41*A32)*(B111/100))/(B64)),(((H41*A32)+(H41*A32)*(B111/100))/(B63+B64)))*1.2</f>
        <v>0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498.645411456232</v>
      </c>
      <c r="C96" s="316"/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498.645411456232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387"/>
      <c r="G100" s="209" t="s">
        <v>283</v>
      </c>
      <c r="H100" s="209"/>
      <c r="I100" s="209"/>
      <c r="J100" s="209"/>
      <c r="K100" s="209"/>
      <c r="L100" s="387"/>
      <c r="M100" s="209" t="s">
        <v>339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284</v>
      </c>
      <c r="E104" s="317"/>
      <c r="F104" s="387"/>
      <c r="G104" s="315" t="s">
        <v>128</v>
      </c>
      <c r="H104" s="316" t="s">
        <v>23</v>
      </c>
      <c r="I104" s="316"/>
      <c r="J104" s="316" t="s">
        <v>284</v>
      </c>
      <c r="K104" s="317"/>
      <c r="L104" s="387"/>
      <c r="M104" s="315" t="s">
        <v>128</v>
      </c>
      <c r="N104" s="316" t="s">
        <v>23</v>
      </c>
      <c r="O104" s="316"/>
      <c r="P104" s="316" t="s">
        <v>284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259</v>
      </c>
    </row>
    <row r="105" customFormat="false" ht="18.75" hidden="false" customHeight="true" outlineLevel="0" collapsed="false">
      <c r="A105" s="373"/>
      <c r="B105" s="311" t="s">
        <v>131</v>
      </c>
      <c r="C105" s="311"/>
      <c r="D105" s="420" t="n">
        <v>1000</v>
      </c>
      <c r="E105" s="420"/>
      <c r="F105" s="387"/>
      <c r="G105" s="373" t="s">
        <v>285</v>
      </c>
      <c r="H105" s="311" t="s">
        <v>265</v>
      </c>
      <c r="I105" s="311"/>
      <c r="J105" s="420" t="n">
        <v>5000</v>
      </c>
      <c r="K105" s="420"/>
      <c r="L105" s="387"/>
      <c r="M105" s="373" t="s">
        <v>285</v>
      </c>
      <c r="N105" s="311" t="s">
        <v>264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260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261</v>
      </c>
    </row>
    <row r="107" customFormat="false" ht="18.75" hidden="false" customHeight="true" outlineLevel="0" collapsed="false">
      <c r="A107" s="315" t="s">
        <v>287</v>
      </c>
      <c r="B107" s="316" t="s">
        <v>288</v>
      </c>
      <c r="C107" s="316"/>
      <c r="D107" s="316" t="s">
        <v>289</v>
      </c>
      <c r="E107" s="317"/>
      <c r="F107" s="387"/>
      <c r="G107" s="315" t="s">
        <v>287</v>
      </c>
      <c r="H107" s="316" t="s">
        <v>288</v>
      </c>
      <c r="I107" s="316"/>
      <c r="J107" s="316" t="s">
        <v>289</v>
      </c>
      <c r="K107" s="317"/>
      <c r="L107" s="387"/>
      <c r="M107" s="315" t="s">
        <v>287</v>
      </c>
      <c r="N107" s="316" t="s">
        <v>288</v>
      </c>
      <c r="O107" s="316"/>
      <c r="P107" s="316" t="s">
        <v>289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262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264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265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266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267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340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387"/>
      <c r="G114" s="213" t="s">
        <v>291</v>
      </c>
      <c r="H114" s="213"/>
      <c r="I114" s="213"/>
      <c r="J114" s="213"/>
      <c r="K114" s="213"/>
      <c r="L114" s="387"/>
      <c r="M114" s="213" t="s">
        <v>291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292</v>
      </c>
      <c r="B116" s="388" t="s">
        <v>19</v>
      </c>
      <c r="C116" s="316"/>
      <c r="D116" s="316"/>
      <c r="E116" s="317"/>
      <c r="F116" s="387"/>
      <c r="G116" s="315" t="s">
        <v>292</v>
      </c>
      <c r="H116" s="388" t="s">
        <v>18</v>
      </c>
      <c r="I116" s="316"/>
      <c r="J116" s="316"/>
      <c r="K116" s="317"/>
      <c r="L116" s="387"/>
      <c r="M116" s="315" t="s">
        <v>292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293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293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293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387"/>
      <c r="G128" s="213" t="s">
        <v>294</v>
      </c>
      <c r="H128" s="213"/>
      <c r="I128" s="213"/>
      <c r="J128" s="213"/>
      <c r="K128" s="213"/>
      <c r="L128" s="387"/>
      <c r="M128" s="213" t="s">
        <v>294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498.645411456232</v>
      </c>
      <c r="B134" s="320" t="n">
        <f aca="false">IF(A111="YES", B95, 0)</f>
        <v>0</v>
      </c>
      <c r="C134" s="324"/>
      <c r="D134" s="320" t="n">
        <f aca="false">B97</f>
        <v>498.645411456232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297</v>
      </c>
      <c r="H135" s="423" t="s">
        <v>298</v>
      </c>
      <c r="I135" s="423"/>
      <c r="J135" s="423" t="s">
        <v>299</v>
      </c>
      <c r="K135" s="317"/>
      <c r="L135" s="387"/>
      <c r="M135" s="422" t="s">
        <v>341</v>
      </c>
      <c r="N135" s="423" t="s">
        <v>248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498.645411456232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302</v>
      </c>
      <c r="H138" s="316" t="s">
        <v>303</v>
      </c>
      <c r="I138" s="316"/>
      <c r="J138" s="316" t="s">
        <v>304</v>
      </c>
      <c r="K138" s="317"/>
      <c r="L138" s="387"/>
      <c r="M138" s="315" t="s">
        <v>342</v>
      </c>
      <c r="N138" s="316" t="s">
        <v>239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498.645411456232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307</v>
      </c>
      <c r="H141" s="316" t="s">
        <v>308</v>
      </c>
      <c r="I141" s="316"/>
      <c r="J141" s="316" t="s">
        <v>309</v>
      </c>
      <c r="K141" s="317"/>
      <c r="L141" s="387"/>
      <c r="M141" s="315" t="s">
        <v>250</v>
      </c>
      <c r="N141" s="316" t="s">
        <v>251</v>
      </c>
      <c r="O141" s="316"/>
      <c r="P141" s="316" t="s">
        <v>255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498.645411456232</v>
      </c>
      <c r="B143" s="38" t="n">
        <f aca="false">IF(A111="YES", B95, 0)</f>
        <v>0</v>
      </c>
      <c r="C143" s="316"/>
      <c r="D143" s="38" t="n">
        <f aca="false">B97</f>
        <v>498.645411456232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310</v>
      </c>
      <c r="H144" s="316" t="s">
        <v>311</v>
      </c>
      <c r="I144" s="316"/>
      <c r="J144" s="316" t="s">
        <v>312</v>
      </c>
      <c r="K144" s="317"/>
      <c r="L144" s="387"/>
      <c r="M144" s="315" t="s">
        <v>142</v>
      </c>
      <c r="N144" s="316" t="s">
        <v>311</v>
      </c>
      <c r="O144" s="316"/>
      <c r="P144" s="316" t="s">
        <v>312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314</v>
      </c>
      <c r="H147" s="316" t="s">
        <v>315</v>
      </c>
      <c r="I147" s="316"/>
      <c r="J147" s="316" t="s">
        <v>316</v>
      </c>
      <c r="K147" s="317"/>
      <c r="L147" s="387"/>
      <c r="M147" s="315" t="s">
        <v>314</v>
      </c>
      <c r="N147" s="316" t="s">
        <v>315</v>
      </c>
      <c r="O147" s="316"/>
      <c r="P147" s="316" t="s">
        <v>316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318</v>
      </c>
      <c r="H150" s="316" t="s">
        <v>319</v>
      </c>
      <c r="I150" s="316"/>
      <c r="J150" s="316"/>
      <c r="K150" s="317"/>
      <c r="L150" s="387"/>
      <c r="M150" s="315" t="s">
        <v>318</v>
      </c>
      <c r="N150" s="316" t="s">
        <v>319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343</v>
      </c>
      <c r="N153" s="39" t="s">
        <v>344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283.5</v>
      </c>
      <c r="B154" s="38" t="n">
        <f aca="false">B108</f>
        <v>0</v>
      </c>
      <c r="C154" s="38"/>
      <c r="D154" s="38" t="n">
        <f aca="false">IF(A111="YES", (A44/100*B111)*B131, 0)*0.1</f>
        <v>0</v>
      </c>
      <c r="E154" s="101"/>
      <c r="F154" s="387"/>
      <c r="G154" s="347" t="s">
        <v>324</v>
      </c>
      <c r="H154" s="316"/>
      <c r="I154" s="316"/>
      <c r="J154" s="348"/>
      <c r="K154" s="349"/>
      <c r="L154" s="387"/>
      <c r="M154" s="424" t="n">
        <f aca="false">H40</f>
        <v>4725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383.491666666667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324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498.645411456232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498.645411456232</v>
      </c>
      <c r="B177" s="354" t="n">
        <f aca="false">IF(A111="YES", B95, 0)</f>
        <v>0</v>
      </c>
      <c r="C177" s="356"/>
      <c r="D177" s="354" t="n">
        <f aca="false">A177+B177</f>
        <v>498.645411456232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498.645411456232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498.645411456232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498.645411456232</v>
      </c>
      <c r="B186" s="99" t="n">
        <f aca="false">IF(A111="YES", B95, 0)</f>
        <v>0</v>
      </c>
      <c r="C186" s="352"/>
      <c r="D186" s="99" t="n">
        <f aca="false">B97</f>
        <v>498.645411456232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283.5</v>
      </c>
      <c r="B197" s="99" t="n">
        <f aca="false">B108</f>
        <v>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383.491666666667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1984.5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283.5</v>
      </c>
      <c r="C211" s="319" t="s">
        <v>217</v>
      </c>
      <c r="D211" s="369" t="n">
        <f aca="false">B225+E221+B221+B223</f>
        <v>99.9916666666667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1800.99166666667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1984.5</v>
      </c>
      <c r="C217" s="374" t="s">
        <v>221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283.5</v>
      </c>
      <c r="C219" s="335" t="s">
        <v>327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1800.99166666667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41.9449374747882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0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3" colorId="64" zoomScale="75" zoomScaleNormal="75" zoomScalePageLayoutView="100" workbookViewId="0">
      <selection pane="topLeft" activeCell="H41" activeCellId="0" sqref="H41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45029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335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4625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4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334</v>
      </c>
      <c r="C44" s="100"/>
      <c r="D44" s="100" t="n">
        <v>0</v>
      </c>
      <c r="E44" s="100"/>
      <c r="F44" s="387"/>
      <c r="G44" s="2" t="s">
        <v>67</v>
      </c>
      <c r="H44" s="2" t="n">
        <f aca="false">((H40-(((H42/(1.2))*0.2)))/(H43))</f>
        <v>302.083333333333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197.916666666667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335</v>
      </c>
      <c r="B46" s="226" t="s">
        <v>336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335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200.583333333333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337</v>
      </c>
      <c r="H50" s="2" t="n">
        <f aca="false">H49-H41</f>
        <v>200.583333333333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335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200.583333333333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276</v>
      </c>
      <c r="B68" s="292" t="n">
        <v>0.07</v>
      </c>
      <c r="C68" s="316"/>
      <c r="D68" s="316"/>
      <c r="E68" s="317"/>
      <c r="F68" s="387"/>
      <c r="G68" s="398" t="s">
        <v>276</v>
      </c>
      <c r="H68" s="399" t="n">
        <v>0.07</v>
      </c>
      <c r="I68" s="316"/>
      <c r="J68" s="316"/>
      <c r="K68" s="317"/>
      <c r="L68" s="387"/>
      <c r="M68" s="398" t="s">
        <v>276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277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277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93</v>
      </c>
      <c r="B70" s="129" t="n">
        <f aca="false">B67*B69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93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93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94</v>
      </c>
      <c r="B71" s="292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316"/>
      <c r="D73" s="32"/>
      <c r="E73" s="317"/>
      <c r="F73" s="387"/>
      <c r="G73" s="365" t="s">
        <v>96</v>
      </c>
      <c r="H73" s="65" t="n">
        <f aca="false">H67*H72</f>
        <v>187.02</v>
      </c>
      <c r="I73" s="316"/>
      <c r="J73" s="32"/>
      <c r="K73" s="317"/>
      <c r="L73" s="387"/>
      <c r="M73" s="365" t="s">
        <v>96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278</v>
      </c>
      <c r="B80" s="86" t="n">
        <v>165</v>
      </c>
      <c r="C80" s="316"/>
      <c r="D80" s="316"/>
      <c r="E80" s="403" t="n">
        <f aca="false">E79+D82</f>
        <v>838.75</v>
      </c>
      <c r="F80" s="387"/>
      <c r="G80" s="398" t="s">
        <v>278</v>
      </c>
      <c r="H80" s="86" t="n">
        <v>150</v>
      </c>
      <c r="I80" s="316"/>
      <c r="J80" s="316"/>
      <c r="K80" s="317"/>
      <c r="L80" s="387"/>
      <c r="M80" s="404" t="s">
        <v>278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279</v>
      </c>
      <c r="B81" s="77" t="n">
        <v>0</v>
      </c>
      <c r="C81" s="316"/>
      <c r="D81" s="316"/>
      <c r="E81" s="317" t="n">
        <f aca="false">E80/12</f>
        <v>69.8958333333333</v>
      </c>
      <c r="F81" s="387"/>
      <c r="G81" s="400" t="s">
        <v>279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279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280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280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280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281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281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281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338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282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282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4123.69666666667</v>
      </c>
      <c r="C87" s="316"/>
      <c r="D87" s="316"/>
      <c r="E87" s="317"/>
      <c r="F87" s="387"/>
      <c r="G87" s="411" t="s">
        <v>105</v>
      </c>
      <c r="H87" s="412" t="n">
        <f aca="false">SUM(J70:J86)</f>
        <v>5744.78</v>
      </c>
      <c r="I87" s="316"/>
      <c r="J87" s="316"/>
      <c r="K87" s="317"/>
      <c r="L87" s="387"/>
      <c r="M87" s="411" t="s">
        <v>105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343.641388888889</v>
      </c>
      <c r="C88" s="316"/>
      <c r="D88" s="316"/>
      <c r="E88" s="317"/>
      <c r="F88" s="387"/>
      <c r="G88" s="315" t="s">
        <v>106</v>
      </c>
      <c r="H88" s="33" t="n">
        <f aca="false">H87/H29</f>
        <v>478.731666666667</v>
      </c>
      <c r="I88" s="316"/>
      <c r="J88" s="316"/>
      <c r="K88" s="317"/>
      <c r="L88" s="387"/>
      <c r="M88" s="315" t="s">
        <v>106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200.583333333333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</f>
        <v>6530.69666666667</v>
      </c>
      <c r="C91" s="316"/>
      <c r="D91" s="316"/>
      <c r="E91" s="317"/>
      <c r="F91" s="387"/>
      <c r="G91" s="395" t="s">
        <v>117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117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55.3225615167406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118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2586.01922818341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</f>
        <v>0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215.501602348617</v>
      </c>
      <c r="C96" s="316" t="s">
        <v>4</v>
      </c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215.501602348617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387"/>
      <c r="G100" s="209" t="s">
        <v>283</v>
      </c>
      <c r="H100" s="209"/>
      <c r="I100" s="209"/>
      <c r="J100" s="209"/>
      <c r="K100" s="209"/>
      <c r="L100" s="387"/>
      <c r="M100" s="209" t="s">
        <v>339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284</v>
      </c>
      <c r="E104" s="317"/>
      <c r="F104" s="387"/>
      <c r="G104" s="315" t="s">
        <v>128</v>
      </c>
      <c r="H104" s="316" t="s">
        <v>23</v>
      </c>
      <c r="I104" s="316"/>
      <c r="J104" s="316" t="s">
        <v>284</v>
      </c>
      <c r="K104" s="317"/>
      <c r="L104" s="387"/>
      <c r="M104" s="315" t="s">
        <v>128</v>
      </c>
      <c r="N104" s="316" t="s">
        <v>23</v>
      </c>
      <c r="O104" s="316"/>
      <c r="P104" s="316" t="s">
        <v>284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259</v>
      </c>
    </row>
    <row r="105" customFormat="false" ht="18.75" hidden="false" customHeight="true" outlineLevel="0" collapsed="false">
      <c r="A105" s="373"/>
      <c r="B105" s="311" t="s">
        <v>286</v>
      </c>
      <c r="C105" s="311"/>
      <c r="D105" s="420" t="n">
        <v>1000</v>
      </c>
      <c r="E105" s="420"/>
      <c r="F105" s="387"/>
      <c r="G105" s="373" t="s">
        <v>285</v>
      </c>
      <c r="H105" s="311" t="s">
        <v>265</v>
      </c>
      <c r="I105" s="311"/>
      <c r="J105" s="420" t="n">
        <v>5000</v>
      </c>
      <c r="K105" s="420"/>
      <c r="L105" s="387"/>
      <c r="M105" s="373" t="s">
        <v>285</v>
      </c>
      <c r="N105" s="311" t="s">
        <v>264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260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261</v>
      </c>
    </row>
    <row r="107" customFormat="false" ht="18.75" hidden="false" customHeight="true" outlineLevel="0" collapsed="false">
      <c r="A107" s="315" t="s">
        <v>287</v>
      </c>
      <c r="B107" s="316" t="s">
        <v>288</v>
      </c>
      <c r="C107" s="316"/>
      <c r="D107" s="316" t="s">
        <v>289</v>
      </c>
      <c r="E107" s="317"/>
      <c r="F107" s="387"/>
      <c r="G107" s="315" t="s">
        <v>287</v>
      </c>
      <c r="H107" s="316" t="s">
        <v>288</v>
      </c>
      <c r="I107" s="316"/>
      <c r="J107" s="316" t="s">
        <v>289</v>
      </c>
      <c r="K107" s="317"/>
      <c r="L107" s="387"/>
      <c r="M107" s="315" t="s">
        <v>287</v>
      </c>
      <c r="N107" s="316" t="s">
        <v>288</v>
      </c>
      <c r="O107" s="316"/>
      <c r="P107" s="316" t="s">
        <v>289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264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265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266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s">
        <v>290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267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340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387"/>
      <c r="G114" s="213" t="s">
        <v>291</v>
      </c>
      <c r="H114" s="213"/>
      <c r="I114" s="213"/>
      <c r="J114" s="213"/>
      <c r="K114" s="213"/>
      <c r="L114" s="387"/>
      <c r="M114" s="213" t="s">
        <v>291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292</v>
      </c>
      <c r="B116" s="388" t="s">
        <v>18</v>
      </c>
      <c r="C116" s="316"/>
      <c r="D116" s="316"/>
      <c r="E116" s="317"/>
      <c r="F116" s="387"/>
      <c r="G116" s="315" t="s">
        <v>292</v>
      </c>
      <c r="H116" s="388" t="s">
        <v>18</v>
      </c>
      <c r="I116" s="316"/>
      <c r="J116" s="316"/>
      <c r="K116" s="317"/>
      <c r="L116" s="387"/>
      <c r="M116" s="315" t="s">
        <v>292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293</v>
      </c>
      <c r="B125" s="366"/>
      <c r="C125" s="366"/>
      <c r="D125" s="366"/>
      <c r="E125" s="65" t="n">
        <f aca="false">(E124+E123)-E120</f>
        <v>-2800.01</v>
      </c>
      <c r="F125" s="387"/>
      <c r="G125" s="421" t="s">
        <v>293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293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387"/>
      <c r="G128" s="213" t="s">
        <v>294</v>
      </c>
      <c r="H128" s="213"/>
      <c r="I128" s="213"/>
      <c r="J128" s="213"/>
      <c r="K128" s="213"/>
      <c r="L128" s="387"/>
      <c r="M128" s="213" t="s">
        <v>294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215.501602348617</v>
      </c>
      <c r="B134" s="320" t="n">
        <f aca="false">IF(A111="YES", B95, 0)</f>
        <v>0</v>
      </c>
      <c r="C134" s="325"/>
      <c r="D134" s="320" t="n">
        <f aca="false">B97</f>
        <v>215.501602348617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297</v>
      </c>
      <c r="H135" s="423" t="s">
        <v>298</v>
      </c>
      <c r="I135" s="423"/>
      <c r="J135" s="423" t="s">
        <v>299</v>
      </c>
      <c r="K135" s="317"/>
      <c r="L135" s="387"/>
      <c r="M135" s="422" t="s">
        <v>341</v>
      </c>
      <c r="N135" s="423" t="s">
        <v>248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1939.51442113756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302</v>
      </c>
      <c r="H138" s="316" t="s">
        <v>303</v>
      </c>
      <c r="I138" s="316"/>
      <c r="J138" s="316" t="s">
        <v>304</v>
      </c>
      <c r="K138" s="317"/>
      <c r="L138" s="387"/>
      <c r="M138" s="315" t="s">
        <v>342</v>
      </c>
      <c r="N138" s="316" t="s">
        <v>239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1939.51442113756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307</v>
      </c>
      <c r="H141" s="316" t="s">
        <v>308</v>
      </c>
      <c r="I141" s="316"/>
      <c r="J141" s="316" t="s">
        <v>309</v>
      </c>
      <c r="K141" s="317"/>
      <c r="L141" s="387"/>
      <c r="M141" s="315" t="s">
        <v>250</v>
      </c>
      <c r="N141" s="316" t="s">
        <v>251</v>
      </c>
      <c r="O141" s="316"/>
      <c r="P141" s="316" t="s">
        <v>255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215.501602348617</v>
      </c>
      <c r="B143" s="38" t="n">
        <f aca="false">IF(A111="YES", B95, 0)</f>
        <v>0</v>
      </c>
      <c r="C143" s="316"/>
      <c r="D143" s="38" t="n">
        <f aca="false">B97</f>
        <v>215.501602348617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310</v>
      </c>
      <c r="H144" s="316" t="s">
        <v>311</v>
      </c>
      <c r="I144" s="316"/>
      <c r="J144" s="316" t="s">
        <v>312</v>
      </c>
      <c r="K144" s="317"/>
      <c r="L144" s="387"/>
      <c r="M144" s="315" t="s">
        <v>142</v>
      </c>
      <c r="N144" s="316" t="s">
        <v>311</v>
      </c>
      <c r="O144" s="316"/>
      <c r="P144" s="316" t="s">
        <v>312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314</v>
      </c>
      <c r="H147" s="316" t="s">
        <v>315</v>
      </c>
      <c r="I147" s="316"/>
      <c r="J147" s="316" t="s">
        <v>316</v>
      </c>
      <c r="K147" s="317"/>
      <c r="L147" s="387"/>
      <c r="M147" s="315" t="s">
        <v>314</v>
      </c>
      <c r="N147" s="316" t="s">
        <v>315</v>
      </c>
      <c r="O147" s="316"/>
      <c r="P147" s="316" t="s">
        <v>316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318</v>
      </c>
      <c r="H150" s="316" t="s">
        <v>319</v>
      </c>
      <c r="I150" s="316"/>
      <c r="J150" s="316"/>
      <c r="K150" s="317"/>
      <c r="L150" s="387"/>
      <c r="M150" s="315" t="s">
        <v>318</v>
      </c>
      <c r="N150" s="316" t="s">
        <v>319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343</v>
      </c>
      <c r="N153" s="39" t="s">
        <v>344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324</v>
      </c>
      <c r="H154" s="316"/>
      <c r="I154" s="316"/>
      <c r="J154" s="348"/>
      <c r="K154" s="349"/>
      <c r="L154" s="387"/>
      <c r="M154" s="424" t="n">
        <f aca="false">H40</f>
        <v>4625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324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215.501602348617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215.501602348617</v>
      </c>
      <c r="B177" s="354" t="n">
        <f aca="false">IF(A111="YES", B95, 0)</f>
        <v>0</v>
      </c>
      <c r="C177" s="357"/>
      <c r="D177" s="354" t="n">
        <f aca="false">B91</f>
        <v>6530.69666666667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1939.51442113756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1939.51442113756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215.501602348617</v>
      </c>
      <c r="B186" s="99" t="n">
        <f aca="false">IF(A111="YES", B95, 0)</f>
        <v>0</v>
      </c>
      <c r="C186" s="352"/>
      <c r="D186" s="99" t="n">
        <f aca="false">B97</f>
        <v>215.501602348617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2618.28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2584.23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2618.28</v>
      </c>
      <c r="C217" s="374" t="s">
        <v>221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327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2584.23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55.3225615167406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165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23625</v>
      </c>
      <c r="C9" s="14" t="n">
        <f aca="false">B9*0.2</f>
        <v>4725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345</v>
      </c>
      <c r="B41" s="237" t="str">
        <f aca="false">IF(B38="YES", D38+A41, D38)</f>
        <v>500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334</v>
      </c>
      <c r="C44" s="100"/>
      <c r="D44" s="100" t="s">
        <v>345</v>
      </c>
      <c r="E44" s="100"/>
      <c r="F44" s="63"/>
      <c r="G44" s="63" t="s">
        <v>253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346</v>
      </c>
      <c r="C47" s="428"/>
      <c r="D47" s="100" t="s">
        <v>346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336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28350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1984.5</v>
      </c>
      <c r="C70" s="211" t="n">
        <v>10000</v>
      </c>
      <c r="D70" s="290" t="n">
        <f aca="false">B70-A149</f>
        <v>1984.5</v>
      </c>
      <c r="E70" s="212" t="n">
        <f aca="false">D70/12</f>
        <v>165.375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283.5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278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279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279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280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3311.16666666667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275.930555555556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9323.16666666667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78.9780153287616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5402.14468199543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450.178723499619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450.178723499619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347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286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13" t="n">
        <v>0</v>
      </c>
      <c r="C111" s="313"/>
      <c r="D111" s="103" t="s">
        <v>290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450.178723499619</v>
      </c>
      <c r="B134" s="320" t="n">
        <f aca="false">IF(A111="YES", B95, 0)</f>
        <v>0</v>
      </c>
      <c r="C134" s="325"/>
      <c r="D134" s="320" t="n">
        <f aca="false">B97</f>
        <v>450.178723499619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4051.60851149657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4051.60851149657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450.178723499619</v>
      </c>
      <c r="B143" s="38" t="n">
        <f aca="false">IF(A111="YES", B95, 0)</f>
        <v>0</v>
      </c>
      <c r="C143" s="316"/>
      <c r="D143" s="38" t="n">
        <f aca="false">B97</f>
        <v>450.178723499619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283.5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783.49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450.178723499619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450.178723499619</v>
      </c>
      <c r="B177" s="354" t="n">
        <f aca="false">IF(A111="YES", B95, 0)</f>
        <v>0</v>
      </c>
      <c r="C177" s="357"/>
      <c r="D177" s="354" t="n">
        <f aca="false">B91</f>
        <v>9323.16666666667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4051.60851149657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4051.60851149657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450.178723499619</v>
      </c>
      <c r="B186" s="99" t="n">
        <f aca="false">IF(A111="YES", B95, 0)</f>
        <v>0</v>
      </c>
      <c r="C186" s="352"/>
      <c r="D186" s="99" t="n">
        <f aca="false">B97</f>
        <v>450.178723499619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283.5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783.49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1984.5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283.5</v>
      </c>
      <c r="C211" s="319" t="s">
        <v>217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2040.99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1984.5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283.5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2040.99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78.9780153287616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37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334</v>
      </c>
      <c r="C44" s="100"/>
      <c r="D44" s="100" t="s">
        <v>346</v>
      </c>
      <c r="E44" s="100"/>
      <c r="F44" s="63"/>
      <c r="G44" s="63" t="s">
        <v>253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346</v>
      </c>
      <c r="C47" s="428"/>
      <c r="D47" s="100" t="s">
        <v>346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165</v>
      </c>
      <c r="C80" s="211"/>
      <c r="D80" s="211"/>
      <c r="E80" s="429" t="n">
        <f aca="false">E79+D82</f>
        <v>1223.33333333333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355</v>
      </c>
      <c r="C81" s="211"/>
      <c r="D81" s="211"/>
      <c r="E81" s="212" t="n">
        <f aca="false">E80/12</f>
        <v>101.944444444444</v>
      </c>
      <c r="F81" s="63"/>
      <c r="G81" s="294" t="s">
        <v>279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((B80+B81)/12)*(H29+1)</f>
        <v>563.333333333333</v>
      </c>
      <c r="C82" s="211"/>
      <c r="D82" s="290" t="n">
        <f aca="false">IF(A50="YES", 0, B82)</f>
        <v>563.333333333333</v>
      </c>
      <c r="E82" s="212"/>
      <c r="F82" s="63"/>
      <c r="G82" s="284" t="s">
        <v>280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3832.5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319.375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11813.4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83.3943122226704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7896.79431222267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658.066192685223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736.066192685223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286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290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658.066192685223</v>
      </c>
      <c r="B134" s="320" t="n">
        <f aca="false">IF(A111="YES", B95, 0)</f>
        <v>78</v>
      </c>
      <c r="C134" s="325"/>
      <c r="D134" s="320" t="n">
        <f aca="false">B97</f>
        <v>736.066192685223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5922.595734167</v>
      </c>
      <c r="C137" s="316"/>
      <c r="D137" s="38" t="n">
        <f aca="false">IF(A111="YES", B95*B63, 0)</f>
        <v>702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6624.595734167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658.066192685223</v>
      </c>
      <c r="B143" s="38" t="n">
        <f aca="false">IF(A111="YES", B95, 0)</f>
        <v>78</v>
      </c>
      <c r="C143" s="316"/>
      <c r="D143" s="38" t="n">
        <f aca="false">B97</f>
        <v>736.066192685223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892.031666666667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736.066192685223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658.066192685223</v>
      </c>
      <c r="B177" s="354" t="n">
        <f aca="false">IF(A111="YES", B95, 0)</f>
        <v>78</v>
      </c>
      <c r="C177" s="357"/>
      <c r="D177" s="354" t="n">
        <f aca="false">B97</f>
        <v>736.066192685223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5922.595734167</v>
      </c>
      <c r="C180" s="352"/>
      <c r="D180" s="99" t="n">
        <f aca="false">IF(A111="YES", B95*B63, 0)</f>
        <v>702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6624.595734167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658.066192685223</v>
      </c>
      <c r="B186" s="99" t="n">
        <f aca="false">IF(A111="YES", B95, 0)</f>
        <v>78</v>
      </c>
      <c r="C186" s="352"/>
      <c r="D186" s="99" t="n">
        <f aca="false">B97</f>
        <v>736.066192685223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892.031666666667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2088.45166666667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1942.5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2088.45166666667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83.3943122226704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75" zoomScaleNormal="75" zoomScalePageLayoutView="100" workbookViewId="0">
      <selection pane="topLeft" activeCell="A63" activeCellId="0" sqref="A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334</v>
      </c>
      <c r="C44" s="100"/>
      <c r="D44" s="100" t="s">
        <v>346</v>
      </c>
      <c r="E44" s="100"/>
      <c r="F44" s="63"/>
      <c r="G44" s="63" t="s">
        <v>253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346</v>
      </c>
      <c r="C47" s="428"/>
      <c r="D47" s="100" t="s">
        <v>346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165</v>
      </c>
      <c r="C80" s="211"/>
      <c r="D80" s="211"/>
      <c r="E80" s="429" t="n">
        <f aca="false">E79+D82</f>
        <v>1223.33333333333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355</v>
      </c>
      <c r="C81" s="211"/>
      <c r="D81" s="211"/>
      <c r="E81" s="212" t="n">
        <f aca="false">E80/12</f>
        <v>101.944444444444</v>
      </c>
      <c r="F81" s="63"/>
      <c r="G81" s="294" t="s">
        <v>279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((B80+B81)/12)*(H29+1)</f>
        <v>563.333333333333</v>
      </c>
      <c r="C82" s="211"/>
      <c r="D82" s="290" t="n">
        <f aca="false">IF(A50="YES", 0, B82)</f>
        <v>563.333333333333</v>
      </c>
      <c r="E82" s="212"/>
      <c r="F82" s="63"/>
      <c r="G82" s="284" t="s">
        <v>280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3165.83333333333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263.819444444445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9177.83333333333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77.7468737394111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5255.58020707274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437.965017256062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502.965017256062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286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290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437.965017256062</v>
      </c>
      <c r="B134" s="320" t="n">
        <f aca="false">IF(A111="YES", B95, 0)</f>
        <v>65</v>
      </c>
      <c r="C134" s="325"/>
      <c r="D134" s="320" t="n">
        <f aca="false">B97</f>
        <v>502.965017256062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3941.68515530456</v>
      </c>
      <c r="C137" s="316"/>
      <c r="D137" s="38" t="n">
        <f aca="false">IF(A111="YES", B95*B63, 0)</f>
        <v>585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4526.68515530456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437.965017256062</v>
      </c>
      <c r="B143" s="38" t="n">
        <f aca="false">IF(A111="YES", B95, 0)</f>
        <v>65</v>
      </c>
      <c r="C143" s="316"/>
      <c r="D143" s="38" t="n">
        <f aca="false">B97</f>
        <v>502.965017256062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18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492.03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502.965017256062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437.965017256062</v>
      </c>
      <c r="B177" s="354" t="n">
        <f aca="false">IF(A111="YES", B95, 0)</f>
        <v>65</v>
      </c>
      <c r="C177" s="357"/>
      <c r="D177" s="354" t="n">
        <f aca="false">B91</f>
        <v>9177.83333333333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3941.68515530456</v>
      </c>
      <c r="C180" s="352"/>
      <c r="D180" s="99" t="n">
        <f aca="false">IF(A111="YES", B95*B63, 0)</f>
        <v>585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4526.68515530456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437.965017256062</v>
      </c>
      <c r="B186" s="99" t="n">
        <f aca="false">IF(A111="YES", B95, 0)</f>
        <v>65</v>
      </c>
      <c r="C186" s="352"/>
      <c r="D186" s="99" t="n">
        <f aca="false">B97</f>
        <v>502.965017256062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B154</f>
        <v>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492.03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279.99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1848.45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1942.5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1848.45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77.7468737394111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A1" activeCellId="0" sqref="A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278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279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279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280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2602.5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216.875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8614.5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72.9747882210569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8687.47478822106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723.956232351755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723.956232351755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339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19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723.956232351755</v>
      </c>
      <c r="B134" s="320" t="n">
        <f aca="false">IF(A111="YES", B95, 0)</f>
        <v>0</v>
      </c>
      <c r="C134" s="325"/>
      <c r="D134" s="320" t="n">
        <f aca="false">B97</f>
        <v>723.956232351755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723.956232351755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723.956232351755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723.956232351755</v>
      </c>
      <c r="B143" s="38" t="n">
        <f aca="false">IF(A111="YES", B95, 0)</f>
        <v>0</v>
      </c>
      <c r="C143" s="316"/>
      <c r="D143" s="38" t="n">
        <f aca="false">B97</f>
        <v>723.956232351755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723.956232351755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723.956232351755</v>
      </c>
      <c r="B177" s="354" t="n">
        <f aca="false">IF(A111="YES", B95, 0)</f>
        <v>0</v>
      </c>
      <c r="C177" s="357"/>
      <c r="D177" s="354" t="n">
        <f aca="false">B91</f>
        <v>8614.5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723.956232351755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723.956232351755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723.956232351755</v>
      </c>
      <c r="B186" s="99" t="n">
        <f aca="false">IF(A111="YES", B95, 0)</f>
        <v>0</v>
      </c>
      <c r="C186" s="352"/>
      <c r="D186" s="99" t="n">
        <f aca="false">B97</f>
        <v>723.956232351755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1668.45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1942.5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1668.45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72.9747882210569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30.35</v>
      </c>
      <c r="E32" s="222"/>
      <c r="F32" s="63"/>
      <c r="G32" s="223" t="s">
        <v>241</v>
      </c>
      <c r="H32" s="221" t="str">
        <f aca="false">A41</f>
        <v>30.35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530.35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375</v>
      </c>
      <c r="B41" s="237" t="n">
        <f aca="false">IF(B38="YES", D38+A41, D38)</f>
        <v>530.35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str">
        <f aca="false">H32</f>
        <v>30.35</v>
      </c>
      <c r="I44" s="393" t="n">
        <f aca="false">((A41*(B35-1))+D32)/B35</f>
        <v>30.35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531.35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531.35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279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280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3447.91666666667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287.326388888889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11351.9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80.1364461476402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7432.03644614764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47.346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619.336370512303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666.682370512303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619.336370512303</v>
      </c>
      <c r="B134" s="320" t="n">
        <f aca="false">IF(A111="YES", B95, 0)</f>
        <v>47.346</v>
      </c>
      <c r="C134" s="325"/>
      <c r="D134" s="320" t="n">
        <f aca="false">B97</f>
        <v>666.682370512303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619.336370512303</v>
      </c>
      <c r="C137" s="316"/>
      <c r="D137" s="38" t="n">
        <f aca="false">IF(A111="YES", B95*B63, 0)</f>
        <v>47.346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666.682370512303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619.336370512303</v>
      </c>
      <c r="B143" s="38" t="n">
        <f aca="false">IF(A111="YES", B95, 0)</f>
        <v>47.346</v>
      </c>
      <c r="C143" s="316"/>
      <c r="D143" s="38" t="n">
        <f aca="false">B97</f>
        <v>666.682370512303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7.284</v>
      </c>
      <c r="H148" s="99" t="n">
        <f aca="false">G108-100</f>
        <v>139.988</v>
      </c>
      <c r="I148" s="99"/>
      <c r="J148" s="99" t="n">
        <f aca="false">(H145+J145+G148+H148)-H151</f>
        <v>1383.122</v>
      </c>
      <c r="K148" s="101"/>
      <c r="L148" s="63"/>
      <c r="M148" s="107" t="n">
        <f aca="false">IF(M111="YES", ((A41*N111)*0.1)*(M133), 0)</f>
        <v>7.284</v>
      </c>
      <c r="N148" s="99" t="n">
        <f aca="false">M108-100</f>
        <v>99.99</v>
      </c>
      <c r="O148" s="99"/>
      <c r="P148" s="99" t="n">
        <f aca="false">(N145+P145+M148+N148)-N151</f>
        <v>1343.124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10.926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884.957666666667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666.682370512303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619.336370512303</v>
      </c>
      <c r="B177" s="354" t="n">
        <f aca="false">IF(A111="YES", B95, 0)</f>
        <v>47.346</v>
      </c>
      <c r="C177" s="357"/>
      <c r="D177" s="354" t="n">
        <f aca="false">B91</f>
        <v>11351.9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619.336370512303</v>
      </c>
      <c r="C180" s="352"/>
      <c r="D180" s="99" t="n">
        <f aca="false">IF(A111="YES", B95*B63, 0)</f>
        <v>47.346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666.682370512303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619.336370512303</v>
      </c>
      <c r="B186" s="99" t="n">
        <f aca="false">IF(A111="YES", B95, 0)</f>
        <v>47.346</v>
      </c>
      <c r="C186" s="352"/>
      <c r="D186" s="99" t="n">
        <f aca="false">B97</f>
        <v>666.682370512303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10.926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884.957666666667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449.251666666667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2017.71166666667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1942.5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2017.71166666667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109.26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80.1364461476402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279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280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2781.25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231.770833333333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8793.25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74.4890076643808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4867.73900766438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405.644917305365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405.644917305365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286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290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405.644917305365</v>
      </c>
      <c r="B134" s="320" t="n">
        <f aca="false">IF(A111="YES", B95, 0)</f>
        <v>0</v>
      </c>
      <c r="C134" s="325"/>
      <c r="D134" s="320" t="n">
        <f aca="false">B97</f>
        <v>405.644917305365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3650.80425574829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3650.80425574829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405.644917305365</v>
      </c>
      <c r="B143" s="38" t="n">
        <f aca="false">IF(A111="YES", B95, 0)</f>
        <v>0</v>
      </c>
      <c r="C143" s="316"/>
      <c r="D143" s="38" t="n">
        <f aca="false">B97</f>
        <v>405.644917305365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405.644917305365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405.644917305365</v>
      </c>
      <c r="B177" s="354" t="n">
        <f aca="false">IF(A111="YES", B95, 0)</f>
        <v>0</v>
      </c>
      <c r="C177" s="357"/>
      <c r="D177" s="354" t="n">
        <f aca="false">B91</f>
        <v>8793.25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3650.80425574829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3650.80425574829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405.644917305365</v>
      </c>
      <c r="B186" s="99" t="n">
        <f aca="false">IF(A111="YES", B95, 0)</f>
        <v>0</v>
      </c>
      <c r="C186" s="352"/>
      <c r="D186" s="99" t="n">
        <f aca="false">B97</f>
        <v>405.644917305365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1668.45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1942.5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1668.45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74.4890076643808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9" colorId="64" zoomScale="75" zoomScaleNormal="7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345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475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2035.18797553986</v>
      </c>
      <c r="F33" s="228"/>
      <c r="G33" s="228"/>
      <c r="H33" s="47"/>
      <c r="I33" s="2"/>
      <c r="J33" s="34" t="s">
        <v>351</v>
      </c>
      <c r="K33" s="48" t="n">
        <f aca="false">E21</f>
        <v>23125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1995.60464220652</v>
      </c>
      <c r="B36" s="228" t="n">
        <f aca="false">IF(B26="YES", K42, "0.00")</f>
        <v>39.5833333333333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87</v>
      </c>
      <c r="K39" s="2" t="n">
        <f aca="false">K33</f>
        <v>23125</v>
      </c>
      <c r="L39" s="2" t="n">
        <f aca="false">(L47*K46)+K44</f>
        <v>8811.68295801491</v>
      </c>
      <c r="N39" s="1" t="n">
        <f aca="false">K39-L39</f>
        <v>14313.3170419851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39.5833333333333</v>
      </c>
      <c r="C40" s="103"/>
      <c r="D40" s="103"/>
      <c r="E40" s="179" t="n">
        <f aca="false">K32</f>
        <v>475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14313.3170419851</v>
      </c>
      <c r="N40" s="1" t="n">
        <f aca="false">N38-N39</f>
        <v>-11401.6370419851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39.5833333333333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23125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1995.60464220652</v>
      </c>
      <c r="L47" s="2" t="n">
        <f aca="false">L49-K42</f>
        <v>760.416666666667</v>
      </c>
      <c r="M47" s="1" t="n">
        <f aca="false">K47-L47</f>
        <v>1235.18797553986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2035.18797553986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2035.18797553986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7010.42567114101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121.25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1870.25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187.025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1995.60464220652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1995.60464220652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2035.18797553986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2035.18797553986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29100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11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10.3399216528992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29100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2814.33467069266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30957.6813776193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30957.6813776193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67.3636363636364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61.75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51.8181818181818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62.1818181818182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2814.33467069266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2881.6983070563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</v>
      </c>
      <c r="C111" s="103"/>
      <c r="D111" s="103"/>
      <c r="E111" s="103" t="n">
        <v>200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23125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27750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27750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27750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23125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23125</v>
      </c>
      <c r="H135" s="150" t="n">
        <f aca="false">C125+E125+G125+H128</f>
        <v>25000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29100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2814.33467069266</v>
      </c>
      <c r="B167" s="174" t="n">
        <f aca="false">B94</f>
        <v>67.3636363636364</v>
      </c>
      <c r="C167" s="171"/>
      <c r="D167" s="171"/>
      <c r="E167" s="174" t="n">
        <f aca="false">B96</f>
        <v>2881.6983070563</v>
      </c>
      <c r="F167" s="23"/>
      <c r="G167" s="23"/>
      <c r="H167" s="33"/>
      <c r="J167" s="173" t="e">
        <f aca="false">K95</f>
        <v>#VALUE!</v>
      </c>
      <c r="K167" s="174" t="n">
        <f aca="false">K94</f>
        <v>61.75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51.8181818181818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62.1818181818182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29100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4739.37968467559</v>
      </c>
      <c r="B182" s="99" t="str">
        <f aca="false">B114</f>
        <v>239.99</v>
      </c>
      <c r="C182" s="99"/>
      <c r="D182" s="23"/>
      <c r="E182" s="99" t="n">
        <f aca="false">E179+A182+B182+A185</f>
        <v>34089.3696846756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B233</f>
        <v>2891.6983070563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121.25</v>
      </c>
      <c r="C188" s="130"/>
      <c r="D188" s="130"/>
      <c r="E188" s="99" t="n">
        <f aca="false">(E40*A108)*0.1</f>
        <v>14.25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14.25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9.5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9.5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235.491666666667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2881.6983070563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2814.33467069266</v>
      </c>
      <c r="B212" s="174" t="n">
        <f aca="false">B167</f>
        <v>67.3636363636364</v>
      </c>
      <c r="C212" s="171"/>
      <c r="D212" s="171"/>
      <c r="E212" s="174" t="n">
        <f aca="false">E167</f>
        <v>2881.6983070563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29100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4739.37968467559</v>
      </c>
      <c r="B224" s="99" t="str">
        <f aca="false">B182</f>
        <v>239.99</v>
      </c>
      <c r="C224" s="99"/>
      <c r="D224" s="109"/>
      <c r="E224" s="99" t="n">
        <f aca="false">E182</f>
        <v>34089.3696846756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2814.33467069266</v>
      </c>
      <c r="B230" s="99" t="n">
        <f aca="false">B167</f>
        <v>67.3636363636364</v>
      </c>
      <c r="C230" s="183"/>
      <c r="D230" s="183"/>
      <c r="E230" s="99" t="n">
        <f aca="false">E167</f>
        <v>2881.6983070563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E212+A227</f>
        <v>2891.6983070563</v>
      </c>
      <c r="C233" s="130"/>
      <c r="D233" s="130"/>
      <c r="E233" s="99" t="n">
        <f aca="false">J18*0.000006*100*1.2</f>
        <v>26.9316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8.9772</v>
      </c>
      <c r="B236" s="99" t="n">
        <f aca="false">E233+A236</f>
        <v>35.9088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121.25</v>
      </c>
      <c r="C240" s="130"/>
      <c r="D240" s="130"/>
      <c r="E240" s="99" t="n">
        <f aca="false">E188</f>
        <v>14.25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2110.49166666667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145.5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242.491666666667</v>
      </c>
      <c r="C255" s="194"/>
      <c r="D255" s="195" t="s">
        <v>218</v>
      </c>
      <c r="E255" s="195"/>
      <c r="F255" s="196" t="n">
        <f aca="false">(B254-F254)+B255</f>
        <v>96.9916666666667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30957.6813776193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145.5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142.5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96.9916666666667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94" colorId="64" zoomScale="75" zoomScaleNormal="75" zoomScalePageLayoutView="100" workbookViewId="0">
      <selection pane="topLeft" activeCell="E234" activeCellId="0" sqref="E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36</v>
      </c>
      <c r="P29" s="208"/>
    </row>
    <row r="30" customFormat="false" ht="17.9" hidden="false" customHeight="false" outlineLevel="0" collapsed="false">
      <c r="A30" s="31" t="s">
        <v>184</v>
      </c>
      <c r="B30" s="100" t="s">
        <v>345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739.763676142544</v>
      </c>
      <c r="F33" s="228"/>
      <c r="G33" s="228"/>
      <c r="H33" s="47"/>
      <c r="I33" s="2"/>
      <c r="J33" s="34" t="s">
        <v>351</v>
      </c>
      <c r="K33" s="48" t="n">
        <f aca="false">E21</f>
        <v>23958.33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0.07</v>
      </c>
      <c r="P35" s="208"/>
    </row>
    <row r="36" customFormat="false" ht="17.35" hidden="false" customHeight="false" outlineLevel="0" collapsed="false">
      <c r="A36" s="182" t="n">
        <f aca="false">K47</f>
        <v>739.763676142544</v>
      </c>
      <c r="B36" s="228" t="n">
        <f aca="false">IF(B26="YES", K42, "0.00")</f>
        <v>0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87</v>
      </c>
      <c r="K39" s="2" t="n">
        <f aca="false">K33</f>
        <v>23958.33</v>
      </c>
      <c r="L39" s="2" t="n">
        <f aca="false">(L47*K46)+K44</f>
        <v>25909.1715613066</v>
      </c>
      <c r="N39" s="1" t="n">
        <f aca="false">K39-L39</f>
        <v>-1950.84156130656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-1950.84156130656</v>
      </c>
      <c r="N40" s="1" t="n">
        <f aca="false">N38-N39</f>
        <v>4862.52156130656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0.00583333333333333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23958.33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32.3864644516332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739.763676142544</v>
      </c>
      <c r="L47" s="2" t="n">
        <f aca="false">L49-K42</f>
        <v>800</v>
      </c>
      <c r="M47" s="1" t="n">
        <f aca="false">K47-L47</f>
        <v>-60.2363238574559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739.763676142544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739.763676142544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0.07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7115.38009594654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229.166666666667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739.763676142544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739.763676142544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739.763676142544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739.763676142544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27500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0.142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0.0118333333333333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28.5211615326607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27500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964.196355345089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33746.8724370781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33746.8724370781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964.196355345089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964.196355345089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19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0.142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23958.33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28749.996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28749.996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28749.996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23958.33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23958.33</v>
      </c>
      <c r="H135" s="150" t="n">
        <f aca="false">C125+E125+G125+H128</f>
        <v>25000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4791.666</v>
      </c>
      <c r="H137" s="33" t="n">
        <f aca="false">(H135+H136)*20%</f>
        <v>5000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28749.996</v>
      </c>
      <c r="H141" s="154" t="n">
        <f aca="false">(H135+H136+H139+H140+H137)-H138</f>
        <v>30000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28749.996</v>
      </c>
      <c r="H147" s="161" t="n">
        <f aca="false">H141-((H144*1.2)+(H145*1.2)+(H146*1.2)+(H142*1.2))</f>
        <v>30000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1041.67</v>
      </c>
      <c r="I148" s="1" t="n">
        <f aca="false">(H148-G81)/1.2</f>
        <v>868.058333333331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27500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964.196355345089</v>
      </c>
      <c r="B167" s="174" t="n">
        <f aca="false">B94</f>
        <v>0</v>
      </c>
      <c r="C167" s="171"/>
      <c r="D167" s="171"/>
      <c r="E167" s="174" t="n">
        <f aca="false">B96</f>
        <v>964.196355345089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27500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7211.06879242322</v>
      </c>
      <c r="B182" s="99" t="str">
        <f aca="false">B114</f>
        <v>199.99</v>
      </c>
      <c r="C182" s="99"/>
      <c r="D182" s="23"/>
      <c r="E182" s="99" t="n">
        <f aca="false">E179+A182+B182+A185</f>
        <v>34921.0587924232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E167+A185</f>
        <v>974.196355345089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229.166666666667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329.156666666667</v>
      </c>
      <c r="C191" s="130"/>
      <c r="D191" s="130"/>
      <c r="E191" s="99" t="n">
        <f aca="false">H148</f>
        <v>1041.67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964.196355345089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964.196355345089</v>
      </c>
      <c r="B212" s="174" t="n">
        <f aca="false">B167</f>
        <v>0</v>
      </c>
      <c r="C212" s="171"/>
      <c r="D212" s="171"/>
      <c r="E212" s="174" t="n">
        <f aca="false">E167</f>
        <v>964.196355345089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27500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7211.06879242322</v>
      </c>
      <c r="B224" s="99" t="str">
        <f aca="false">B182</f>
        <v>199.99</v>
      </c>
      <c r="C224" s="99"/>
      <c r="D224" s="109"/>
      <c r="E224" s="99" t="n">
        <f aca="false">E182</f>
        <v>34921.0587924232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964.196355345089</v>
      </c>
      <c r="B230" s="99" t="n">
        <f aca="false">B167</f>
        <v>0</v>
      </c>
      <c r="C230" s="183"/>
      <c r="D230" s="183"/>
      <c r="E230" s="99" t="n">
        <f aca="false">E167</f>
        <v>964.196355345089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974.196355345089</v>
      </c>
      <c r="C233" s="130"/>
      <c r="D233" s="130"/>
      <c r="E233" s="99" t="n">
        <f aca="false">J18*0.000006*100</f>
        <v>22.443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22.443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1041.67</v>
      </c>
      <c r="B240" s="99" t="n">
        <f aca="false">B68</f>
        <v>229.166666666667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1370.82666666666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0.07</v>
      </c>
      <c r="C253" s="194"/>
      <c r="D253" s="195" t="s">
        <v>214</v>
      </c>
      <c r="E253" s="195"/>
      <c r="F253" s="193" t="n">
        <f aca="false">B83</f>
        <v>0.142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-175.01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0.07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0.142</v>
      </c>
      <c r="C260" s="43"/>
      <c r="D260" s="163" t="s">
        <v>215</v>
      </c>
      <c r="E260" s="163"/>
      <c r="F260" s="143" t="n">
        <f aca="false">(B89*B59)-(C89*B59)</f>
        <v>33746.8724370781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0.01</v>
      </c>
      <c r="C261" s="32"/>
      <c r="D261" s="163" t="s">
        <v>221</v>
      </c>
      <c r="E261" s="163"/>
      <c r="F261" s="148" t="n">
        <f aca="false">B68*1.2</f>
        <v>275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-175.01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58" colorId="64" zoomScale="75" zoomScaleNormal="7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345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275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2090.4347020187</v>
      </c>
      <c r="F33" s="228"/>
      <c r="G33" s="228"/>
      <c r="H33" s="47"/>
      <c r="I33" s="2"/>
      <c r="J33" s="34" t="s">
        <v>351</v>
      </c>
      <c r="K33" s="48" t="n">
        <f aca="false">E21</f>
        <v>23958.33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2067.51803535204</v>
      </c>
      <c r="B36" s="228" t="n">
        <f aca="false">IF(B26="YES", K42, "0.00")</f>
        <v>22.9166666666667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87</v>
      </c>
      <c r="K39" s="2" t="n">
        <f aca="false">K33</f>
        <v>23958.33</v>
      </c>
      <c r="L39" s="2" t="n">
        <f aca="false">(L47*K46)+K44</f>
        <v>9004.81573517688</v>
      </c>
      <c r="N39" s="1" t="n">
        <f aca="false">K39-L39</f>
        <v>14953.5142648231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22.9166666666667</v>
      </c>
      <c r="C40" s="103"/>
      <c r="D40" s="103"/>
      <c r="E40" s="179" t="n">
        <f aca="false">K32</f>
        <v>275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14953.5142648231</v>
      </c>
      <c r="N40" s="1" t="n">
        <f aca="false">N38-N39</f>
        <v>-12041.8342648231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22.9166666666667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23958.33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2067.51803535204</v>
      </c>
      <c r="L47" s="2" t="n">
        <f aca="false">L49-K42</f>
        <v>777.083333333333</v>
      </c>
      <c r="M47" s="1" t="n">
        <f aca="false">K47-L47</f>
        <v>1290.4347020187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2090.4347020187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2090.4347020187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3124.60118175478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118.749983333333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1870.25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187.025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2067.51803535204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2067.51803535204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2090.4347020187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2090.4347020187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28499.996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12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11.222552458438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28499.996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2539.52887327084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30474.34647925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30474.34647925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35.75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35.75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30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36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2539.52887327084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2575.27887327084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23958.33</v>
      </c>
      <c r="C121" s="117" t="n">
        <v>25833.33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28749.996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28749.996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28749.996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23958.33</v>
      </c>
      <c r="C125" s="129" t="n">
        <f aca="false">C121-C124</f>
        <v>25833.33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23958.33</v>
      </c>
      <c r="H135" s="150" t="n">
        <f aca="false">C125+E125+G125+H128</f>
        <v>25833.33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4791.666</v>
      </c>
      <c r="H137" s="33" t="n">
        <f aca="false">(H135+H136)*20%</f>
        <v>5166.666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28749.996</v>
      </c>
      <c r="H141" s="154" t="n">
        <f aca="false">(H135+H136+H139+H140+H137)-H138</f>
        <v>30999.996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28749.996</v>
      </c>
      <c r="H147" s="161" t="n">
        <f aca="false">H141-((H144*1.2)+(H145*1.2)+(H146*1.2)+(H142*1.2))</f>
        <v>30999.996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28499.996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2539.52887327084</v>
      </c>
      <c r="B167" s="174" t="n">
        <f aca="false">B94</f>
        <v>35.75</v>
      </c>
      <c r="C167" s="171"/>
      <c r="D167" s="171"/>
      <c r="E167" s="174" t="n">
        <f aca="false">B96</f>
        <v>2575.27887327084</v>
      </c>
      <c r="F167" s="23"/>
      <c r="G167" s="23"/>
      <c r="H167" s="33"/>
      <c r="J167" s="173" t="e">
        <f aca="false">K95</f>
        <v>#VALUE!</v>
      </c>
      <c r="K167" s="174" t="n">
        <f aca="false">K94</f>
        <v>35.75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30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36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25833.33</v>
      </c>
      <c r="B173" s="99" t="n">
        <f aca="false">H137</f>
        <v>5166.666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30999.996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28499.996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2010.10047925004</v>
      </c>
      <c r="B182" s="99" t="str">
        <f aca="false">B114</f>
        <v>239.99</v>
      </c>
      <c r="C182" s="99"/>
      <c r="D182" s="23"/>
      <c r="E182" s="99" t="n">
        <f aca="false">E179+A182+B182+A185</f>
        <v>30760.08647925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E167+A185</f>
        <v>2585.27887327084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8.9772</v>
      </c>
      <c r="B188" s="99" t="n">
        <f aca="false">(G158*B67)/1.2</f>
        <v>118.749983333333</v>
      </c>
      <c r="C188" s="130"/>
      <c r="D188" s="130"/>
      <c r="E188" s="99" t="n">
        <f aca="false">(E40*A108)*0.1</f>
        <v>8.25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8.25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5.5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5.5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226.99165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2575.27887327084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2539.52887327084</v>
      </c>
      <c r="B212" s="174" t="n">
        <f aca="false">B167</f>
        <v>35.75</v>
      </c>
      <c r="C212" s="171"/>
      <c r="D212" s="171"/>
      <c r="E212" s="174" t="n">
        <f aca="false">E167</f>
        <v>2575.27887327084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25833.33</v>
      </c>
      <c r="B215" s="99" t="n">
        <f aca="false">B173</f>
        <v>5166.666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30999.996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28499.996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2010.10047925004</v>
      </c>
      <c r="B224" s="99" t="str">
        <f aca="false">B182</f>
        <v>239.99</v>
      </c>
      <c r="C224" s="99"/>
      <c r="D224" s="109"/>
      <c r="E224" s="99" t="n">
        <f aca="false">E182</f>
        <v>30760.08647925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2539.52887327084</v>
      </c>
      <c r="B230" s="99" t="n">
        <f aca="false">B167</f>
        <v>35.75</v>
      </c>
      <c r="C230" s="183"/>
      <c r="D230" s="183"/>
      <c r="E230" s="99" t="n">
        <f aca="false">E167</f>
        <v>2575.27887327084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2585.27887327084</v>
      </c>
      <c r="C233" s="130"/>
      <c r="D233" s="130"/>
      <c r="E233" s="99" t="n">
        <f aca="false">A188</f>
        <v>8.9772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118.749983333333</v>
      </c>
      <c r="C240" s="130"/>
      <c r="D240" s="130"/>
      <c r="E240" s="99" t="n">
        <f aca="false">E188</f>
        <v>8.25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2101.99165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142.49998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182.491666666667</v>
      </c>
      <c r="C255" s="194"/>
      <c r="D255" s="195" t="s">
        <v>218</v>
      </c>
      <c r="E255" s="195"/>
      <c r="F255" s="196" t="n">
        <f aca="false">(B254-F254)+B255</f>
        <v>39.9916866666666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27934.8176059792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142.49998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82.5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39.9916866666666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" colorId="64" zoomScale="75" zoomScaleNormal="75" zoomScalePageLayoutView="100" workbookViewId="0">
      <selection pane="topLeft" activeCell="B61" activeCellId="0" sqref="B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 t="n">
        <v>46854.17</v>
      </c>
      <c r="C3" s="266" t="n">
        <v>0</v>
      </c>
      <c r="D3" s="266" t="n">
        <v>833.33</v>
      </c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268" t="n">
        <v>0</v>
      </c>
      <c r="D4" s="268" t="n">
        <v>0</v>
      </c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24458.33</v>
      </c>
      <c r="C9" s="14" t="n">
        <f aca="false">B9*0.2</f>
        <v>4625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345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2008.35464220652</v>
      </c>
      <c r="F33" s="228"/>
      <c r="G33" s="228"/>
      <c r="H33" s="47"/>
      <c r="I33" s="2"/>
      <c r="J33" s="34" t="s">
        <v>351</v>
      </c>
      <c r="K33" s="48" t="n">
        <f aca="false">E21</f>
        <v>23125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1995.60464220652</v>
      </c>
      <c r="B36" s="228" t="n">
        <f aca="false">IF(B26="YES", K42, "0.00")</f>
        <v>12.75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87</v>
      </c>
      <c r="K39" s="2" t="n">
        <f aca="false">K33</f>
        <v>23125</v>
      </c>
      <c r="L39" s="2" t="n">
        <f aca="false">(L47*K46)+K44</f>
        <v>9122.62672924568</v>
      </c>
      <c r="N39" s="1" t="n">
        <f aca="false">K39-L39</f>
        <v>14002.3732707543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12.75</v>
      </c>
      <c r="C40" s="103"/>
      <c r="D40" s="103"/>
      <c r="E40" s="179" t="n">
        <f aca="false">K32</f>
        <v>153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14002.3732707543</v>
      </c>
      <c r="N40" s="1" t="n">
        <f aca="false">N38-N39</f>
        <v>-11090.6932707543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12.75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23125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1995.60464220652</v>
      </c>
      <c r="L47" s="2" t="n">
        <f aca="false">L49-K42</f>
        <v>787.25</v>
      </c>
      <c r="M47" s="1" t="n">
        <f aca="false">K47-L47</f>
        <v>1208.35464220652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2008.35464220652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2008.35464220652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1782.18125265967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109.374983333333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1870.25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187.025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1995.60464220652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1995.60464220652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2008.35464220652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2008.35464220652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26249.996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12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11.222552458438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26249.996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2339.039723558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28068.4766826959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28068.4766826959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</f>
        <v>16.575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19.89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16.6909090909091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20.0290909090909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2339.039723558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2355.61472355799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0.0</v>
      </c>
      <c r="C108" s="103"/>
      <c r="D108" s="103" t="n">
        <v>0.0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23125</v>
      </c>
      <c r="C121" s="117" t="n">
        <v>23125</v>
      </c>
      <c r="D121" s="116" t="n">
        <f aca="false">D3</f>
        <v>833.33</v>
      </c>
      <c r="E121" s="117" t="n">
        <f aca="false">D121</f>
        <v>833.33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833.33</v>
      </c>
      <c r="N121" s="117" t="n">
        <f aca="false">M121</f>
        <v>833.33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833.33</v>
      </c>
      <c r="W121" s="117" t="n">
        <f aca="false">V121</f>
        <v>833.33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833.33</v>
      </c>
      <c r="AF121" s="117" t="n">
        <f aca="false">AE121</f>
        <v>833.33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27750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27750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27750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1300203217.5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1300203217.5</v>
      </c>
      <c r="U124" s="127" t="n">
        <f aca="false">(U121*U122)+U123</f>
        <v>11713.5425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1300203217.5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23125</v>
      </c>
      <c r="C125" s="129" t="n">
        <f aca="false">C121-C124</f>
        <v>23125</v>
      </c>
      <c r="D125" s="128" t="n">
        <f aca="false">D121-D124</f>
        <v>833.33</v>
      </c>
      <c r="E125" s="129" t="n">
        <f aca="false">E121-E124</f>
        <v>833.33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-1300156363.33</v>
      </c>
      <c r="L125" s="129" t="n">
        <f aca="false">L121-L124</f>
        <v>28629.17</v>
      </c>
      <c r="M125" s="128" t="n">
        <f aca="false">M121-M124</f>
        <v>833.33</v>
      </c>
      <c r="N125" s="129" t="n">
        <f aca="false">N121-N124</f>
        <v>833.33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-1300156363.33</v>
      </c>
      <c r="U125" s="129" t="n">
        <f aca="false">U121-U124</f>
        <v>35140.6275</v>
      </c>
      <c r="V125" s="128" t="n">
        <f aca="false">V121-V124</f>
        <v>833.33</v>
      </c>
      <c r="W125" s="129" t="n">
        <f aca="false">W121-W124</f>
        <v>833.33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-1300156363.33</v>
      </c>
      <c r="AD125" s="129" t="n">
        <f aca="false">AD121-AD124</f>
        <v>35140.6275</v>
      </c>
      <c r="AE125" s="128" t="n">
        <f aca="false">AE121-AE124</f>
        <v>833.33</v>
      </c>
      <c r="AF125" s="129" t="n">
        <f aca="false">AF121-AF124</f>
        <v>833.33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23125</v>
      </c>
      <c r="H135" s="150" t="n">
        <f aca="false">C125+E125+G125+H128</f>
        <v>23958.33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4791.666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28749.996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27750</v>
      </c>
      <c r="H147" s="161" t="n">
        <f aca="false">H141-((H144*1.2)+(H145*1.2)+(H146*1.2)+(H142*1.2))</f>
        <v>28749.996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833.330000000003</v>
      </c>
      <c r="I148" s="1" t="n">
        <f aca="false">(H148-G81)/1.2</f>
        <v>694.441666666669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26249.996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2339.039723558</v>
      </c>
      <c r="B167" s="174" t="n">
        <f aca="false">B94</f>
        <v>16.575</v>
      </c>
      <c r="C167" s="171"/>
      <c r="D167" s="171"/>
      <c r="E167" s="174" t="n">
        <f aca="false">B96</f>
        <v>2355.61472355799</v>
      </c>
      <c r="F167" s="23"/>
      <c r="G167" s="23"/>
      <c r="H167" s="33"/>
      <c r="J167" s="173" t="e">
        <f aca="false">K95</f>
        <v>#VALUE!</v>
      </c>
      <c r="K167" s="174" t="n">
        <f aca="false">K94</f>
        <v>19.89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16.6909090909091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20.0290909090909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23958.33</v>
      </c>
      <c r="B173" s="99" t="n">
        <f aca="false">H137</f>
        <v>4791.666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28749.996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26249.996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1835.05568269594</v>
      </c>
      <c r="B182" s="99" t="str">
        <f aca="false">B114</f>
        <v>199.99</v>
      </c>
      <c r="C182" s="99"/>
      <c r="D182" s="23"/>
      <c r="E182" s="99" t="n">
        <f aca="false">E179+A182+B182+A185</f>
        <v>28295.0416826959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E167+A185</f>
        <v>2365.614723558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109.374983333333</v>
      </c>
      <c r="C188" s="130"/>
      <c r="D188" s="130"/>
      <c r="E188" s="99" t="n">
        <f aca="false">(E40*A108)*0.1</f>
        <v>4.59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4.59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3.06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213.954983333333</v>
      </c>
      <c r="C191" s="130"/>
      <c r="D191" s="130"/>
      <c r="E191" s="99" t="n">
        <f aca="false">H148</f>
        <v>833.330000000003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2355.61472355799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2339.039723558</v>
      </c>
      <c r="B212" s="174" t="n">
        <f aca="false">B167</f>
        <v>16.575</v>
      </c>
      <c r="C212" s="171"/>
      <c r="D212" s="171"/>
      <c r="E212" s="174" t="n">
        <f aca="false">E167</f>
        <v>2355.61472355799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23958.33</v>
      </c>
      <c r="B215" s="99" t="n">
        <f aca="false">B173</f>
        <v>4791.666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28749.996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26249.996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1835.05568269594</v>
      </c>
      <c r="B224" s="99" t="str">
        <f aca="false">B182</f>
        <v>199.99</v>
      </c>
      <c r="C224" s="99"/>
      <c r="D224" s="109"/>
      <c r="E224" s="99" t="n">
        <f aca="false">E182</f>
        <v>28295.0416826959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2339.039723558</v>
      </c>
      <c r="B230" s="99" t="n">
        <f aca="false">B167</f>
        <v>16.575</v>
      </c>
      <c r="C230" s="183"/>
      <c r="D230" s="183"/>
      <c r="E230" s="99" t="n">
        <f aca="false">E167</f>
        <v>2355.61472355799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2365.614723558</v>
      </c>
      <c r="C233" s="130"/>
      <c r="D233" s="130"/>
      <c r="E233" s="99" t="n">
        <f aca="false">A188</f>
        <v>7.481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833.330000000003</v>
      </c>
      <c r="B240" s="99" t="n">
        <f aca="false">B68</f>
        <v>109.374983333333</v>
      </c>
      <c r="C240" s="130"/>
      <c r="D240" s="130"/>
      <c r="E240" s="99" t="n">
        <f aca="false">E188</f>
        <v>4.59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1047.28498333334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131.24998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145.89</v>
      </c>
      <c r="C255" s="194"/>
      <c r="D255" s="195" t="s">
        <v>218</v>
      </c>
      <c r="E255" s="195"/>
      <c r="F255" s="196" t="n">
        <f aca="false">(B254-F254)+B255</f>
        <v>14.64002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25729.4369591379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131.24998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14.64002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67" colorId="64" zoomScale="75" zoomScaleNormal="75" zoomScalePageLayoutView="100" workbookViewId="0">
      <selection pane="topLeft" activeCell="B76" activeCellId="0" sqref="B7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142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250</v>
      </c>
      <c r="B43" s="236" t="s">
        <v>251</v>
      </c>
      <c r="C43" s="226"/>
      <c r="D43" s="236" t="s">
        <v>255</v>
      </c>
      <c r="E43" s="239"/>
      <c r="F43" s="63"/>
      <c r="G43" s="63" t="s">
        <v>252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253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273</v>
      </c>
      <c r="B46" s="226"/>
      <c r="C46" s="226"/>
      <c r="D46" s="226"/>
      <c r="E46" s="239"/>
      <c r="F46" s="63"/>
      <c r="G46" s="63" t="s">
        <v>258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274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275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2618.35</v>
      </c>
      <c r="C64" s="211" t="n">
        <v>10000</v>
      </c>
      <c r="D64" s="290" t="n">
        <f aca="false">B64</f>
        <v>2618.35</v>
      </c>
      <c r="E64" s="212"/>
      <c r="F64" s="63"/>
      <c r="G64" s="284" t="s">
        <v>93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374.05</v>
      </c>
      <c r="C67" s="211"/>
      <c r="D67" s="290"/>
      <c r="E67" s="212"/>
      <c r="F67" s="63"/>
      <c r="G67" s="284" t="s">
        <v>96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0</v>
      </c>
      <c r="C74" s="211"/>
      <c r="D74" s="211"/>
      <c r="E74" s="212"/>
      <c r="F74" s="63"/>
      <c r="G74" s="291" t="s">
        <v>278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0</v>
      </c>
      <c r="C75" s="211" t="n">
        <f aca="false">IF(G18&gt;40000, 325, 0)</f>
        <v>0</v>
      </c>
      <c r="D75" s="211"/>
      <c r="E75" s="212"/>
      <c r="F75" s="63"/>
      <c r="G75" s="294" t="s">
        <v>279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280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281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281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282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3945.01666666667</v>
      </c>
      <c r="C81" s="211"/>
      <c r="D81" s="211"/>
      <c r="E81" s="212"/>
      <c r="F81" s="63"/>
      <c r="G81" s="302" t="s">
        <v>105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328.751388888889</v>
      </c>
      <c r="C82" s="211"/>
      <c r="D82" s="211"/>
      <c r="E82" s="212"/>
      <c r="F82" s="63"/>
      <c r="G82" s="210" t="s">
        <v>106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((B83*(H29)+B81))*1.2</f>
        <v>11948.42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(((B83*(H29))+B81)/(1-B70))*B70</f>
        <v>84.3474586526826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8032.76745865268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120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669.397288221057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1024.59311617588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741.397288221057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285</v>
      </c>
      <c r="B99" s="311" t="s">
        <v>286</v>
      </c>
      <c r="C99" s="311"/>
      <c r="D99" s="103" t="n">
        <v>1000</v>
      </c>
      <c r="E99" s="103"/>
      <c r="F99" s="63"/>
      <c r="G99" s="216" t="s">
        <v>285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289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259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260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261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290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262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264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265</v>
      </c>
      <c r="AA107" s="63"/>
    </row>
    <row r="108" customFormat="false" ht="18.75" hidden="false" customHeight="true" outlineLevel="0" collapsed="false">
      <c r="A108" s="213" t="s">
        <v>291</v>
      </c>
      <c r="B108" s="213" t="n">
        <v>0</v>
      </c>
      <c r="C108" s="213"/>
      <c r="D108" s="213" t="n">
        <v>0</v>
      </c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266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267</v>
      </c>
    </row>
    <row r="110" customFormat="false" ht="18.75" hidden="false" customHeight="true" outlineLevel="0" collapsed="false">
      <c r="A110" s="210" t="s">
        <v>292</v>
      </c>
      <c r="B110" s="218" t="s">
        <v>18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(E118+E117)-D115</f>
        <v>-2760.012</v>
      </c>
      <c r="F119" s="63"/>
      <c r="G119" s="314" t="s">
        <v>293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669.397288221057</v>
      </c>
      <c r="B128" s="320" t="n">
        <f aca="false">IF(A105="YES", B89, 0)</f>
        <v>72</v>
      </c>
      <c r="C128" s="325"/>
      <c r="D128" s="320" t="n">
        <f aca="false">B91</f>
        <v>741.397288221057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297</v>
      </c>
      <c r="H129" s="327" t="s">
        <v>298</v>
      </c>
      <c r="I129" s="327"/>
      <c r="J129" s="327" t="s">
        <v>299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6024.57559398951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6672.57559398951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669.397288221057</v>
      </c>
      <c r="B137" s="38" t="n">
        <f aca="false">IF(A105="YES", B89, 0)</f>
        <v>72</v>
      </c>
      <c r="C137" s="316"/>
      <c r="D137" s="38" t="n">
        <f aca="false">B91</f>
        <v>741.397288221057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886.04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741.397288221057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285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295</v>
      </c>
      <c r="C170" s="354"/>
      <c r="D170" s="353" t="s">
        <v>296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669.397288221057</v>
      </c>
      <c r="B171" s="354" t="n">
        <f aca="false">IF(A105="YES", B89, 0)</f>
        <v>72</v>
      </c>
      <c r="C171" s="357"/>
      <c r="D171" s="354" t="n">
        <f aca="false">B91</f>
        <v>741.397288221057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6"/>
      <c r="D173" s="358" t="s">
        <v>301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6024.57559398951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305</v>
      </c>
      <c r="B176" s="163" t="s">
        <v>306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6672.57559398951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295</v>
      </c>
      <c r="C179" s="352"/>
      <c r="D179" s="352" t="s">
        <v>296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669.397288221057</v>
      </c>
      <c r="B180" s="99" t="n">
        <f aca="false">IF(A105="YES", B89, 0)</f>
        <v>72</v>
      </c>
      <c r="C180" s="352"/>
      <c r="D180" s="99" t="n">
        <f aca="false">B91</f>
        <v>741.397288221057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313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99"/>
      <c r="D185" s="363" t="s">
        <v>281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374.05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886.04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B209</f>
        <v>0.065</v>
      </c>
      <c r="C203" s="320" t="s">
        <v>215</v>
      </c>
      <c r="D203" s="369" t="n">
        <f aca="false">D64</f>
        <v>2618.35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374.05</v>
      </c>
      <c r="C205" s="319" t="s">
        <v>217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2704.29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2618.35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374.05</v>
      </c>
      <c r="C213" s="335" t="s">
        <v>327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327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328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2704.29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329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330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84.3474586526826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331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332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142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250</v>
      </c>
      <c r="B43" s="236" t="s">
        <v>251</v>
      </c>
      <c r="C43" s="226"/>
      <c r="D43" s="236" t="s">
        <v>255</v>
      </c>
      <c r="E43" s="239"/>
      <c r="F43" s="63"/>
      <c r="G43" s="63" t="s">
        <v>252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253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273</v>
      </c>
      <c r="B46" s="226"/>
      <c r="C46" s="226"/>
      <c r="D46" s="226"/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274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275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2012.49972</v>
      </c>
      <c r="C64" s="211" t="n">
        <v>10000</v>
      </c>
      <c r="D64" s="290" t="n">
        <f aca="false">B64</f>
        <v>2012.49972</v>
      </c>
      <c r="E64" s="212"/>
      <c r="F64" s="63"/>
      <c r="G64" s="284" t="s">
        <v>93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374.05</v>
      </c>
      <c r="C67" s="211"/>
      <c r="D67" s="290"/>
      <c r="E67" s="212"/>
      <c r="F67" s="63"/>
      <c r="G67" s="284" t="s">
        <v>96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0</v>
      </c>
      <c r="C74" s="211"/>
      <c r="D74" s="211"/>
      <c r="E74" s="212"/>
      <c r="F74" s="63"/>
      <c r="G74" s="291" t="s">
        <v>278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0</v>
      </c>
      <c r="C75" s="211"/>
      <c r="D75" s="211"/>
      <c r="E75" s="212"/>
      <c r="F75" s="63"/>
      <c r="G75" s="294" t="s">
        <v>279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280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281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281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282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3339.16638666667</v>
      </c>
      <c r="C81" s="211"/>
      <c r="D81" s="211"/>
      <c r="E81" s="212"/>
      <c r="F81" s="63"/>
      <c r="G81" s="302" t="s">
        <v>105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278.263865555556</v>
      </c>
      <c r="C82" s="211"/>
      <c r="D82" s="211"/>
      <c r="E82" s="212"/>
      <c r="F82" s="63"/>
      <c r="G82" s="210" t="s">
        <v>106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</f>
        <v>9351.16638666667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(B85/(1-B70))*B70</f>
        <v>79.2152053731343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5430.3815920398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120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452.53179933665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1024.59311617588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512.53179933665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285</v>
      </c>
      <c r="B99" s="311" t="s">
        <v>286</v>
      </c>
      <c r="C99" s="311"/>
      <c r="D99" s="103" t="n">
        <v>1000</v>
      </c>
      <c r="E99" s="103"/>
      <c r="F99" s="63"/>
      <c r="G99" s="216" t="s">
        <v>285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289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259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260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261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290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262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264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265</v>
      </c>
      <c r="AA107" s="63"/>
    </row>
    <row r="108" customFormat="false" ht="18.75" hidden="false" customHeight="true" outlineLevel="0" collapsed="false">
      <c r="A108" s="213" t="s">
        <v>291</v>
      </c>
      <c r="B108" s="213" t="n">
        <v>0</v>
      </c>
      <c r="C108" s="213"/>
      <c r="D108" s="213" t="n">
        <v>0</v>
      </c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266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267</v>
      </c>
    </row>
    <row r="110" customFormat="false" ht="18.75" hidden="false" customHeight="true" outlineLevel="0" collapsed="false">
      <c r="A110" s="210" t="s">
        <v>292</v>
      </c>
      <c r="B110" s="218" t="s">
        <v>18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(E118+E117)-D115</f>
        <v>-2800.01</v>
      </c>
      <c r="F119" s="63"/>
      <c r="G119" s="314" t="s">
        <v>293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452.53179933665</v>
      </c>
      <c r="B128" s="320" t="n">
        <f aca="false">IF(A105="YES", B89, 0)</f>
        <v>60</v>
      </c>
      <c r="C128" s="325"/>
      <c r="D128" s="320" t="n">
        <f aca="false">B91</f>
        <v>512.53179933665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297</v>
      </c>
      <c r="H129" s="327" t="s">
        <v>298</v>
      </c>
      <c r="I129" s="327"/>
      <c r="J129" s="327" t="s">
        <v>299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4072.78619402985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4612.78619402985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452.53179933665</v>
      </c>
      <c r="B137" s="38" t="n">
        <f aca="false">IF(A105="YES", B89, 0)</f>
        <v>60</v>
      </c>
      <c r="C137" s="316"/>
      <c r="D137" s="38" t="n">
        <f aca="false">B91</f>
        <v>512.53179933665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886.04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512.53179933665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285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295</v>
      </c>
      <c r="C170" s="354"/>
      <c r="D170" s="353" t="s">
        <v>296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452.53179933665</v>
      </c>
      <c r="B171" s="354" t="n">
        <f aca="false">IF(A105="YES", B89, 0)</f>
        <v>60</v>
      </c>
      <c r="C171" s="357"/>
      <c r="D171" s="354" t="n">
        <f aca="false">B91</f>
        <v>512.53179933665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6"/>
      <c r="D173" s="358" t="s">
        <v>301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4072.78619402985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305</v>
      </c>
      <c r="B176" s="163" t="s">
        <v>306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4612.78619402985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295</v>
      </c>
      <c r="C179" s="352"/>
      <c r="D179" s="352" t="s">
        <v>296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452.53179933665</v>
      </c>
      <c r="B180" s="99" t="n">
        <f aca="false">IF(A105="YES", B89, 0)</f>
        <v>60</v>
      </c>
      <c r="C180" s="352"/>
      <c r="D180" s="99" t="n">
        <f aca="false">B91</f>
        <v>512.53179933665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313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99"/>
      <c r="D185" s="363" t="s">
        <v>281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374.05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886.04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H29</f>
        <v>12</v>
      </c>
      <c r="C203" s="320" t="s">
        <v>215</v>
      </c>
      <c r="D203" s="369" t="n">
        <f aca="false">D64</f>
        <v>2012.49972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374.05</v>
      </c>
      <c r="C205" s="319" t="s">
        <v>217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2098.43972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2012.49972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374.05</v>
      </c>
      <c r="C213" s="335" t="s">
        <v>327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327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328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2098.43972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329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330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79.2152053731343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331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332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3" colorId="64" zoomScale="75" zoomScaleNormal="75" zoomScalePageLayoutView="100" workbookViewId="0">
      <selection pane="topLeft" activeCell="H33" activeCellId="0" sqref="H3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345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350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665.530211777516</v>
      </c>
      <c r="E33" s="212"/>
      <c r="F33" s="63"/>
      <c r="G33" s="215" t="s">
        <v>351</v>
      </c>
      <c r="H33" s="459" t="n">
        <f aca="false">E21-E11</f>
        <v>21166.67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665.530211777516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87</v>
      </c>
      <c r="H39" s="234" t="n">
        <f aca="false">H33</f>
        <v>21166.67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-23359.2395313712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368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369</v>
      </c>
      <c r="H45" s="234" t="n">
        <f aca="false">(H39-H44)</f>
        <v>21166.67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370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665.530211777516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365</v>
      </c>
      <c r="H48" s="234" t="n">
        <f aca="false">IF(B26="YES", H47+H42, H47)</f>
        <v>665.530211777516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665.530211777516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371</v>
      </c>
      <c r="B60" s="211" t="n">
        <f aca="false">E19</f>
        <v>25400.004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291" t="s">
        <v>276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277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2629.9587475</v>
      </c>
      <c r="C64" s="464" t="n">
        <v>10000</v>
      </c>
      <c r="D64" s="290" t="n">
        <f aca="false">B64</f>
        <v>2629.9587475</v>
      </c>
      <c r="E64" s="465" t="n">
        <f aca="false">D64/(B58+B57)</f>
        <v>75.1416785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0.0195833333333333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(B61*B66)</f>
        <v>732.495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175</v>
      </c>
      <c r="C73" s="211"/>
      <c r="D73" s="471" t="n">
        <f aca="false">B73+B71</f>
        <v>375</v>
      </c>
      <c r="E73" s="212" t="s">
        <v>227</v>
      </c>
      <c r="F73" s="63"/>
      <c r="G73" s="284" t="s">
        <v>102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102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165</v>
      </c>
      <c r="C74" s="211"/>
      <c r="D74" s="211"/>
      <c r="E74" s="212"/>
      <c r="F74" s="63"/>
      <c r="G74" s="291" t="s">
        <v>278</v>
      </c>
      <c r="H74" s="297" t="n">
        <v>165</v>
      </c>
      <c r="I74" s="211"/>
      <c r="J74" s="211"/>
      <c r="K74" s="212"/>
      <c r="L74" s="63"/>
      <c r="M74" s="430" t="s">
        <v>278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0</v>
      </c>
      <c r="C75" s="211"/>
      <c r="D75" s="211"/>
      <c r="E75" s="212"/>
      <c r="F75" s="63"/>
      <c r="G75" s="294" t="s">
        <v>279</v>
      </c>
      <c r="H75" s="298" t="n">
        <v>0</v>
      </c>
      <c r="I75" s="211"/>
      <c r="J75" s="211"/>
      <c r="K75" s="212"/>
      <c r="L75" s="63"/>
      <c r="M75" s="432" t="s">
        <v>279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((B74+B75)/12)*(H29+1)</f>
        <v>495</v>
      </c>
      <c r="C76" s="211"/>
      <c r="D76" s="290" t="n">
        <f aca="false">B76</f>
        <v>495</v>
      </c>
      <c r="E76" s="212"/>
      <c r="F76" s="63"/>
      <c r="G76" s="284" t="s">
        <v>280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280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281</v>
      </c>
      <c r="B77" s="127" t="n">
        <f aca="false">B102/(1-0.1)</f>
        <v>0</v>
      </c>
      <c r="C77" s="472"/>
      <c r="D77" s="290" t="n">
        <f aca="false">B77</f>
        <v>0</v>
      </c>
      <c r="E77" s="465" t="n">
        <f aca="false">D77/(B58+B57)</f>
        <v>0</v>
      </c>
      <c r="F77" s="63"/>
      <c r="G77" s="291" t="s">
        <v>281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281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0</v>
      </c>
      <c r="C78" s="472"/>
      <c r="D78" s="290" t="n">
        <f aca="false">B78</f>
        <v>0</v>
      </c>
      <c r="E78" s="465"/>
      <c r="F78" s="63"/>
      <c r="G78" s="210" t="s">
        <v>282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282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36.2857142857143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3899.9587475</v>
      </c>
      <c r="C81" s="472"/>
      <c r="D81" s="473"/>
      <c r="E81" s="465"/>
      <c r="F81" s="63"/>
      <c r="G81" s="302" t="s">
        <v>105</v>
      </c>
      <c r="H81" s="303" t="n">
        <f aca="false">SUM(J64:J80)</f>
        <v>1047.5</v>
      </c>
      <c r="I81" s="211"/>
      <c r="J81" s="211"/>
      <c r="K81" s="212"/>
      <c r="L81" s="63"/>
      <c r="M81" s="302" t="s">
        <v>105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111.427392785714</v>
      </c>
      <c r="C82" s="472"/>
      <c r="D82" s="211"/>
      <c r="E82" s="465"/>
      <c r="F82" s="63"/>
      <c r="G82" s="210" t="s">
        <v>106</v>
      </c>
      <c r="H82" s="299" t="n">
        <f aca="false">H81/H29</f>
        <v>29.9285714285714</v>
      </c>
      <c r="I82" s="211"/>
      <c r="J82" s="211"/>
      <c r="K82" s="212"/>
      <c r="L82" s="63"/>
      <c r="M82" s="210" t="s">
        <v>106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665.530211777516</v>
      </c>
      <c r="C83" s="472"/>
      <c r="D83" s="211"/>
      <c r="E83" s="465" t="n">
        <f aca="false">B83+E80+E77+E64</f>
        <v>776.957604563231</v>
      </c>
      <c r="F83" s="63"/>
      <c r="G83" s="304" t="s">
        <v>107</v>
      </c>
      <c r="H83" s="305" t="n">
        <f aca="false">H47</f>
        <v>665.530211777516</v>
      </c>
      <c r="I83" s="211"/>
      <c r="J83" s="211"/>
      <c r="K83" s="212"/>
      <c r="L83" s="63"/>
      <c r="M83" s="304" t="s">
        <v>107</v>
      </c>
      <c r="N83" s="305" t="n">
        <f aca="false">H47</f>
        <v>665.530211777516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27193.5161597131</v>
      </c>
      <c r="C85" s="472"/>
      <c r="D85" s="472"/>
      <c r="E85" s="465" t="n">
        <f aca="false">B85/(B58+B57)</f>
        <v>776.957604563231</v>
      </c>
      <c r="F85" s="63"/>
      <c r="G85" s="287" t="s">
        <v>117</v>
      </c>
      <c r="H85" s="127" t="n">
        <f aca="false">((H83*H29)+H81)*1.2</f>
        <v>29209.2688946557</v>
      </c>
      <c r="I85" s="211"/>
      <c r="J85" s="211"/>
      <c r="K85" s="212"/>
      <c r="L85" s="63"/>
      <c r="M85" s="287" t="s">
        <v>117</v>
      </c>
      <c r="N85" s="127" t="n">
        <f aca="false">((N83*H29)+N81)</f>
        <v>24011.0574122131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230.360564483249</v>
      </c>
      <c r="C86" s="472" t="s">
        <v>230</v>
      </c>
      <c r="D86" s="211"/>
      <c r="E86" s="465" t="n">
        <f aca="false">B86/(B58+B57)</f>
        <v>6.58173041380712</v>
      </c>
      <c r="F86" s="63"/>
      <c r="G86" s="210" t="s">
        <v>118</v>
      </c>
      <c r="H86" s="299" t="n">
        <f aca="false">((((H83*H29)+H81))/(1-H70))*H70</f>
        <v>206.196936529437</v>
      </c>
      <c r="I86" s="211"/>
      <c r="J86" s="211"/>
      <c r="K86" s="212"/>
      <c r="L86" s="63"/>
      <c r="M86" s="210" t="s">
        <v>118</v>
      </c>
      <c r="N86" s="299" t="n">
        <f aca="false">(N85/(1-N70))*N70</f>
        <v>203.401454480224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27423.8767241963</v>
      </c>
      <c r="C87" s="472"/>
      <c r="D87" s="474"/>
      <c r="E87" s="465" t="n">
        <f aca="false">E86+E85</f>
        <v>783.539334977038</v>
      </c>
      <c r="F87" s="63"/>
      <c r="G87" s="284" t="s">
        <v>119</v>
      </c>
      <c r="H87" s="129" t="n">
        <f aca="false">IF(H110="YES",((H85+H86)-K114),(H85+H86))</f>
        <v>29415.4658311851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24214.4588666933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0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783.539334977038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735.386645779628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605.361471667332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783.539334977038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735.386645779628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605.361471667332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209" t="s">
        <v>339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372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210" t="s">
        <v>128</v>
      </c>
      <c r="N98" s="211" t="s">
        <v>23</v>
      </c>
      <c r="O98" s="211"/>
      <c r="P98" s="211" t="s">
        <v>284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285</v>
      </c>
      <c r="B99" s="311" t="s">
        <v>131</v>
      </c>
      <c r="C99" s="311"/>
      <c r="D99" s="103" t="n">
        <v>1000</v>
      </c>
      <c r="E99" s="103"/>
      <c r="F99" s="63"/>
      <c r="G99" s="216" t="s">
        <v>285</v>
      </c>
      <c r="H99" s="311" t="s">
        <v>261</v>
      </c>
      <c r="I99" s="311"/>
      <c r="J99" s="103" t="n">
        <v>0</v>
      </c>
      <c r="K99" s="103"/>
      <c r="L99" s="63"/>
      <c r="M99" s="216" t="s">
        <v>285</v>
      </c>
      <c r="N99" s="311" t="s">
        <v>261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373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210" t="s">
        <v>287</v>
      </c>
      <c r="N101" s="211" t="s">
        <v>288</v>
      </c>
      <c r="O101" s="211"/>
      <c r="P101" s="211" t="s">
        <v>289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340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213" t="s">
        <v>291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292</v>
      </c>
      <c r="B110" s="218" t="s">
        <v>19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210" t="s">
        <v>292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IF(B110="YES",((E118*1.2)+E117)-E114,((E118*1.2)+E117))</f>
        <v>1239.988</v>
      </c>
      <c r="F119" s="63"/>
      <c r="G119" s="314" t="s">
        <v>293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293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213" t="s">
        <v>294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297</v>
      </c>
      <c r="H126" s="327" t="s">
        <v>298</v>
      </c>
      <c r="I126" s="327"/>
      <c r="J126" s="327" t="s">
        <v>299</v>
      </c>
      <c r="K126" s="212"/>
      <c r="L126" s="63"/>
      <c r="M126" s="326" t="s">
        <v>341</v>
      </c>
      <c r="N126" s="327" t="s">
        <v>248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332" t="n">
        <f aca="false">H90</f>
        <v>735.386645779628</v>
      </c>
      <c r="H127" s="174" t="n">
        <f aca="false">IF(G105="YES", H89*H57, 0)</f>
        <v>0</v>
      </c>
      <c r="I127" s="174"/>
      <c r="J127" s="333" t="n">
        <f aca="false">H91</f>
        <v>735.386645779628</v>
      </c>
      <c r="K127" s="212"/>
      <c r="L127" s="63"/>
      <c r="M127" s="332" t="n">
        <f aca="false">N90</f>
        <v>605.361471667332</v>
      </c>
      <c r="N127" s="174" t="n">
        <f aca="false">IF(M105="YES", N89*N57, 0)</f>
        <v>0</v>
      </c>
      <c r="O127" s="174"/>
      <c r="P127" s="174" t="n">
        <f aca="false">N91</f>
        <v>605.361471667332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783.539334977038</v>
      </c>
      <c r="B128" s="320" t="n">
        <f aca="false">IF(A105="YES", B89, 0)</f>
        <v>0</v>
      </c>
      <c r="C128" s="324"/>
      <c r="D128" s="320" t="n">
        <f aca="false">B91</f>
        <v>783.539334977038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783.539334977038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210" t="s">
        <v>342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4412.31987467777</v>
      </c>
      <c r="H133" s="99" t="n">
        <f aca="false">IF(G105="YES", H89*H57, 0)</f>
        <v>0</v>
      </c>
      <c r="I133" s="217"/>
      <c r="J133" s="181" t="n">
        <f aca="false">H91*H57</f>
        <v>4412.31987467777</v>
      </c>
      <c r="K133" s="212"/>
      <c r="L133" s="63"/>
      <c r="M133" s="182" t="n">
        <f aca="false">N90*N57</f>
        <v>3632.16883000399</v>
      </c>
      <c r="N133" s="99" t="n">
        <f aca="false">IF(M105="YES", N89*N57, 0)</f>
        <v>0</v>
      </c>
      <c r="O133" s="217"/>
      <c r="P133" s="181" t="n">
        <f aca="false">N91*N57</f>
        <v>3632.16883000399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783.539334977038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783.539334977038</v>
      </c>
      <c r="B137" s="38" t="n">
        <f aca="false">IF(A105="YES", B89, 0)</f>
        <v>0</v>
      </c>
      <c r="C137" s="316"/>
      <c r="D137" s="38" t="n">
        <f aca="false">B91</f>
        <v>783.539334977038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210" t="s">
        <v>142</v>
      </c>
      <c r="N138" s="211" t="s">
        <v>311</v>
      </c>
      <c r="O138" s="211"/>
      <c r="P138" s="211" t="s">
        <v>312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210" t="s">
        <v>314</v>
      </c>
      <c r="N141" s="211" t="s">
        <v>315</v>
      </c>
      <c r="O141" s="211"/>
      <c r="P141" s="211" t="s">
        <v>316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210" t="s">
        <v>318</v>
      </c>
      <c r="N144" s="211" t="s">
        <v>319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343</v>
      </c>
      <c r="N147" s="163" t="s">
        <v>344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732.495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832.485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324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735.386645779628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605.361471667332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783.539334977038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374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783.539334977038</v>
      </c>
      <c r="B177" s="354" t="n">
        <f aca="false">IF(A105="YES", B89, 0)</f>
        <v>0</v>
      </c>
      <c r="C177" s="356"/>
      <c r="D177" s="354" t="n">
        <f aca="false">B91</f>
        <v>783.539334977038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783.539334977038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783.539334977038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783.539334977038</v>
      </c>
      <c r="B186" s="99" t="n">
        <f aca="false">IF(A105="YES", B89, 0)</f>
        <v>0</v>
      </c>
      <c r="C186" s="352"/>
      <c r="D186" s="99" t="n">
        <f aca="false">B91</f>
        <v>783.539334977038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732.495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832.485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2629.9587475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732.495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1997.4537475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2629.9587475</v>
      </c>
      <c r="C217" s="374" t="s">
        <v>221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732.495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(B77-(B77*(E219*100)))*0.1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B78-(B78*(E219*100))</f>
        <v>0</v>
      </c>
      <c r="C223" s="335" t="s">
        <v>218</v>
      </c>
      <c r="D223" s="316"/>
      <c r="E223" s="33" t="n">
        <f aca="false">(B217-B211+D211)</f>
        <v>1997.4537475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230.360564483249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331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332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21" colorId="64" zoomScale="75" zoomScaleNormal="75" zoomScalePageLayoutView="100" workbookViewId="0">
      <selection pane="topLeft" activeCell="B90" activeCellId="0" sqref="B9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345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350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753.306610758122</v>
      </c>
      <c r="E33" s="212"/>
      <c r="F33" s="63"/>
      <c r="G33" s="215" t="s">
        <v>351</v>
      </c>
      <c r="H33" s="459" t="n">
        <f aca="false">E21-E11</f>
        <v>23958.33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753.306610758122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87</v>
      </c>
      <c r="H39" s="234" t="n">
        <f aca="false">H33</f>
        <v>23958.33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-20567.5795313712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368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369</v>
      </c>
      <c r="H45" s="234" t="n">
        <f aca="false">(H39-H44)</f>
        <v>23958.33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370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753.306610758122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365</v>
      </c>
      <c r="H48" s="234" t="n">
        <f aca="false">IF(B26="YES", H47+H42, H47)</f>
        <v>753.306610758122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753.306610758122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371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291" t="s">
        <v>276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277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2976.8225025</v>
      </c>
      <c r="C64" s="464" t="n">
        <v>10000</v>
      </c>
      <c r="D64" s="290" t="n">
        <f aca="false">B64</f>
        <v>2976.8225025</v>
      </c>
      <c r="E64" s="465" t="n">
        <f aca="false">D64/(B58+B57)</f>
        <v>85.0520715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0.0195833333333333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732.495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175</v>
      </c>
      <c r="C73" s="211"/>
      <c r="D73" s="471" t="n">
        <f aca="false">B73+B71</f>
        <v>375</v>
      </c>
      <c r="E73" s="212" t="s">
        <v>227</v>
      </c>
      <c r="F73" s="63"/>
      <c r="G73" s="284" t="s">
        <v>102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102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165</v>
      </c>
      <c r="C74" s="211"/>
      <c r="D74" s="211"/>
      <c r="E74" s="212"/>
      <c r="F74" s="63"/>
      <c r="G74" s="291" t="s">
        <v>278</v>
      </c>
      <c r="H74" s="297" t="n">
        <v>165</v>
      </c>
      <c r="I74" s="211"/>
      <c r="J74" s="211"/>
      <c r="K74" s="212"/>
      <c r="L74" s="63"/>
      <c r="M74" s="430" t="s">
        <v>278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0</v>
      </c>
      <c r="C75" s="211"/>
      <c r="D75" s="211"/>
      <c r="E75" s="212"/>
      <c r="F75" s="63"/>
      <c r="G75" s="294" t="s">
        <v>279</v>
      </c>
      <c r="H75" s="298" t="n">
        <v>0</v>
      </c>
      <c r="I75" s="211"/>
      <c r="J75" s="211"/>
      <c r="K75" s="212"/>
      <c r="L75" s="63"/>
      <c r="M75" s="432" t="s">
        <v>279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((B74+B75)/12)*(H29+1)</f>
        <v>495</v>
      </c>
      <c r="C76" s="211"/>
      <c r="D76" s="290" t="n">
        <f aca="false">B76</f>
        <v>495</v>
      </c>
      <c r="E76" s="212"/>
      <c r="F76" s="63"/>
      <c r="G76" s="284" t="s">
        <v>280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280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281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12.6984126984127</v>
      </c>
      <c r="F77" s="63"/>
      <c r="G77" s="291" t="s">
        <v>281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281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282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282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36.2857142857143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4913.48916916667</v>
      </c>
      <c r="C81" s="472"/>
      <c r="D81" s="473"/>
      <c r="E81" s="465"/>
      <c r="F81" s="63"/>
      <c r="G81" s="302" t="s">
        <v>105</v>
      </c>
      <c r="H81" s="303" t="n">
        <f aca="false">SUM(J64:J80)</f>
        <v>1047.5</v>
      </c>
      <c r="I81" s="211"/>
      <c r="J81" s="211"/>
      <c r="K81" s="212"/>
      <c r="L81" s="63"/>
      <c r="M81" s="302" t="s">
        <v>105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140.385404833333</v>
      </c>
      <c r="C82" s="472"/>
      <c r="D82" s="211"/>
      <c r="E82" s="465"/>
      <c r="F82" s="63"/>
      <c r="G82" s="210" t="s">
        <v>106</v>
      </c>
      <c r="H82" s="299" t="n">
        <f aca="false">H81/H29</f>
        <v>29.9285714285714</v>
      </c>
      <c r="I82" s="211"/>
      <c r="J82" s="211"/>
      <c r="K82" s="212"/>
      <c r="L82" s="63"/>
      <c r="M82" s="210" t="s">
        <v>106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753.306610758122</v>
      </c>
      <c r="C83" s="472"/>
      <c r="D83" s="211"/>
      <c r="E83" s="465" t="n">
        <f aca="false">B83+E80+E77+E64</f>
        <v>887.342809242249</v>
      </c>
      <c r="F83" s="63"/>
      <c r="G83" s="304" t="s">
        <v>107</v>
      </c>
      <c r="H83" s="305" t="n">
        <f aca="false">H47</f>
        <v>753.306610758122</v>
      </c>
      <c r="I83" s="211"/>
      <c r="J83" s="211"/>
      <c r="K83" s="212"/>
      <c r="L83" s="63"/>
      <c r="M83" s="304" t="s">
        <v>107</v>
      </c>
      <c r="N83" s="305" t="n">
        <f aca="false">H47</f>
        <v>753.306610758122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((B83*H29)+B81)*1.2</f>
        <v>37535.0646548411</v>
      </c>
      <c r="C85" s="472"/>
      <c r="D85" s="472"/>
      <c r="E85" s="465" t="n">
        <f aca="false">B85/(B58+B57)</f>
        <v>1072.43041870975</v>
      </c>
      <c r="F85" s="63"/>
      <c r="G85" s="287" t="s">
        <v>117</v>
      </c>
      <c r="H85" s="127" t="n">
        <f aca="false">((H83*H29)+H81)*1.2</f>
        <v>32895.8776518411</v>
      </c>
      <c r="I85" s="211"/>
      <c r="J85" s="211"/>
      <c r="K85" s="212"/>
      <c r="L85" s="63"/>
      <c r="M85" s="287" t="s">
        <v>117</v>
      </c>
      <c r="N85" s="127" t="n">
        <f aca="false">((N83*H29)+N81)</f>
        <v>27083.2313765343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264.971210754223</v>
      </c>
      <c r="C86" s="472" t="s">
        <v>230</v>
      </c>
      <c r="D86" s="211"/>
      <c r="E86" s="465" t="n">
        <f aca="false">B86/(B58+B57)</f>
        <v>7.57060602154924</v>
      </c>
      <c r="F86" s="63"/>
      <c r="G86" s="210" t="s">
        <v>118</v>
      </c>
      <c r="H86" s="299" t="n">
        <f aca="false">((((H83*H29)+H81))/(1-H70))*H70</f>
        <v>232.2218067395</v>
      </c>
      <c r="I86" s="211"/>
      <c r="J86" s="211"/>
      <c r="K86" s="212"/>
      <c r="L86" s="63"/>
      <c r="M86" s="210" t="s">
        <v>118</v>
      </c>
      <c r="N86" s="299" t="n">
        <f aca="false">(N85/(1-N70))*N70</f>
        <v>229.426324690286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37800.0358655954</v>
      </c>
      <c r="C87" s="472"/>
      <c r="D87" s="474"/>
      <c r="E87" s="465" t="n">
        <f aca="false">E86+E85</f>
        <v>1080.0010247313</v>
      </c>
      <c r="F87" s="63"/>
      <c r="G87" s="284" t="s">
        <v>119</v>
      </c>
      <c r="H87" s="129" t="n">
        <f aca="false">IF(H110="YES",((H85+H86)-K114),(H85+H86))</f>
        <v>33128.0994585806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27312.6577012246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(I32+(I32*B105))/(B57+B58))*(C45/100)*1.2</f>
        <v>0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1080.0010247313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828.202486464516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682.816442530614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1080.0010247313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828.202486464516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682.816442530614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209" t="s">
        <v>339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372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210" t="s">
        <v>128</v>
      </c>
      <c r="N98" s="211" t="s">
        <v>23</v>
      </c>
      <c r="O98" s="211"/>
      <c r="P98" s="211" t="s">
        <v>284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285</v>
      </c>
      <c r="B99" s="311" t="s">
        <v>131</v>
      </c>
      <c r="C99" s="311"/>
      <c r="D99" s="103" t="n">
        <v>1000</v>
      </c>
      <c r="E99" s="103"/>
      <c r="F99" s="63"/>
      <c r="G99" s="216" t="s">
        <v>285</v>
      </c>
      <c r="H99" s="311" t="s">
        <v>261</v>
      </c>
      <c r="I99" s="311"/>
      <c r="J99" s="103" t="n">
        <v>0</v>
      </c>
      <c r="K99" s="103"/>
      <c r="L99" s="63"/>
      <c r="M99" s="216" t="s">
        <v>285</v>
      </c>
      <c r="N99" s="311" t="s">
        <v>261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373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210" t="s">
        <v>287</v>
      </c>
      <c r="N101" s="211" t="s">
        <v>288</v>
      </c>
      <c r="O101" s="211"/>
      <c r="P101" s="211" t="s">
        <v>289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340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213" t="s">
        <v>291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292</v>
      </c>
      <c r="B110" s="218" t="s">
        <v>19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210" t="s">
        <v>292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IF(B110="YES",((E118*1.2)+E117)-E114,((E118*1.2)+E117))</f>
        <v>1287.988</v>
      </c>
      <c r="F119" s="63"/>
      <c r="G119" s="314" t="s">
        <v>293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293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213" t="s">
        <v>294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297</v>
      </c>
      <c r="H126" s="327" t="s">
        <v>298</v>
      </c>
      <c r="I126" s="327"/>
      <c r="J126" s="327" t="s">
        <v>299</v>
      </c>
      <c r="K126" s="212"/>
      <c r="L126" s="63"/>
      <c r="M126" s="326" t="s">
        <v>341</v>
      </c>
      <c r="N126" s="327" t="s">
        <v>248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332" t="n">
        <f aca="false">H90</f>
        <v>828.202486464516</v>
      </c>
      <c r="H127" s="174" t="n">
        <f aca="false">IF(G105="YES", H89*H57, 0)</f>
        <v>0</v>
      </c>
      <c r="I127" s="174"/>
      <c r="J127" s="333" t="n">
        <f aca="false">H91</f>
        <v>828.202486464516</v>
      </c>
      <c r="K127" s="212"/>
      <c r="L127" s="63"/>
      <c r="M127" s="332" t="n">
        <f aca="false">N90</f>
        <v>682.816442530614</v>
      </c>
      <c r="N127" s="174" t="n">
        <f aca="false">IF(M105="YES", N89*N57, 0)</f>
        <v>0</v>
      </c>
      <c r="O127" s="174"/>
      <c r="P127" s="174" t="n">
        <f aca="false">N91</f>
        <v>682.816442530614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1080.0010247313</v>
      </c>
      <c r="B128" s="320" t="n">
        <f aca="false">IF(A105="YES", B89, 0)</f>
        <v>0</v>
      </c>
      <c r="C128" s="324"/>
      <c r="D128" s="320" t="n">
        <f aca="false">B91</f>
        <v>1080.0010247313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1080.0010247313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210" t="s">
        <v>342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4969.2149187871</v>
      </c>
      <c r="H133" s="99" t="n">
        <f aca="false">IF(G105="YES", H89*H57, 0)</f>
        <v>0</v>
      </c>
      <c r="I133" s="217"/>
      <c r="J133" s="181" t="n">
        <f aca="false">H91*H57</f>
        <v>4969.2149187871</v>
      </c>
      <c r="K133" s="212"/>
      <c r="L133" s="63"/>
      <c r="M133" s="182" t="n">
        <f aca="false">N90*N57</f>
        <v>4096.89865518369</v>
      </c>
      <c r="N133" s="99" t="n">
        <f aca="false">IF(M105="YES", N89*N57, 0)</f>
        <v>0</v>
      </c>
      <c r="O133" s="217"/>
      <c r="P133" s="181" t="n">
        <f aca="false">N91*N57</f>
        <v>4096.89865518369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1080.0010247313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1080.0010247313</v>
      </c>
      <c r="B137" s="38" t="n">
        <f aca="false">IF(A105="YES", B89, 0)</f>
        <v>0</v>
      </c>
      <c r="C137" s="316"/>
      <c r="D137" s="38" t="n">
        <f aca="false">B91</f>
        <v>1080.0010247313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210" t="s">
        <v>142</v>
      </c>
      <c r="N138" s="211" t="s">
        <v>311</v>
      </c>
      <c r="O138" s="211"/>
      <c r="P138" s="211" t="s">
        <v>312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210" t="s">
        <v>314</v>
      </c>
      <c r="N141" s="211" t="s">
        <v>315</v>
      </c>
      <c r="O141" s="211"/>
      <c r="P141" s="211" t="s">
        <v>316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210" t="s">
        <v>318</v>
      </c>
      <c r="N144" s="211" t="s">
        <v>319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343</v>
      </c>
      <c r="N147" s="163" t="s">
        <v>344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732.495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1272.485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324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828.202486464516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682.816442530614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1080.0010247313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374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1080.0010247313</v>
      </c>
      <c r="B177" s="354" t="n">
        <f aca="false">IF(A105="YES", B89, 0)</f>
        <v>0</v>
      </c>
      <c r="C177" s="356"/>
      <c r="D177" s="354" t="n">
        <f aca="false">B91</f>
        <v>1080.0010247313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1080.0010247313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1080.0010247313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1080.0010247313</v>
      </c>
      <c r="B186" s="99" t="n">
        <f aca="false">IF(A105="YES", B89, 0)</f>
        <v>0</v>
      </c>
      <c r="C186" s="352"/>
      <c r="D186" s="99" t="n">
        <f aca="false">B91</f>
        <v>1080.0010247313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732.495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139.99</v>
      </c>
      <c r="B200" s="99" t="n">
        <f aca="false">(A148+B148+D148+A151)*(A143/B64)</f>
        <v>0</v>
      </c>
      <c r="C200" s="99"/>
      <c r="D200" s="99" t="n">
        <f aca="false">(A148+B148+D148+A151)-B151</f>
        <v>1272.485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2976.8225025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732.495</v>
      </c>
      <c r="C211" s="319" t="s">
        <v>217</v>
      </c>
      <c r="D211" s="369" t="n">
        <f aca="false">B225+E221+B221+B223</f>
        <v>379.99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2624.3175025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2976.8225025</v>
      </c>
      <c r="C217" s="374" t="s">
        <v>221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732.495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139.99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2624.3175025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264.971210754223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331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332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" colorId="64" zoomScale="75" zoomScaleNormal="75" zoomScalePageLayoutView="100" workbookViewId="0">
      <selection pane="topLeft" activeCell="H44" activeCellId="0" sqref="H44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1" t="s">
        <v>146</v>
      </c>
      <c r="C2" s="481" t="s">
        <v>147</v>
      </c>
      <c r="D2" s="481" t="s">
        <v>148</v>
      </c>
      <c r="E2" s="482" t="s">
        <v>149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152</v>
      </c>
      <c r="B3" s="483" t="n">
        <v>46854.17</v>
      </c>
      <c r="C3" s="483" t="n">
        <v>0</v>
      </c>
      <c r="D3" s="483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153</v>
      </c>
      <c r="B4" s="484" t="n">
        <v>0</v>
      </c>
      <c r="C4" s="484" t="n">
        <v>0</v>
      </c>
      <c r="D4" s="484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154</v>
      </c>
      <c r="B5" s="483" t="n">
        <v>0</v>
      </c>
      <c r="C5" s="483" t="n">
        <v>0</v>
      </c>
      <c r="D5" s="483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155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156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640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486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41" t="n">
        <v>550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41" t="n">
        <v>585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443" t="n">
        <f aca="false">(E9+E10+E13+E14+E11)-E12</f>
        <v>58525</v>
      </c>
      <c r="F15" s="387"/>
      <c r="G15" s="17" t="n">
        <f aca="false">E15</f>
        <v>58525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446" t="n">
        <f aca="false">E15-((E18*1.2)+(E19*1.2)+(E20*1.2)+(E16*1.2))</f>
        <v>58525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45029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45</v>
      </c>
      <c r="C35" s="219"/>
      <c r="D35" s="278" t="n">
        <f aca="false">A35-B35</f>
        <v>47877.5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65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72</v>
      </c>
      <c r="B44" s="100" t="s">
        <v>334</v>
      </c>
      <c r="C44" s="100"/>
      <c r="D44" s="100" t="s">
        <v>334</v>
      </c>
      <c r="E44" s="100"/>
      <c r="F44" s="387"/>
      <c r="G44" s="2" t="s">
        <v>67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-170.625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335</v>
      </c>
      <c r="B46" s="226" t="s">
        <v>336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335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-167.958333333333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26"/>
      <c r="E50" s="239"/>
      <c r="F50" s="387"/>
      <c r="G50" s="2" t="s">
        <v>337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-167.958333333333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335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-167.958333333333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/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276</v>
      </c>
      <c r="B68" s="399" t="n">
        <v>0.07</v>
      </c>
      <c r="C68" s="316"/>
      <c r="D68" s="316"/>
      <c r="E68" s="317"/>
      <c r="F68" s="387"/>
      <c r="G68" s="398" t="s">
        <v>276</v>
      </c>
      <c r="H68" s="399" t="n">
        <v>0.07</v>
      </c>
      <c r="I68" s="316"/>
      <c r="J68" s="316"/>
      <c r="K68" s="317"/>
      <c r="L68" s="387"/>
      <c r="M68" s="398" t="s">
        <v>276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277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277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277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93</v>
      </c>
      <c r="B70" s="65" t="n">
        <f aca="false">B67*B69</f>
        <v>4051.95</v>
      </c>
      <c r="C70" s="316" t="n">
        <v>10000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93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93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94</v>
      </c>
      <c r="B71" s="399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95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96</v>
      </c>
      <c r="B73" s="65" t="n">
        <f aca="false">B67*B72</f>
        <v>578.85</v>
      </c>
      <c r="C73" s="316"/>
      <c r="D73" s="32"/>
      <c r="E73" s="317"/>
      <c r="F73" s="387"/>
      <c r="G73" s="365" t="s">
        <v>96</v>
      </c>
      <c r="H73" s="65" t="n">
        <f aca="false">H67*H72</f>
        <v>289.425</v>
      </c>
      <c r="I73" s="316"/>
      <c r="J73" s="32"/>
      <c r="K73" s="317"/>
      <c r="L73" s="387"/>
      <c r="M73" s="365" t="s">
        <v>96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278</v>
      </c>
      <c r="B80" s="86" t="n">
        <v>165</v>
      </c>
      <c r="C80" s="316"/>
      <c r="D80" s="316"/>
      <c r="E80" s="403" t="n">
        <f aca="false">E79+D82</f>
        <v>703.333333333333</v>
      </c>
      <c r="F80" s="387"/>
      <c r="G80" s="398" t="s">
        <v>278</v>
      </c>
      <c r="H80" s="86" t="n">
        <v>150</v>
      </c>
      <c r="I80" s="316"/>
      <c r="J80" s="316"/>
      <c r="K80" s="317"/>
      <c r="L80" s="387"/>
      <c r="M80" s="404" t="s">
        <v>278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279</v>
      </c>
      <c r="B81" s="77" t="n">
        <v>355</v>
      </c>
      <c r="C81" s="316"/>
      <c r="D81" s="316"/>
      <c r="E81" s="317" t="n">
        <f aca="false">E80/12</f>
        <v>58.6111111111111</v>
      </c>
      <c r="F81" s="387"/>
      <c r="G81" s="400" t="s">
        <v>279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279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280</v>
      </c>
      <c r="B82" s="65" t="n">
        <f aca="false">((B80+B81)/12)*(H29-11)</f>
        <v>43.3333333333333</v>
      </c>
      <c r="C82" s="316"/>
      <c r="D82" s="32" t="n">
        <f aca="false">IF(A50="YES", 0, B82)</f>
        <v>43.3333333333333</v>
      </c>
      <c r="E82" s="317"/>
      <c r="F82" s="387"/>
      <c r="G82" s="365" t="s">
        <v>280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280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281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281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281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338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282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282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5421.95</v>
      </c>
      <c r="C87" s="316"/>
      <c r="D87" s="316"/>
      <c r="E87" s="317"/>
      <c r="F87" s="387"/>
      <c r="G87" s="411" t="s">
        <v>105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105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451.829166666667</v>
      </c>
      <c r="C88" s="316"/>
      <c r="D88" s="316"/>
      <c r="E88" s="317"/>
      <c r="F88" s="387"/>
      <c r="G88" s="315" t="s">
        <v>106</v>
      </c>
      <c r="H88" s="33" t="n">
        <f aca="false">H87/H29</f>
        <v>600.461111111111</v>
      </c>
      <c r="I88" s="316"/>
      <c r="J88" s="316"/>
      <c r="K88" s="317"/>
      <c r="L88" s="387"/>
      <c r="M88" s="315" t="s">
        <v>106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-217.958333333333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((B89*H29)+B87)*1.2</f>
        <v>3367.74</v>
      </c>
      <c r="C91" s="316"/>
      <c r="D91" s="316"/>
      <c r="E91" s="317"/>
      <c r="F91" s="387"/>
      <c r="G91" s="395" t="s">
        <v>117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117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23.7738805970149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118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-608.486119402985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-50.7071766169154</v>
      </c>
      <c r="C96" s="316"/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27.2928233830846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387"/>
      <c r="G100" s="209" t="s">
        <v>283</v>
      </c>
      <c r="H100" s="209"/>
      <c r="I100" s="209"/>
      <c r="J100" s="209"/>
      <c r="K100" s="209"/>
      <c r="L100" s="387"/>
      <c r="M100" s="209" t="s">
        <v>339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284</v>
      </c>
      <c r="E104" s="317"/>
      <c r="F104" s="387"/>
      <c r="G104" s="315" t="s">
        <v>128</v>
      </c>
      <c r="H104" s="316" t="s">
        <v>23</v>
      </c>
      <c r="I104" s="316"/>
      <c r="J104" s="316" t="s">
        <v>284</v>
      </c>
      <c r="K104" s="317"/>
      <c r="L104" s="387"/>
      <c r="M104" s="315" t="s">
        <v>128</v>
      </c>
      <c r="N104" s="316" t="s">
        <v>23</v>
      </c>
      <c r="O104" s="316"/>
      <c r="P104" s="316" t="s">
        <v>284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259</v>
      </c>
    </row>
    <row r="105" customFormat="false" ht="18.75" hidden="false" customHeight="true" outlineLevel="0" collapsed="false">
      <c r="A105" s="373"/>
      <c r="B105" s="311" t="s">
        <v>286</v>
      </c>
      <c r="C105" s="311"/>
      <c r="D105" s="420" t="n">
        <v>1000</v>
      </c>
      <c r="E105" s="420"/>
      <c r="F105" s="387"/>
      <c r="G105" s="373" t="s">
        <v>285</v>
      </c>
      <c r="H105" s="311" t="s">
        <v>265</v>
      </c>
      <c r="I105" s="311"/>
      <c r="J105" s="420" t="n">
        <v>5000</v>
      </c>
      <c r="K105" s="420"/>
      <c r="L105" s="387"/>
      <c r="M105" s="373" t="s">
        <v>285</v>
      </c>
      <c r="N105" s="311" t="s">
        <v>264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260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261</v>
      </c>
    </row>
    <row r="107" customFormat="false" ht="18.75" hidden="false" customHeight="true" outlineLevel="0" collapsed="false">
      <c r="A107" s="315" t="s">
        <v>287</v>
      </c>
      <c r="B107" s="316" t="s">
        <v>288</v>
      </c>
      <c r="C107" s="316"/>
      <c r="D107" s="316" t="s">
        <v>289</v>
      </c>
      <c r="E107" s="317"/>
      <c r="F107" s="387"/>
      <c r="G107" s="315" t="s">
        <v>287</v>
      </c>
      <c r="H107" s="316" t="s">
        <v>288</v>
      </c>
      <c r="I107" s="316"/>
      <c r="J107" s="316" t="s">
        <v>289</v>
      </c>
      <c r="K107" s="317"/>
      <c r="L107" s="387"/>
      <c r="M107" s="315" t="s">
        <v>287</v>
      </c>
      <c r="N107" s="316" t="s">
        <v>288</v>
      </c>
      <c r="O107" s="316"/>
      <c r="P107" s="316" t="s">
        <v>289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262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264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265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266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s">
        <v>290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267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340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387"/>
      <c r="G114" s="213" t="s">
        <v>291</v>
      </c>
      <c r="H114" s="213"/>
      <c r="I114" s="213"/>
      <c r="J114" s="213"/>
      <c r="K114" s="213"/>
      <c r="L114" s="387"/>
      <c r="M114" s="213" t="s">
        <v>291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292</v>
      </c>
      <c r="B116" s="388" t="s">
        <v>18</v>
      </c>
      <c r="C116" s="316"/>
      <c r="D116" s="316"/>
      <c r="E116" s="317"/>
      <c r="F116" s="387"/>
      <c r="G116" s="315" t="s">
        <v>292</v>
      </c>
      <c r="H116" s="388" t="s">
        <v>18</v>
      </c>
      <c r="I116" s="316"/>
      <c r="J116" s="316"/>
      <c r="K116" s="317"/>
      <c r="L116" s="387"/>
      <c r="M116" s="315" t="s">
        <v>292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293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293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293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387"/>
      <c r="G128" s="213" t="s">
        <v>294</v>
      </c>
      <c r="H128" s="213"/>
      <c r="I128" s="213"/>
      <c r="J128" s="213"/>
      <c r="K128" s="213"/>
      <c r="L128" s="387"/>
      <c r="M128" s="213" t="s">
        <v>294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-50.7071766169154</v>
      </c>
      <c r="B134" s="320" t="n">
        <f aca="false">IF(A111="YES", B95, 0)</f>
        <v>78</v>
      </c>
      <c r="C134" s="324"/>
      <c r="D134" s="320" t="n">
        <f aca="false">B97</f>
        <v>27.2928233830846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297</v>
      </c>
      <c r="H135" s="423" t="s">
        <v>298</v>
      </c>
      <c r="I135" s="423"/>
      <c r="J135" s="423" t="s">
        <v>299</v>
      </c>
      <c r="K135" s="317"/>
      <c r="L135" s="387"/>
      <c r="M135" s="422" t="s">
        <v>341</v>
      </c>
      <c r="N135" s="423" t="s">
        <v>248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-456.364589552238</v>
      </c>
      <c r="C137" s="316"/>
      <c r="D137" s="38" t="n">
        <f aca="false">IF(A111="YES", B95*B63, 0)</f>
        <v>702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302</v>
      </c>
      <c r="H138" s="316" t="s">
        <v>303</v>
      </c>
      <c r="I138" s="316"/>
      <c r="J138" s="316" t="s">
        <v>304</v>
      </c>
      <c r="K138" s="317"/>
      <c r="L138" s="387"/>
      <c r="M138" s="315" t="s">
        <v>342</v>
      </c>
      <c r="N138" s="316" t="s">
        <v>239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245.635410447762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307</v>
      </c>
      <c r="H141" s="316" t="s">
        <v>308</v>
      </c>
      <c r="I141" s="316"/>
      <c r="J141" s="316" t="s">
        <v>309</v>
      </c>
      <c r="K141" s="317"/>
      <c r="L141" s="387"/>
      <c r="M141" s="315" t="s">
        <v>250</v>
      </c>
      <c r="N141" s="316" t="s">
        <v>251</v>
      </c>
      <c r="O141" s="316"/>
      <c r="P141" s="316" t="s">
        <v>255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387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387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-50.7071766169154</v>
      </c>
      <c r="B143" s="38" t="n">
        <f aca="false">IF(A111="YES", B95, 0)</f>
        <v>78</v>
      </c>
      <c r="C143" s="316"/>
      <c r="D143" s="38" t="n">
        <f aca="false">B97</f>
        <v>27.2928233830846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310</v>
      </c>
      <c r="H144" s="316" t="s">
        <v>311</v>
      </c>
      <c r="I144" s="316"/>
      <c r="J144" s="316" t="s">
        <v>312</v>
      </c>
      <c r="K144" s="317"/>
      <c r="L144" s="387"/>
      <c r="M144" s="315" t="s">
        <v>142</v>
      </c>
      <c r="N144" s="316" t="s">
        <v>311</v>
      </c>
      <c r="O144" s="316"/>
      <c r="P144" s="316" t="s">
        <v>312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314</v>
      </c>
      <c r="H147" s="316" t="s">
        <v>315</v>
      </c>
      <c r="I147" s="316"/>
      <c r="J147" s="316" t="s">
        <v>316</v>
      </c>
      <c r="K147" s="317"/>
      <c r="L147" s="387"/>
      <c r="M147" s="315" t="s">
        <v>314</v>
      </c>
      <c r="N147" s="316" t="s">
        <v>315</v>
      </c>
      <c r="O147" s="316"/>
      <c r="P147" s="316" t="s">
        <v>316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318</v>
      </c>
      <c r="H150" s="316" t="s">
        <v>319</v>
      </c>
      <c r="I150" s="316"/>
      <c r="J150" s="316"/>
      <c r="K150" s="317"/>
      <c r="L150" s="387"/>
      <c r="M150" s="315" t="s">
        <v>318</v>
      </c>
      <c r="N150" s="316" t="s">
        <v>319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343</v>
      </c>
      <c r="N153" s="39" t="s">
        <v>344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324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324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27.2928233830846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-50.7071766169154</v>
      </c>
      <c r="B177" s="354" t="n">
        <f aca="false">IF(A111="YES", B95, 0)</f>
        <v>78</v>
      </c>
      <c r="C177" s="356"/>
      <c r="D177" s="354" t="n">
        <f aca="false">A177+B177</f>
        <v>27.2928233830846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-456.364589552238</v>
      </c>
      <c r="C180" s="352"/>
      <c r="D180" s="99" t="n">
        <f aca="false">IF(A111="YES", B95*B63, 0)</f>
        <v>702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245.635410447762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-50.7071766169154</v>
      </c>
      <c r="B186" s="99" t="n">
        <f aca="false">IF(A111="YES", B95, 0)</f>
        <v>78</v>
      </c>
      <c r="C186" s="352"/>
      <c r="D186" s="99" t="n">
        <f aca="false">B97</f>
        <v>27.2928233830846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1096.84166666667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4051.95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3993.09166666667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327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3993.09166666667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329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23.7738805970149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165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355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2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1" t="s">
        <v>146</v>
      </c>
      <c r="C2" s="481" t="s">
        <v>147</v>
      </c>
      <c r="D2" s="481" t="s">
        <v>148</v>
      </c>
      <c r="E2" s="482" t="s">
        <v>149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152</v>
      </c>
      <c r="B3" s="483" t="n">
        <v>46854.17</v>
      </c>
      <c r="C3" s="483" t="n">
        <v>0</v>
      </c>
      <c r="D3" s="483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153</v>
      </c>
      <c r="B4" s="484" t="n">
        <v>0</v>
      </c>
      <c r="C4" s="484" t="n">
        <v>0</v>
      </c>
      <c r="D4" s="484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154</v>
      </c>
      <c r="B5" s="483" t="n">
        <v>0</v>
      </c>
      <c r="C5" s="483" t="n">
        <v>0</v>
      </c>
      <c r="D5" s="483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155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156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640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486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41" t="n">
        <v>550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41" t="n">
        <v>585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443" t="n">
        <f aca="false">(E9+E10+E13+E14+E11)-E12</f>
        <v>58525</v>
      </c>
      <c r="F15" s="387"/>
      <c r="G15" s="17" t="n">
        <f aca="false">E15</f>
        <v>58525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446" t="n">
        <f aca="false">E15-((E18*1.2)+(E19*1.2)+(E20*1.2)+(E16*1.2))</f>
        <v>58525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45029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335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45</v>
      </c>
      <c r="C35" s="219"/>
      <c r="D35" s="278" t="n">
        <f aca="false">A35-B35</f>
        <v>47877.5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4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334</v>
      </c>
      <c r="C44" s="100"/>
      <c r="D44" s="100" t="n">
        <v>0</v>
      </c>
      <c r="E44" s="100"/>
      <c r="F44" s="387"/>
      <c r="G44" s="2" t="s">
        <v>67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-220.625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335</v>
      </c>
      <c r="B46" s="226" t="s">
        <v>336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335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-217.958333333333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337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335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-217.958333333333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276</v>
      </c>
      <c r="B68" s="399" t="n">
        <v>0.07</v>
      </c>
      <c r="C68" s="316"/>
      <c r="D68" s="316"/>
      <c r="E68" s="317"/>
      <c r="F68" s="387"/>
      <c r="G68" s="398" t="s">
        <v>276</v>
      </c>
      <c r="H68" s="399" t="n">
        <v>0.07</v>
      </c>
      <c r="I68" s="316"/>
      <c r="J68" s="316"/>
      <c r="K68" s="317"/>
      <c r="L68" s="387"/>
      <c r="M68" s="398" t="s">
        <v>276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277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277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277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93</v>
      </c>
      <c r="B70" s="65" t="n">
        <f aca="false">B67*B69</f>
        <v>4051.95</v>
      </c>
      <c r="C70" s="316" t="n">
        <v>10000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93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93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94</v>
      </c>
      <c r="B71" s="399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95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96</v>
      </c>
      <c r="B73" s="65" t="n">
        <f aca="false">B67*B72</f>
        <v>578.85</v>
      </c>
      <c r="C73" s="316"/>
      <c r="D73" s="32"/>
      <c r="E73" s="317"/>
      <c r="F73" s="387"/>
      <c r="G73" s="365" t="s">
        <v>96</v>
      </c>
      <c r="H73" s="65" t="n">
        <f aca="false">H67*H72</f>
        <v>289.425</v>
      </c>
      <c r="I73" s="316"/>
      <c r="J73" s="32"/>
      <c r="K73" s="317"/>
      <c r="L73" s="387"/>
      <c r="M73" s="365" t="s">
        <v>96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278</v>
      </c>
      <c r="B80" s="86" t="n">
        <v>165</v>
      </c>
      <c r="C80" s="316"/>
      <c r="D80" s="316"/>
      <c r="E80" s="403" t="n">
        <f aca="false">E79+D82</f>
        <v>703.333333333333</v>
      </c>
      <c r="F80" s="387"/>
      <c r="G80" s="398" t="s">
        <v>278</v>
      </c>
      <c r="H80" s="86" t="n">
        <v>150</v>
      </c>
      <c r="I80" s="316"/>
      <c r="J80" s="316"/>
      <c r="K80" s="317"/>
      <c r="L80" s="387"/>
      <c r="M80" s="404" t="s">
        <v>278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279</v>
      </c>
      <c r="B81" s="77" t="n">
        <v>355</v>
      </c>
      <c r="C81" s="316"/>
      <c r="D81" s="316"/>
      <c r="E81" s="317" t="n">
        <f aca="false">E80/12</f>
        <v>58.6111111111111</v>
      </c>
      <c r="F81" s="387"/>
      <c r="G81" s="400" t="s">
        <v>279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279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280</v>
      </c>
      <c r="B82" s="65" t="n">
        <f aca="false">((B80+B81)/12)*(H29-11)</f>
        <v>43.3333333333333</v>
      </c>
      <c r="C82" s="316"/>
      <c r="D82" s="32" t="n">
        <f aca="false">IF(A50="YES", 0, B82)</f>
        <v>43.3333333333333</v>
      </c>
      <c r="E82" s="317"/>
      <c r="F82" s="387"/>
      <c r="G82" s="365" t="s">
        <v>280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280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281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281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281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338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282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282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5421.95</v>
      </c>
      <c r="C87" s="316"/>
      <c r="D87" s="316"/>
      <c r="E87" s="317"/>
      <c r="F87" s="387"/>
      <c r="G87" s="411" t="s">
        <v>105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105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451.829166666667</v>
      </c>
      <c r="C88" s="316"/>
      <c r="D88" s="316"/>
      <c r="E88" s="317"/>
      <c r="F88" s="387"/>
      <c r="G88" s="315" t="s">
        <v>106</v>
      </c>
      <c r="H88" s="33" t="n">
        <f aca="false">H87/H29</f>
        <v>600.461111111111</v>
      </c>
      <c r="I88" s="316"/>
      <c r="J88" s="316"/>
      <c r="K88" s="317"/>
      <c r="L88" s="387"/>
      <c r="M88" s="315" t="s">
        <v>106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-217.958333333333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</f>
        <v>2806.45</v>
      </c>
      <c r="C91" s="316"/>
      <c r="D91" s="316"/>
      <c r="E91" s="317"/>
      <c r="F91" s="387"/>
      <c r="G91" s="395" t="s">
        <v>117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117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23.7738805970149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118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-1169.77611940298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</f>
        <v>0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-97.481343283582</v>
      </c>
      <c r="C96" s="316" t="s">
        <v>4</v>
      </c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-97.481343283582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387"/>
      <c r="G100" s="209" t="s">
        <v>283</v>
      </c>
      <c r="H100" s="209"/>
      <c r="I100" s="209"/>
      <c r="J100" s="209"/>
      <c r="K100" s="209"/>
      <c r="L100" s="387"/>
      <c r="M100" s="209" t="s">
        <v>339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284</v>
      </c>
      <c r="E104" s="317"/>
      <c r="F104" s="387"/>
      <c r="G104" s="315" t="s">
        <v>128</v>
      </c>
      <c r="H104" s="316" t="s">
        <v>23</v>
      </c>
      <c r="I104" s="316"/>
      <c r="J104" s="316" t="s">
        <v>284</v>
      </c>
      <c r="K104" s="317"/>
      <c r="L104" s="387"/>
      <c r="M104" s="315" t="s">
        <v>128</v>
      </c>
      <c r="N104" s="316" t="s">
        <v>23</v>
      </c>
      <c r="O104" s="316"/>
      <c r="P104" s="316" t="s">
        <v>284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259</v>
      </c>
    </row>
    <row r="105" customFormat="false" ht="18.75" hidden="false" customHeight="true" outlineLevel="0" collapsed="false">
      <c r="A105" s="373"/>
      <c r="B105" s="311" t="s">
        <v>286</v>
      </c>
      <c r="C105" s="311"/>
      <c r="D105" s="420" t="n">
        <v>1000</v>
      </c>
      <c r="E105" s="420"/>
      <c r="F105" s="387"/>
      <c r="G105" s="373" t="s">
        <v>285</v>
      </c>
      <c r="H105" s="311" t="s">
        <v>265</v>
      </c>
      <c r="I105" s="311"/>
      <c r="J105" s="420" t="n">
        <v>5000</v>
      </c>
      <c r="K105" s="420"/>
      <c r="L105" s="387"/>
      <c r="M105" s="373" t="s">
        <v>285</v>
      </c>
      <c r="N105" s="311" t="s">
        <v>264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260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261</v>
      </c>
    </row>
    <row r="107" customFormat="false" ht="18.75" hidden="false" customHeight="true" outlineLevel="0" collapsed="false">
      <c r="A107" s="315" t="s">
        <v>287</v>
      </c>
      <c r="B107" s="316" t="s">
        <v>288</v>
      </c>
      <c r="C107" s="316"/>
      <c r="D107" s="316" t="s">
        <v>289</v>
      </c>
      <c r="E107" s="317"/>
      <c r="F107" s="387"/>
      <c r="G107" s="315" t="s">
        <v>287</v>
      </c>
      <c r="H107" s="316" t="s">
        <v>288</v>
      </c>
      <c r="I107" s="316"/>
      <c r="J107" s="316" t="s">
        <v>289</v>
      </c>
      <c r="K107" s="317"/>
      <c r="L107" s="387"/>
      <c r="M107" s="315" t="s">
        <v>287</v>
      </c>
      <c r="N107" s="316" t="s">
        <v>288</v>
      </c>
      <c r="O107" s="316"/>
      <c r="P107" s="316" t="s">
        <v>289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264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265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266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s">
        <v>290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267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340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387"/>
      <c r="G114" s="213" t="s">
        <v>291</v>
      </c>
      <c r="H114" s="213"/>
      <c r="I114" s="213"/>
      <c r="J114" s="213"/>
      <c r="K114" s="213"/>
      <c r="L114" s="387"/>
      <c r="M114" s="213" t="s">
        <v>291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292</v>
      </c>
      <c r="B116" s="388" t="s">
        <v>18</v>
      </c>
      <c r="C116" s="316"/>
      <c r="D116" s="316"/>
      <c r="E116" s="317"/>
      <c r="F116" s="387"/>
      <c r="G116" s="315" t="s">
        <v>292</v>
      </c>
      <c r="H116" s="388" t="s">
        <v>18</v>
      </c>
      <c r="I116" s="316"/>
      <c r="J116" s="316"/>
      <c r="K116" s="317"/>
      <c r="L116" s="387"/>
      <c r="M116" s="315" t="s">
        <v>292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293</v>
      </c>
      <c r="B125" s="366"/>
      <c r="C125" s="366"/>
      <c r="D125" s="366"/>
      <c r="E125" s="65" t="n">
        <f aca="false">(E124+E123)-E120</f>
        <v>-2800.01</v>
      </c>
      <c r="F125" s="387"/>
      <c r="G125" s="421" t="s">
        <v>293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293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387"/>
      <c r="G128" s="213" t="s">
        <v>294</v>
      </c>
      <c r="H128" s="213"/>
      <c r="I128" s="213"/>
      <c r="J128" s="213"/>
      <c r="K128" s="213"/>
      <c r="L128" s="387"/>
      <c r="M128" s="213" t="s">
        <v>294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-97.481343283582</v>
      </c>
      <c r="B134" s="320" t="n">
        <f aca="false">IF(A111="YES", B95, 0)</f>
        <v>0</v>
      </c>
      <c r="C134" s="325"/>
      <c r="D134" s="320" t="n">
        <f aca="false">B97</f>
        <v>-97.481343283582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297</v>
      </c>
      <c r="H135" s="423" t="s">
        <v>298</v>
      </c>
      <c r="I135" s="423"/>
      <c r="J135" s="423" t="s">
        <v>299</v>
      </c>
      <c r="K135" s="317"/>
      <c r="L135" s="387"/>
      <c r="M135" s="422" t="s">
        <v>341</v>
      </c>
      <c r="N135" s="423" t="s">
        <v>248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-877.332089552238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302</v>
      </c>
      <c r="H138" s="316" t="s">
        <v>303</v>
      </c>
      <c r="I138" s="316"/>
      <c r="J138" s="316" t="s">
        <v>304</v>
      </c>
      <c r="K138" s="317"/>
      <c r="L138" s="387"/>
      <c r="M138" s="315" t="s">
        <v>342</v>
      </c>
      <c r="N138" s="316" t="s">
        <v>239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-877.332089552238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307</v>
      </c>
      <c r="H141" s="316" t="s">
        <v>308</v>
      </c>
      <c r="I141" s="316"/>
      <c r="J141" s="316" t="s">
        <v>309</v>
      </c>
      <c r="K141" s="317"/>
      <c r="L141" s="387"/>
      <c r="M141" s="315" t="s">
        <v>250</v>
      </c>
      <c r="N141" s="316" t="s">
        <v>251</v>
      </c>
      <c r="O141" s="316"/>
      <c r="P141" s="316" t="s">
        <v>255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387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387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-97.481343283582</v>
      </c>
      <c r="B143" s="38" t="n">
        <f aca="false">IF(A111="YES", B95, 0)</f>
        <v>0</v>
      </c>
      <c r="C143" s="316"/>
      <c r="D143" s="38" t="n">
        <f aca="false">B97</f>
        <v>-97.481343283582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310</v>
      </c>
      <c r="H144" s="316" t="s">
        <v>311</v>
      </c>
      <c r="I144" s="316"/>
      <c r="J144" s="316" t="s">
        <v>312</v>
      </c>
      <c r="K144" s="317"/>
      <c r="L144" s="387"/>
      <c r="M144" s="315" t="s">
        <v>142</v>
      </c>
      <c r="N144" s="316" t="s">
        <v>311</v>
      </c>
      <c r="O144" s="316"/>
      <c r="P144" s="316" t="s">
        <v>312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314</v>
      </c>
      <c r="H147" s="316" t="s">
        <v>315</v>
      </c>
      <c r="I147" s="316"/>
      <c r="J147" s="316" t="s">
        <v>316</v>
      </c>
      <c r="K147" s="317"/>
      <c r="L147" s="387"/>
      <c r="M147" s="315" t="s">
        <v>314</v>
      </c>
      <c r="N147" s="316" t="s">
        <v>315</v>
      </c>
      <c r="O147" s="316"/>
      <c r="P147" s="316" t="s">
        <v>316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318</v>
      </c>
      <c r="H150" s="316" t="s">
        <v>319</v>
      </c>
      <c r="I150" s="316"/>
      <c r="J150" s="316"/>
      <c r="K150" s="317"/>
      <c r="L150" s="387"/>
      <c r="M150" s="315" t="s">
        <v>318</v>
      </c>
      <c r="N150" s="316" t="s">
        <v>319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343</v>
      </c>
      <c r="N153" s="39" t="s">
        <v>344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578.85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324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1078.84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324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-97.481343283582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-97.481343283582</v>
      </c>
      <c r="B177" s="354" t="n">
        <f aca="false">IF(A111="YES", B95, 0)</f>
        <v>0</v>
      </c>
      <c r="C177" s="357"/>
      <c r="D177" s="354" t="n">
        <f aca="false">B91</f>
        <v>2806.45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-877.332089552238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-877.332089552238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-97.481343283582</v>
      </c>
      <c r="B186" s="99" t="n">
        <f aca="false">IF(A111="YES", B95, 0)</f>
        <v>0</v>
      </c>
      <c r="C186" s="352"/>
      <c r="D186" s="99" t="n">
        <f aca="false">B97</f>
        <v>-97.481343283582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1078.84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4051.95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3813.09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327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3813.09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23.7738805970149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165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355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6" colorId="64" zoomScale="75" zoomScaleNormal="7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/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491" t="n">
        <v>0</v>
      </c>
      <c r="C4" s="491"/>
      <c r="D4" s="492" t="n">
        <v>0</v>
      </c>
      <c r="E4" s="492"/>
      <c r="F4" s="492" t="n">
        <v>0</v>
      </c>
      <c r="G4" s="492"/>
      <c r="H4" s="125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/>
      <c r="F9" s="149"/>
      <c r="G9" s="136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/>
      <c r="F10" s="151"/>
      <c r="G10" s="153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/>
      <c r="F13" s="151"/>
      <c r="G13" s="153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3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245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4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48877.5</v>
      </c>
      <c r="B37" s="32"/>
      <c r="C37" s="41" t="s">
        <v>45</v>
      </c>
      <c r="D37" s="41"/>
      <c r="E37" s="32"/>
      <c r="F37" s="43" t="n">
        <f aca="false">A37-C37</f>
        <v>47877.5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377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0.05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50702.1248437457</v>
      </c>
      <c r="C74" s="32"/>
      <c r="D74" s="32"/>
      <c r="E74" s="23"/>
      <c r="F74" s="23"/>
      <c r="G74" s="23"/>
      <c r="H74" s="33"/>
      <c r="J74" s="56" t="s">
        <v>93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93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93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548.671875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96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47877.5</v>
      </c>
      <c r="C90" s="32"/>
      <c r="D90" s="32"/>
      <c r="E90" s="23"/>
      <c r="F90" s="23"/>
      <c r="G90" s="23"/>
      <c r="H90" s="33"/>
      <c r="J90" s="25" t="s">
        <v>108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108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108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43497.6467407538</v>
      </c>
      <c r="C97" s="32"/>
      <c r="D97" s="32"/>
      <c r="E97" s="23"/>
      <c r="F97" s="23"/>
      <c r="G97" s="23"/>
      <c r="H97" s="33"/>
      <c r="J97" s="31" t="s">
        <v>115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115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115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1584.81640136705</v>
      </c>
      <c r="C98" s="32"/>
      <c r="D98" s="32"/>
      <c r="E98" s="23"/>
      <c r="F98" s="23"/>
      <c r="G98" s="23"/>
      <c r="H98" s="33"/>
      <c r="J98" s="31" t="s">
        <v>116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116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116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50714.1248437457</v>
      </c>
      <c r="C99" s="32"/>
      <c r="D99" s="32"/>
      <c r="E99" s="23"/>
      <c r="F99" s="23"/>
      <c r="G99" s="23"/>
      <c r="H99" s="33"/>
      <c r="J99" s="31" t="s">
        <v>117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117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117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118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118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50714.1248437457</v>
      </c>
      <c r="C101" s="32"/>
      <c r="D101" s="32"/>
      <c r="E101" s="23"/>
      <c r="F101" s="23"/>
      <c r="G101" s="23"/>
      <c r="H101" s="33"/>
      <c r="J101" s="56" t="s">
        <v>119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119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119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1584.81640136705</v>
      </c>
      <c r="C104" s="32"/>
      <c r="D104" s="32"/>
      <c r="E104" s="23"/>
      <c r="F104" s="23"/>
      <c r="G104" s="23"/>
      <c r="H104" s="33"/>
      <c r="J104" s="91" t="s">
        <v>121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121</v>
      </c>
      <c r="T104" s="92" t="n">
        <f aca="false">T101/(T94)</f>
        <v>1674.61110912406</v>
      </c>
      <c r="U104" s="32"/>
      <c r="V104" s="32"/>
      <c r="W104" s="23"/>
      <c r="X104" s="23"/>
      <c r="Y104" s="23"/>
      <c r="Z104" s="33"/>
      <c r="AB104" s="91" t="s">
        <v>121</v>
      </c>
      <c r="AC104" s="92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1584.81640136705</v>
      </c>
      <c r="C105" s="32"/>
      <c r="D105" s="32"/>
      <c r="E105" s="23" t="s">
        <v>18</v>
      </c>
      <c r="F105" s="23"/>
      <c r="G105" s="23"/>
      <c r="H105" s="33"/>
      <c r="J105" s="93" t="s">
        <v>122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122</v>
      </c>
      <c r="T105" s="94" t="n">
        <f aca="false">T103+T104</f>
        <v>1674.61110912406</v>
      </c>
      <c r="U105" s="32"/>
      <c r="V105" s="32"/>
      <c r="W105" s="23"/>
      <c r="X105" s="23"/>
      <c r="Y105" s="23"/>
      <c r="Z105" s="33"/>
      <c r="AB105" s="93" t="s">
        <v>122</v>
      </c>
      <c r="AC105" s="94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263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/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152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152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152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23" t="n">
        <f aca="false">B4</f>
        <v>0</v>
      </c>
      <c r="C131" s="495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153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153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153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154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155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156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156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156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156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5" t="n">
        <f aca="false">H15</f>
        <v>58525</v>
      </c>
      <c r="H150" s="154" t="n">
        <f aca="false">(H144+H145+H148+H149+H146)-H147</f>
        <v>58525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58525</v>
      </c>
      <c r="Q150" s="154" t="n">
        <f aca="false">(Q144+Q145+Q148+Q149+Q146)-Q147</f>
        <v>36655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58525</v>
      </c>
      <c r="Z150" s="154" t="n">
        <f aca="false">(Z144+Z145+Z148+Z149+Z146)-Z147</f>
        <v>44468.749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58525</v>
      </c>
      <c r="AI150" s="154" t="n">
        <f aca="false">(AI144+AI145+AI148+AI149+AI146)-AI147</f>
        <v>44468.749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173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58525</v>
      </c>
      <c r="H156" s="161" t="n">
        <f aca="false">H150-((H153*1.2)+(H154*1.2)+(H155*1.2)+(H151*1.2))</f>
        <v>58525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58525</v>
      </c>
      <c r="Q156" s="161" t="n">
        <f aca="false">Q150-((Q153*1.2)+(Q154*1.2)+(Q155*1.2)+(Q151*1.2))</f>
        <v>36655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58525</v>
      </c>
      <c r="Z156" s="161" t="n">
        <f aca="false">Z150-((Z153*1.2)+(Z154*1.2)+(Z155*1.2)+(Z151*1.2))</f>
        <v>44468.749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58525</v>
      </c>
      <c r="AI156" s="161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175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175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58525</v>
      </c>
      <c r="H167" s="167"/>
      <c r="J167" s="166" t="s">
        <v>182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182</v>
      </c>
      <c r="T167" s="32"/>
      <c r="U167" s="32"/>
      <c r="V167" s="23"/>
      <c r="W167" s="32"/>
      <c r="X167" s="23"/>
      <c r="Y167" s="167" t="n">
        <f aca="false">Z156-Y163-Y166</f>
        <v>45468.749</v>
      </c>
      <c r="Z167" s="167"/>
      <c r="AB167" s="166" t="s">
        <v>182</v>
      </c>
      <c r="AC167" s="32"/>
      <c r="AD167" s="32"/>
      <c r="AE167" s="23"/>
      <c r="AF167" s="32"/>
      <c r="AG167" s="23"/>
      <c r="AH167" s="167" t="n">
        <f aca="false">AI156-AH163-AH166</f>
        <v>45468.749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1584.81640136705</v>
      </c>
      <c r="B176" s="174" t="n">
        <f aca="false">B103</f>
        <v>0</v>
      </c>
      <c r="C176" s="171"/>
      <c r="D176" s="171"/>
      <c r="E176" s="174" t="n">
        <f aca="false">B105</f>
        <v>1584.81640136705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1674.61110912406</v>
      </c>
      <c r="T176" s="175" t="n">
        <f aca="false">T103</f>
        <v>0</v>
      </c>
      <c r="U176" s="172"/>
      <c r="V176" s="172"/>
      <c r="W176" s="175" t="n">
        <f aca="false">T105</f>
        <v>1674.61110912406</v>
      </c>
      <c r="X176" s="23"/>
      <c r="Y176" s="23"/>
      <c r="Z176" s="33"/>
      <c r="AB176" s="173" t="n">
        <f aca="false">AC104</f>
        <v>1674.61110912406</v>
      </c>
      <c r="AC176" s="175" t="n">
        <f aca="false">AC103</f>
        <v>0</v>
      </c>
      <c r="AD176" s="172"/>
      <c r="AE176" s="172"/>
      <c r="AF176" s="175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33</v>
      </c>
      <c r="B179" s="177" t="str">
        <f aca="false">K30</f>
        <v>5000</v>
      </c>
      <c r="C179" s="178"/>
      <c r="D179" s="23"/>
      <c r="E179" s="179" t="str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-1810.8751562543</v>
      </c>
      <c r="B191" s="99" t="str">
        <f aca="false">B123</f>
        <v>199.99</v>
      </c>
      <c r="C191" s="99"/>
      <c r="D191" s="23"/>
      <c r="E191" s="99" t="n">
        <f aca="false">E188+A191+B191+A194</f>
        <v>56924.1148437457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1"/>
      <c r="AB191" s="107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11.577</v>
      </c>
      <c r="B197" s="99" t="n">
        <f aca="false">(G167*B76)/1.2</f>
        <v>457.2265625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0.11705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557.2165625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1584.81640136705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1584.81640136705</v>
      </c>
      <c r="B221" s="174" t="n">
        <f aca="false">B176</f>
        <v>0</v>
      </c>
      <c r="C221" s="171"/>
      <c r="D221" s="171"/>
      <c r="E221" s="174" t="n">
        <f aca="false">E176</f>
        <v>1584.81640136705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-1810.8751562543</v>
      </c>
      <c r="B233" s="99" t="str">
        <f aca="false">B191</f>
        <v>199.99</v>
      </c>
      <c r="C233" s="99"/>
      <c r="D233" s="109"/>
      <c r="E233" s="99" t="n">
        <f aca="false">E191</f>
        <v>56924.1148437457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1584.81640136705</v>
      </c>
      <c r="B239" s="99" t="n">
        <f aca="false">B176</f>
        <v>0</v>
      </c>
      <c r="C239" s="183"/>
      <c r="D239" s="183"/>
      <c r="E239" s="99" t="n">
        <f aca="false">E176</f>
        <v>1584.81640136705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str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34.731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11.577</v>
      </c>
      <c r="B245" s="99" t="n">
        <f aca="false">E242+A245</f>
        <v>46.308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457.2265625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557.2165625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548.671875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</v>
      </c>
      <c r="C264" s="194"/>
      <c r="D264" s="195" t="s">
        <v>218</v>
      </c>
      <c r="E264" s="195"/>
      <c r="F264" s="196" t="n">
        <f aca="false">(B263-F263)+B264</f>
        <v>-448.681875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0.05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0.115</v>
      </c>
      <c r="C269" s="43"/>
      <c r="D269" s="163" t="s">
        <v>215</v>
      </c>
      <c r="E269" s="163"/>
      <c r="F269" s="143" t="n">
        <f aca="false">(B98*B68)-(C98*B68)</f>
        <v>50714.1248437457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0.009375</v>
      </c>
      <c r="C270" s="32"/>
      <c r="D270" s="163" t="s">
        <v>221</v>
      </c>
      <c r="E270" s="163"/>
      <c r="F270" s="148" t="n">
        <f aca="false">B77</f>
        <v>548.671875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</v>
      </c>
      <c r="C272" s="32"/>
      <c r="D272" s="39" t="s">
        <v>218</v>
      </c>
      <c r="E272" s="39"/>
      <c r="F272" s="143" t="n">
        <f aca="false">(B263-F263)+B264</f>
        <v>-448.681875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9" colorId="64" zoomScale="75" zoomScaleNormal="7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/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491" t="n">
        <v>0</v>
      </c>
      <c r="C4" s="491"/>
      <c r="D4" s="492" t="n">
        <v>0</v>
      </c>
      <c r="E4" s="492"/>
      <c r="F4" s="492" t="n">
        <v>0</v>
      </c>
      <c r="G4" s="492"/>
      <c r="H4" s="125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 t="n">
        <v>23125</v>
      </c>
      <c r="C9" s="149"/>
      <c r="D9" s="149"/>
      <c r="E9" s="149"/>
      <c r="F9" s="149"/>
      <c r="G9" s="136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/>
      <c r="F10" s="151"/>
      <c r="G10" s="153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 t="n">
        <v>0</v>
      </c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 t="n">
        <v>0</v>
      </c>
      <c r="C13" s="151"/>
      <c r="D13" s="151"/>
      <c r="E13" s="151"/>
      <c r="F13" s="151"/>
      <c r="G13" s="153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3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245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4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48877.5</v>
      </c>
      <c r="B37" s="32"/>
      <c r="C37" s="41" t="s">
        <v>45</v>
      </c>
      <c r="D37" s="41"/>
      <c r="E37" s="32"/>
      <c r="F37" s="43" t="n">
        <f aca="false">A37-C37</f>
        <v>47877.5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377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0.05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50702.1248437457</v>
      </c>
      <c r="C74" s="32"/>
      <c r="D74" s="32"/>
      <c r="E74" s="23"/>
      <c r="F74" s="23"/>
      <c r="G74" s="23"/>
      <c r="H74" s="33"/>
      <c r="J74" s="56" t="s">
        <v>93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93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93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548.671875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96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47877.5</v>
      </c>
      <c r="C90" s="32"/>
      <c r="D90" s="32"/>
      <c r="E90" s="23"/>
      <c r="F90" s="23"/>
      <c r="G90" s="23"/>
      <c r="H90" s="33"/>
      <c r="J90" s="25" t="s">
        <v>108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108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108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43497.6467407538</v>
      </c>
      <c r="C97" s="32"/>
      <c r="D97" s="32"/>
      <c r="E97" s="23"/>
      <c r="F97" s="23"/>
      <c r="G97" s="23"/>
      <c r="H97" s="33"/>
      <c r="J97" s="31" t="s">
        <v>115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115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115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1584.81640136705</v>
      </c>
      <c r="C98" s="32"/>
      <c r="D98" s="32"/>
      <c r="E98" s="23"/>
      <c r="F98" s="23"/>
      <c r="G98" s="23"/>
      <c r="H98" s="33"/>
      <c r="J98" s="31" t="s">
        <v>116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116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116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50714.1248437457</v>
      </c>
      <c r="C99" s="32"/>
      <c r="D99" s="32"/>
      <c r="E99" s="23"/>
      <c r="F99" s="23"/>
      <c r="G99" s="23"/>
      <c r="H99" s="33"/>
      <c r="J99" s="31" t="s">
        <v>117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117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117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118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118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50714.1248437457</v>
      </c>
      <c r="C101" s="32"/>
      <c r="D101" s="32"/>
      <c r="E101" s="23"/>
      <c r="F101" s="23"/>
      <c r="G101" s="23"/>
      <c r="H101" s="33"/>
      <c r="J101" s="56" t="s">
        <v>119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119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119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1584.81640136705</v>
      </c>
      <c r="C104" s="32"/>
      <c r="D104" s="32"/>
      <c r="E104" s="23"/>
      <c r="F104" s="23"/>
      <c r="G104" s="23"/>
      <c r="H104" s="33"/>
      <c r="J104" s="91" t="s">
        <v>121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121</v>
      </c>
      <c r="T104" s="92" t="n">
        <f aca="false">T101/(T94)</f>
        <v>1674.61110912406</v>
      </c>
      <c r="U104" s="32"/>
      <c r="V104" s="32"/>
      <c r="W104" s="23"/>
      <c r="X104" s="23"/>
      <c r="Y104" s="23"/>
      <c r="Z104" s="33"/>
      <c r="AB104" s="91" t="s">
        <v>121</v>
      </c>
      <c r="AC104" s="92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1584.81640136705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122</v>
      </c>
      <c r="T105" s="94" t="n">
        <f aca="false">T103+T104</f>
        <v>1674.61110912406</v>
      </c>
      <c r="U105" s="32"/>
      <c r="V105" s="32"/>
      <c r="W105" s="23"/>
      <c r="X105" s="23"/>
      <c r="Y105" s="23"/>
      <c r="Z105" s="33"/>
      <c r="AB105" s="93" t="s">
        <v>122</v>
      </c>
      <c r="AC105" s="94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131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152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152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152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23" t="n">
        <f aca="false">B4</f>
        <v>0</v>
      </c>
      <c r="C131" s="495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153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153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153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154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155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156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156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156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156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5" t="n">
        <f aca="false">H15</f>
        <v>58525</v>
      </c>
      <c r="H150" s="154" t="n">
        <f aca="false">(H144+H145+H148+H149+H146)-H147</f>
        <v>58525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58525</v>
      </c>
      <c r="Q150" s="154" t="n">
        <f aca="false">(Q144+Q145+Q148+Q149+Q146)-Q147</f>
        <v>36655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58525</v>
      </c>
      <c r="Z150" s="154" t="n">
        <f aca="false">(Z144+Z145+Z148+Z149+Z146)-Z147</f>
        <v>44468.749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58525</v>
      </c>
      <c r="AI150" s="154" t="n">
        <f aca="false">(AI144+AI145+AI148+AI149+AI146)-AI147</f>
        <v>44468.749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173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58525</v>
      </c>
      <c r="H156" s="161" t="n">
        <f aca="false">H150-((H153*1.2)+(H154*1.2)+(H155*1.2)+(H151*1.2))</f>
        <v>58525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58525</v>
      </c>
      <c r="Q156" s="161" t="n">
        <f aca="false">Q150-((Q153*1.2)+(Q154*1.2)+(Q155*1.2)+(Q151*1.2))</f>
        <v>36655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58525</v>
      </c>
      <c r="Z156" s="161" t="n">
        <f aca="false">Z150-((Z153*1.2)+(Z154*1.2)+(Z155*1.2)+(Z151*1.2))</f>
        <v>44468.749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58525</v>
      </c>
      <c r="AI156" s="161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175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175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58525</v>
      </c>
      <c r="H167" s="167"/>
      <c r="J167" s="166" t="s">
        <v>182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182</v>
      </c>
      <c r="T167" s="32"/>
      <c r="U167" s="32"/>
      <c r="V167" s="23"/>
      <c r="W167" s="32"/>
      <c r="X167" s="23"/>
      <c r="Y167" s="167" t="n">
        <f aca="false">Z156-Y163-Y166</f>
        <v>45468.749</v>
      </c>
      <c r="Z167" s="167"/>
      <c r="AB167" s="166" t="s">
        <v>182</v>
      </c>
      <c r="AC167" s="32"/>
      <c r="AD167" s="32"/>
      <c r="AE167" s="23"/>
      <c r="AF167" s="32"/>
      <c r="AG167" s="23"/>
      <c r="AH167" s="167" t="n">
        <f aca="false">AI156-AH163-AH166</f>
        <v>45468.749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1584.81640136705</v>
      </c>
      <c r="B176" s="174" t="n">
        <f aca="false">B103</f>
        <v>0</v>
      </c>
      <c r="C176" s="171"/>
      <c r="D176" s="171"/>
      <c r="E176" s="174" t="n">
        <f aca="false">B105</f>
        <v>1584.81640136705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1674.61110912406</v>
      </c>
      <c r="T176" s="175" t="n">
        <f aca="false">T103</f>
        <v>0</v>
      </c>
      <c r="U176" s="172"/>
      <c r="V176" s="172"/>
      <c r="W176" s="175" t="n">
        <f aca="false">T105</f>
        <v>1674.61110912406</v>
      </c>
      <c r="X176" s="23"/>
      <c r="Y176" s="23"/>
      <c r="Z176" s="33"/>
      <c r="AB176" s="173" t="n">
        <f aca="false">AC104</f>
        <v>1674.61110912406</v>
      </c>
      <c r="AC176" s="175" t="n">
        <f aca="false">AC103</f>
        <v>0</v>
      </c>
      <c r="AD176" s="172"/>
      <c r="AE176" s="172"/>
      <c r="AF176" s="175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str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-1810.8751562543</v>
      </c>
      <c r="B191" s="99" t="str">
        <f aca="false">B123</f>
        <v>239.99</v>
      </c>
      <c r="C191" s="99"/>
      <c r="D191" s="23"/>
      <c r="E191" s="99" t="n">
        <f aca="false">E188+A191+B191+A194</f>
        <v>56964.1148437457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1"/>
      <c r="AB191" s="107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13.8924</v>
      </c>
      <c r="B197" s="99" t="n">
        <f aca="false">(G167*B76)/1.2</f>
        <v>457.2265625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0.11705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557.218229166667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1584.81640136705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1584.81640136705</v>
      </c>
      <c r="B221" s="174" t="n">
        <f aca="false">B176</f>
        <v>0</v>
      </c>
      <c r="C221" s="171"/>
      <c r="D221" s="171"/>
      <c r="E221" s="174" t="n">
        <f aca="false">E176</f>
        <v>1584.81640136705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-1810.8751562543</v>
      </c>
      <c r="B233" s="99" t="str">
        <f aca="false">B191</f>
        <v>239.99</v>
      </c>
      <c r="C233" s="99"/>
      <c r="D233" s="109"/>
      <c r="E233" s="99" t="n">
        <f aca="false">E191</f>
        <v>56964.1148437457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1584.81640136705</v>
      </c>
      <c r="B239" s="99" t="n">
        <f aca="false">B176</f>
        <v>0</v>
      </c>
      <c r="C239" s="183"/>
      <c r="D239" s="183"/>
      <c r="E239" s="99" t="n">
        <f aca="false">E176</f>
        <v>1584.81640136705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str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41.6772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13.8924</v>
      </c>
      <c r="B245" s="99" t="n">
        <f aca="false">E242+A245</f>
        <v>55.5696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457.2265625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557.218229166667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548.671875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99.9916666666667</v>
      </c>
      <c r="C264" s="194"/>
      <c r="D264" s="195" t="s">
        <v>218</v>
      </c>
      <c r="E264" s="195"/>
      <c r="F264" s="196" t="n">
        <f aca="false">(B263-F263)+B264</f>
        <v>-448.680208333333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0.05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0.115</v>
      </c>
      <c r="C269" s="43"/>
      <c r="D269" s="163" t="s">
        <v>215</v>
      </c>
      <c r="E269" s="163"/>
      <c r="F269" s="143" t="n">
        <f aca="false">(B98*B68)-(C98*B68)</f>
        <v>50714.1248437457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0.009375</v>
      </c>
      <c r="C270" s="32"/>
      <c r="D270" s="163" t="s">
        <v>221</v>
      </c>
      <c r="E270" s="163"/>
      <c r="F270" s="148" t="n">
        <f aca="false">B77</f>
        <v>548.671875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99.9916666666667</v>
      </c>
      <c r="C272" s="32"/>
      <c r="D272" s="39" t="s">
        <v>218</v>
      </c>
      <c r="E272" s="39"/>
      <c r="F272" s="143" t="n">
        <f aca="false">(B263-F263)+B264</f>
        <v>-448.680208333333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0" colorId="64" zoomScale="75" zoomScaleNormal="75" zoomScalePageLayoutView="100" workbookViewId="0">
      <selection pane="topLeft" activeCell="B61" activeCellId="0" sqref="B6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345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350</v>
      </c>
      <c r="E32" s="212"/>
      <c r="F32" s="63"/>
      <c r="G32" s="214" t="s">
        <v>36</v>
      </c>
      <c r="I32" s="448" t="n">
        <v>1096.67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2094.93478535204</v>
      </c>
      <c r="E33" s="212"/>
      <c r="F33" s="63"/>
      <c r="G33" s="215" t="s">
        <v>351</v>
      </c>
      <c r="H33" s="459" t="n">
        <f aca="false">E21-E11</f>
        <v>23958.33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2067.51803535204</v>
      </c>
      <c r="B36" s="99" t="n">
        <f aca="false">IF(B26="YES", H42, "")</f>
        <v>27.41675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87</v>
      </c>
      <c r="H39" s="234" t="n">
        <f aca="false">H33</f>
        <v>23958.33</v>
      </c>
      <c r="I39" s="234" t="n">
        <f aca="false">(I48*H46)+H44</f>
        <v>15905.4488975102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27.41675</v>
      </c>
      <c r="C40" s="103"/>
      <c r="D40" s="181" t="n">
        <f aca="false">I32</f>
        <v>1096.67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8052.8811024898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27.41675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368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369</v>
      </c>
      <c r="H45" s="234" t="n">
        <f aca="false">(H39-H44)</f>
        <v>23958.33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370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2067.51803535204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365</v>
      </c>
      <c r="H48" s="234" t="n">
        <f aca="false">IF(B26="YES", H47+H42, H47)</f>
        <v>2094.93478535204</v>
      </c>
      <c r="I48" s="234" t="n">
        <f aca="false">I49-H42</f>
        <v>1372.58325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2094.93478535204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371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37405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291" t="s">
        <v>276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277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2012.49972</v>
      </c>
      <c r="C64" s="464" t="n">
        <v>10000</v>
      </c>
      <c r="D64" s="290" t="n">
        <f aca="false">B64</f>
        <v>2012.49972</v>
      </c>
      <c r="E64" s="465" t="n">
        <f aca="false">D64/(B58+B57)</f>
        <v>167.70831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374.05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471" t="n">
        <f aca="false">B73+B71</f>
        <v>260</v>
      </c>
      <c r="E73" s="212" t="s">
        <v>227</v>
      </c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102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165</v>
      </c>
      <c r="C74" s="211"/>
      <c r="D74" s="211"/>
      <c r="E74" s="212"/>
      <c r="F74" s="63"/>
      <c r="G74" s="291" t="s">
        <v>278</v>
      </c>
      <c r="H74" s="297" t="n">
        <v>165</v>
      </c>
      <c r="I74" s="211"/>
      <c r="J74" s="211"/>
      <c r="K74" s="212"/>
      <c r="L74" s="63"/>
      <c r="M74" s="430" t="s">
        <v>278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0</v>
      </c>
      <c r="C75" s="211"/>
      <c r="D75" s="211"/>
      <c r="E75" s="212"/>
      <c r="F75" s="63"/>
      <c r="G75" s="294" t="s">
        <v>279</v>
      </c>
      <c r="H75" s="298" t="n">
        <v>0</v>
      </c>
      <c r="I75" s="211"/>
      <c r="J75" s="211"/>
      <c r="K75" s="212"/>
      <c r="L75" s="63"/>
      <c r="M75" s="432" t="s">
        <v>279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((B74+B75)/12)*(H29+1)</f>
        <v>178.75</v>
      </c>
      <c r="C76" s="211"/>
      <c r="D76" s="290" t="n">
        <f aca="false">B76</f>
        <v>178.75</v>
      </c>
      <c r="E76" s="212"/>
      <c r="F76" s="63"/>
      <c r="G76" s="284" t="s">
        <v>280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280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281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281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281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282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282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69.8958333333333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3517.91638666667</v>
      </c>
      <c r="C81" s="472"/>
      <c r="D81" s="473"/>
      <c r="E81" s="465"/>
      <c r="F81" s="63"/>
      <c r="G81" s="302" t="s">
        <v>105</v>
      </c>
      <c r="H81" s="303" t="n">
        <f aca="false">SUM(J64:J80)</f>
        <v>627.75</v>
      </c>
      <c r="I81" s="211"/>
      <c r="J81" s="211"/>
      <c r="K81" s="212"/>
      <c r="L81" s="63"/>
      <c r="M81" s="302" t="s">
        <v>105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293.159698888889</v>
      </c>
      <c r="C82" s="472"/>
      <c r="D82" s="211"/>
      <c r="E82" s="465"/>
      <c r="F82" s="63"/>
      <c r="G82" s="210" t="s">
        <v>106</v>
      </c>
      <c r="H82" s="299" t="n">
        <f aca="false">H81/H29</f>
        <v>52.3125</v>
      </c>
      <c r="I82" s="211"/>
      <c r="J82" s="211"/>
      <c r="K82" s="212"/>
      <c r="L82" s="63"/>
      <c r="M82" s="210" t="s">
        <v>106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2067.51803535204</v>
      </c>
      <c r="C83" s="472"/>
      <c r="D83" s="211"/>
      <c r="E83" s="465" t="n">
        <f aca="false">B83+E80+E77+E64</f>
        <v>2342.15921572241</v>
      </c>
      <c r="F83" s="63"/>
      <c r="G83" s="304" t="s">
        <v>107</v>
      </c>
      <c r="H83" s="305" t="n">
        <f aca="false">H47</f>
        <v>2067.51803535204</v>
      </c>
      <c r="I83" s="211"/>
      <c r="J83" s="211"/>
      <c r="K83" s="212"/>
      <c r="L83" s="63"/>
      <c r="M83" s="304" t="s">
        <v>107</v>
      </c>
      <c r="N83" s="305" t="n">
        <f aca="false">H47</f>
        <v>2067.51803535204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28328.1328108911</v>
      </c>
      <c r="C85" s="472"/>
      <c r="D85" s="472"/>
      <c r="E85" s="465" t="n">
        <f aca="false">B85/(B58+B57)</f>
        <v>2360.67773424092</v>
      </c>
      <c r="F85" s="63"/>
      <c r="G85" s="287" t="s">
        <v>117</v>
      </c>
      <c r="H85" s="127" t="n">
        <f aca="false">((H83*H29)+H81)*1.2</f>
        <v>30525.5597090693</v>
      </c>
      <c r="I85" s="211"/>
      <c r="J85" s="211"/>
      <c r="K85" s="212"/>
      <c r="L85" s="63"/>
      <c r="M85" s="287" t="s">
        <v>117</v>
      </c>
      <c r="N85" s="127" t="n">
        <f aca="false">((N83*H29)+N81)</f>
        <v>25424.2164242244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239.972081092664</v>
      </c>
      <c r="C86" s="472" t="s">
        <v>230</v>
      </c>
      <c r="D86" s="211"/>
      <c r="E86" s="465" t="n">
        <f aca="false">B86/(B58+B57)</f>
        <v>19.9976734243886</v>
      </c>
      <c r="F86" s="63"/>
      <c r="G86" s="210" t="s">
        <v>118</v>
      </c>
      <c r="H86" s="299" t="n">
        <f aca="false">((((H83*H29)+H81))/(1-H70))*H70</f>
        <v>215.489025780038</v>
      </c>
      <c r="I86" s="211"/>
      <c r="J86" s="211"/>
      <c r="K86" s="212"/>
      <c r="L86" s="63"/>
      <c r="M86" s="210" t="s">
        <v>118</v>
      </c>
      <c r="N86" s="299" t="n">
        <f aca="false">(N85/(1-N70))*N70</f>
        <v>215.37254736132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28568.1048919838</v>
      </c>
      <c r="C87" s="472"/>
      <c r="D87" s="474"/>
      <c r="E87" s="465" t="n">
        <f aca="false">E86+E85</f>
        <v>2380.67540766531</v>
      </c>
      <c r="F87" s="63"/>
      <c r="G87" s="284" t="s">
        <v>119</v>
      </c>
      <c r="H87" s="129" t="n">
        <f aca="false">IF(H110="YES",((H85+H86)-K114),(H85+H86))</f>
        <v>30741.0487348493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25639.5889715857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35.641775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92.8944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77.412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2380.67540766531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1808.2969844029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1508.21111597563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2416.31718266531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1901.1913844029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1585.62311597563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209" t="s">
        <v>339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372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210" t="s">
        <v>128</v>
      </c>
      <c r="N98" s="211" t="s">
        <v>23</v>
      </c>
      <c r="O98" s="211"/>
      <c r="P98" s="211" t="s">
        <v>284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285</v>
      </c>
      <c r="B99" s="311" t="s">
        <v>131</v>
      </c>
      <c r="C99" s="311"/>
      <c r="D99" s="103" t="n">
        <v>1000</v>
      </c>
      <c r="E99" s="103"/>
      <c r="F99" s="63"/>
      <c r="G99" s="216" t="s">
        <v>285</v>
      </c>
      <c r="H99" s="311" t="s">
        <v>261</v>
      </c>
      <c r="I99" s="311"/>
      <c r="J99" s="103" t="n">
        <v>0</v>
      </c>
      <c r="K99" s="103"/>
      <c r="L99" s="63"/>
      <c r="M99" s="216" t="s">
        <v>285</v>
      </c>
      <c r="N99" s="311" t="s">
        <v>261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373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210" t="s">
        <v>287</v>
      </c>
      <c r="N101" s="211" t="s">
        <v>288</v>
      </c>
      <c r="O101" s="211"/>
      <c r="P101" s="211" t="s">
        <v>289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340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213" t="s">
        <v>291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292</v>
      </c>
      <c r="B110" s="218" t="s">
        <v>19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210" t="s">
        <v>292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IF(B110="YES",((E118*1.2)+E117)-E114,((E118*1.2)+E117))</f>
        <v>1239.988</v>
      </c>
      <c r="F119" s="63"/>
      <c r="G119" s="314" t="s">
        <v>293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293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213" t="s">
        <v>294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297</v>
      </c>
      <c r="H126" s="327" t="s">
        <v>298</v>
      </c>
      <c r="I126" s="327"/>
      <c r="J126" s="327" t="s">
        <v>299</v>
      </c>
      <c r="K126" s="212"/>
      <c r="L126" s="63"/>
      <c r="M126" s="326" t="s">
        <v>341</v>
      </c>
      <c r="N126" s="327" t="s">
        <v>248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332" t="n">
        <f aca="false">H90</f>
        <v>1808.2969844029</v>
      </c>
      <c r="H127" s="174" t="n">
        <f aca="false">IF(G105="YES", H89*H57, 0)</f>
        <v>557.3664</v>
      </c>
      <c r="I127" s="174"/>
      <c r="J127" s="333" t="n">
        <f aca="false">H91</f>
        <v>1901.1913844029</v>
      </c>
      <c r="K127" s="212"/>
      <c r="L127" s="63"/>
      <c r="M127" s="332" t="n">
        <f aca="false">N90</f>
        <v>1508.21111597563</v>
      </c>
      <c r="N127" s="174" t="n">
        <f aca="false">IF(M105="YES", N89*N57, 0)</f>
        <v>464.472</v>
      </c>
      <c r="O127" s="174"/>
      <c r="P127" s="174" t="n">
        <f aca="false">N91</f>
        <v>1585.62311597563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2380.67540766531</v>
      </c>
      <c r="B128" s="320" t="n">
        <f aca="false">IF(A105="YES", B89, 0)</f>
        <v>35.641775</v>
      </c>
      <c r="C128" s="324"/>
      <c r="D128" s="320" t="n">
        <f aca="false">B91</f>
        <v>2416.31718266531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2380.67540766531</v>
      </c>
      <c r="C131" s="316"/>
      <c r="D131" s="38" t="n">
        <f aca="false">IF(A105="YES", B89*B57, 0)</f>
        <v>35.641775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210" t="s">
        <v>342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10849.7819064174</v>
      </c>
      <c r="H133" s="99" t="n">
        <f aca="false">IF(G105="YES", H89*H57, 0)</f>
        <v>557.3664</v>
      </c>
      <c r="I133" s="217"/>
      <c r="J133" s="181" t="n">
        <f aca="false">H91*H57</f>
        <v>11407.1483064174</v>
      </c>
      <c r="K133" s="212"/>
      <c r="L133" s="63"/>
      <c r="M133" s="182" t="n">
        <f aca="false">N90*N57</f>
        <v>9049.26669585379</v>
      </c>
      <c r="N133" s="99" t="n">
        <f aca="false">IF(M105="YES", N89*N57, 0)</f>
        <v>464.472</v>
      </c>
      <c r="O133" s="217"/>
      <c r="P133" s="181" t="n">
        <f aca="false">N91*N57</f>
        <v>9513.73869585379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2416.31718266531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2380.67540766531</v>
      </c>
      <c r="B137" s="38" t="n">
        <f aca="false">IF(A105="YES", B89, 0)</f>
        <v>35.641775</v>
      </c>
      <c r="C137" s="316"/>
      <c r="D137" s="38" t="n">
        <f aca="false">B91</f>
        <v>2416.31718266531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210" t="s">
        <v>142</v>
      </c>
      <c r="N138" s="211" t="s">
        <v>311</v>
      </c>
      <c r="O138" s="211"/>
      <c r="P138" s="211" t="s">
        <v>312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26.9316</v>
      </c>
      <c r="B140" s="342" t="n">
        <f aca="false">IF(A105="YES", B61*0.000002, 0)*1.2*100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210" t="s">
        <v>314</v>
      </c>
      <c r="N141" s="211" t="s">
        <v>315</v>
      </c>
      <c r="O141" s="211"/>
      <c r="P141" s="211" t="s">
        <v>316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((B36*H105)*0.1)*(G130), 0)</f>
        <v>6.58002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6.58002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210" t="s">
        <v>318</v>
      </c>
      <c r="N144" s="211" t="s">
        <v>319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343</v>
      </c>
      <c r="N147" s="163" t="s">
        <v>344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374.05</v>
      </c>
      <c r="B148" s="99" t="n">
        <f aca="false">B102</f>
        <v>400</v>
      </c>
      <c r="C148" s="38"/>
      <c r="D148" s="38" t="n">
        <f aca="false">IF(A105="YES", (B40*B105)*B125, 0)*0.1</f>
        <v>9.87003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883.91003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324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1901.1913844029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1585.62311597563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2416.31718266531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374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2380.67540766531</v>
      </c>
      <c r="B177" s="354" t="n">
        <f aca="false">IF(A105="YES", B89, 0)</f>
        <v>35.641775</v>
      </c>
      <c r="C177" s="356"/>
      <c r="D177" s="354" t="n">
        <f aca="false">B91</f>
        <v>2416.31718266531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2380.67540766531</v>
      </c>
      <c r="C180" s="352"/>
      <c r="D180" s="99" t="n">
        <f aca="false">IF(A105="YES", B89*B57, 0)</f>
        <v>35.641775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2416.31718266531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2380.67540766531</v>
      </c>
      <c r="B186" s="99" t="n">
        <f aca="false">IF(A105="YES", B89, 0)</f>
        <v>35.641775</v>
      </c>
      <c r="C186" s="352"/>
      <c r="D186" s="99" t="n">
        <f aca="false">B91</f>
        <v>2416.31718266531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26.9316</v>
      </c>
      <c r="B189" s="364" t="n">
        <f aca="false">B140</f>
        <v>8.9772</v>
      </c>
      <c r="C189" s="352"/>
      <c r="D189" s="364" t="n">
        <f aca="false">A189+B189</f>
        <v>35.9088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374.05</v>
      </c>
      <c r="B197" s="99" t="n">
        <f aca="false">B102</f>
        <v>400</v>
      </c>
      <c r="C197" s="99"/>
      <c r="D197" s="99" t="n">
        <f aca="false">IF(A105="YES", (B40*B105)*B125, 0)*0.1</f>
        <v>9.87003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883.91003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2012.49972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374.05</v>
      </c>
      <c r="C211" s="319" t="s">
        <v>217</v>
      </c>
      <c r="D211" s="369" t="n">
        <f aca="false">B225+E221+B221+B223</f>
        <v>438.6903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2077.14002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2012.49972</v>
      </c>
      <c r="C217" s="374" t="s">
        <v>221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374.05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2077.14002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98.7003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239.972081092664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331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332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2" colorId="64" zoomScale="75" zoomScaleNormal="7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 t="n">
        <v>23125</v>
      </c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 t="n">
        <v>0</v>
      </c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 t="n">
        <v>0</v>
      </c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241</v>
      </c>
      <c r="H32" s="221" t="n">
        <f aca="false">A41</f>
        <v>14.2424242424242</v>
      </c>
      <c r="I32" s="0"/>
      <c r="J32" s="44" t="s">
        <v>37</v>
      </c>
      <c r="K32" s="45" t="s">
        <v>378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377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50199.5187831396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IF(B38="YES",((H36/B85)*(1+A108)*1.2),"0")</f>
        <v>22.9125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1607.72890136705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263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1584.81640136705</v>
      </c>
      <c r="B167" s="174" t="n">
        <f aca="false">B94</f>
        <v>22.9125</v>
      </c>
      <c r="C167" s="171"/>
      <c r="D167" s="171"/>
      <c r="E167" s="174" t="n">
        <f aca="false">B96</f>
        <v>1607.72890136705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239.99</v>
      </c>
      <c r="C182" s="99"/>
      <c r="D182" s="23"/>
      <c r="E182" s="99" t="n">
        <f aca="false">E179+A182+B182+A185</f>
        <v>56964.1148437457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571.318229166667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1607.72890136705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n">
        <f aca="false">B167</f>
        <v>22.9125</v>
      </c>
      <c r="C212" s="171"/>
      <c r="D212" s="171"/>
      <c r="E212" s="174" t="n">
        <f aca="false">E167</f>
        <v>1607.72890136705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239.99</v>
      </c>
      <c r="C224" s="99"/>
      <c r="D224" s="109"/>
      <c r="E224" s="99" t="n">
        <f aca="false">E182</f>
        <v>56964.1148437457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n">
        <f aca="false">B167</f>
        <v>22.9125</v>
      </c>
      <c r="C230" s="183"/>
      <c r="D230" s="183"/>
      <c r="E230" s="99" t="n">
        <f aca="false">E167</f>
        <v>1607.72890136705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41.6772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13.8924</v>
      </c>
      <c r="B236" s="99" t="n">
        <f aca="false">E233+A236</f>
        <v>55.5696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14.1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571.318229166667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240.991666666667</v>
      </c>
      <c r="C255" s="194"/>
      <c r="D255" s="195" t="s">
        <v>218</v>
      </c>
      <c r="E255" s="195"/>
      <c r="F255" s="196" t="n">
        <f aca="false">(B254-F254)+B255</f>
        <v>-307.680208333333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-307.680208333333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75" zoomScaleNormal="7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241</v>
      </c>
      <c r="H32" s="221" t="n">
        <f aca="false">A41</f>
        <v>14.2424242424242</v>
      </c>
      <c r="I32" s="0"/>
      <c r="J32" s="44" t="s">
        <v>37</v>
      </c>
      <c r="K32" s="45" t="s">
        <v>378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377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50199.5187831396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19.09375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1603.91015136705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263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 t="s">
        <v>18</v>
      </c>
      <c r="B120" s="112" t="n">
        <v>0</v>
      </c>
      <c r="C120" s="113" t="s">
        <v>151</v>
      </c>
      <c r="D120" s="112" t="s">
        <v>150</v>
      </c>
      <c r="E120" s="114" t="n">
        <v>0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1584.81640136705</v>
      </c>
      <c r="B167" s="174" t="n">
        <f aca="false">B94</f>
        <v>19.09375</v>
      </c>
      <c r="C167" s="171"/>
      <c r="D167" s="171"/>
      <c r="E167" s="174" t="n">
        <f aca="false">B96</f>
        <v>1603.91015136705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199.99</v>
      </c>
      <c r="C182" s="99"/>
      <c r="D182" s="23"/>
      <c r="E182" s="99" t="n">
        <f aca="false">E179+A182+B182+A185</f>
        <v>56924.1148437457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571.3165625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1603.91015136705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n">
        <f aca="false">B167</f>
        <v>19.09375</v>
      </c>
      <c r="C212" s="171"/>
      <c r="D212" s="171"/>
      <c r="E212" s="174" t="n">
        <f aca="false">E167</f>
        <v>1603.91015136705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199.99</v>
      </c>
      <c r="C224" s="99"/>
      <c r="D224" s="109"/>
      <c r="E224" s="99" t="n">
        <f aca="false">E182</f>
        <v>56924.1148437457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n">
        <f aca="false">B167</f>
        <v>19.09375</v>
      </c>
      <c r="C230" s="183"/>
      <c r="D230" s="183"/>
      <c r="E230" s="99" t="n">
        <f aca="false">E167</f>
        <v>1603.91015136705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11.577</v>
      </c>
      <c r="B236" s="99" t="n">
        <f aca="false">E233+A236</f>
        <v>46.308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14.1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571.3165625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240.99</v>
      </c>
      <c r="C255" s="194"/>
      <c r="D255" s="195" t="s">
        <v>218</v>
      </c>
      <c r="E255" s="195"/>
      <c r="F255" s="196" t="n">
        <f aca="false">(B254-F254)+B255</f>
        <v>-307.681875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-307.681875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5" colorId="64" zoomScale="75" zoomScaleNormal="75" zoomScalePageLayoutView="100" workbookViewId="0">
      <selection pane="topLeft" activeCell="B186" activeCellId="0" sqref="B186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241</v>
      </c>
      <c r="H32" s="221" t="n">
        <f aca="false">A41</f>
        <v>14.2424242424242</v>
      </c>
      <c r="I32" s="0"/>
      <c r="J32" s="44" t="s">
        <v>37</v>
      </c>
      <c r="K32" s="45" t="s">
        <v>378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377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50199.5187831396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IF(B38="YES",((H36/B85)*(1+A108)*1.2),"0")</f>
        <v>22.9125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1607.72890136705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268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263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1584.81640136705</v>
      </c>
      <c r="B167" s="174" t="n">
        <f aca="false">B94</f>
        <v>22.9125</v>
      </c>
      <c r="C167" s="171"/>
      <c r="D167" s="171"/>
      <c r="E167" s="174" t="n">
        <f aca="false">B96</f>
        <v>1607.72890136705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239.99</v>
      </c>
      <c r="C182" s="99"/>
      <c r="D182" s="23"/>
      <c r="E182" s="99" t="n">
        <f aca="false">E179+A182+B182+A185</f>
        <v>56964.1148437457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571.318229166667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1607.72890136705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n">
        <f aca="false">B167</f>
        <v>22.9125</v>
      </c>
      <c r="C212" s="171"/>
      <c r="D212" s="171"/>
      <c r="E212" s="174" t="n">
        <f aca="false">E167</f>
        <v>1607.72890136705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239.99</v>
      </c>
      <c r="C224" s="99"/>
      <c r="D224" s="109"/>
      <c r="E224" s="99" t="n">
        <f aca="false">E182</f>
        <v>56964.1148437457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n">
        <f aca="false">B167</f>
        <v>22.9125</v>
      </c>
      <c r="C230" s="183"/>
      <c r="D230" s="183"/>
      <c r="E230" s="99" t="n">
        <f aca="false">E167</f>
        <v>1607.72890136705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13.8924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E188</f>
        <v>14.1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571.318229166667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240.991666666667</v>
      </c>
      <c r="C255" s="194"/>
      <c r="D255" s="195" t="s">
        <v>218</v>
      </c>
      <c r="E255" s="195"/>
      <c r="F255" s="196" t="n">
        <f aca="false">(B254-F254)+B255</f>
        <v>-307.680208333333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-307.680208333333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1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241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379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str">
        <f aca="false">H32</f>
        <v>5.28</v>
      </c>
      <c r="I44" s="393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278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279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5378.61666666667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448.218055555556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11390.6166666667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96.4917103670835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7487.10837703375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6.864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623.925698086146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630.789698086146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339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286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290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623.925698086146</v>
      </c>
      <c r="B134" s="320" t="n">
        <f aca="false">IF(A111="YES", B95, 0)</f>
        <v>6.864</v>
      </c>
      <c r="C134" s="325"/>
      <c r="D134" s="320" t="n">
        <f aca="false">B97</f>
        <v>630.789698086146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5615.33128277531</v>
      </c>
      <c r="C137" s="316"/>
      <c r="D137" s="38" t="n">
        <f aca="false">IF(A111="YES", B95*B63, 0)</f>
        <v>61.776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5677.10728277531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623.925698086146</v>
      </c>
      <c r="B143" s="38" t="n">
        <f aca="false">IF(A111="YES", B95, 0)</f>
        <v>6.864</v>
      </c>
      <c r="C143" s="316"/>
      <c r="D143" s="38" t="n">
        <f aca="false">B97</f>
        <v>630.789698086146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1.9008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1080.7408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630.789698086146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623.925698086146</v>
      </c>
      <c r="B177" s="354" t="n">
        <f aca="false">IF(A111="YES", B95, 0)</f>
        <v>6.864</v>
      </c>
      <c r="C177" s="357"/>
      <c r="D177" s="354" t="n">
        <f aca="false">B91</f>
        <v>11390.6166666667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5615.33128277531</v>
      </c>
      <c r="C180" s="352"/>
      <c r="D180" s="99" t="n">
        <f aca="false">IF(A111="YES", B95*B63, 0)</f>
        <v>61.776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5677.10728277531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623.925698086146</v>
      </c>
      <c r="B186" s="99" t="n">
        <f aca="false">IF(A111="YES", B95, 0)</f>
        <v>6.864</v>
      </c>
      <c r="C186" s="352"/>
      <c r="D186" s="99" t="n">
        <f aca="false">B97</f>
        <v>630.789698086146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1.9008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1080.7408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358.998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3832.098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3832.098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19.008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165</v>
      </c>
      <c r="C80" s="211"/>
      <c r="D80" s="211"/>
      <c r="E80" s="429" t="n">
        <f aca="false">E79+D82</f>
        <v>703.333333333333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355</v>
      </c>
      <c r="C81" s="211"/>
      <c r="D81" s="211"/>
      <c r="E81" s="212" t="n">
        <f aca="false">E80/12</f>
        <v>58.6111111111111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222.222222222222</v>
      </c>
      <c r="C83" s="211"/>
      <c r="D83" s="290" t="n">
        <f aca="false">B83</f>
        <v>222.222222222222</v>
      </c>
      <c r="E83" s="212" t="n">
        <f aca="false">D83/12</f>
        <v>18.5185185185185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5199.72777777778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433.310648148148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13454.0733333333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94.9763143740756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9549.04964770741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795.754137308951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795.754137308951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239.99</v>
      </c>
      <c r="B108" s="103" t="n">
        <v>200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795.754137308951</v>
      </c>
      <c r="B134" s="320" t="n">
        <f aca="false">IF(A111="YES", B95, 0)</f>
        <v>0</v>
      </c>
      <c r="C134" s="325"/>
      <c r="D134" s="320" t="n">
        <f aca="false">B97</f>
        <v>795.754137308951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795.754137308951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795.754137308951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795.754137308951</v>
      </c>
      <c r="B143" s="38" t="n">
        <f aca="false">IF(A111="YES", B95, 0)</f>
        <v>0</v>
      </c>
      <c r="C143" s="316"/>
      <c r="D143" s="38" t="n">
        <f aca="false">B97</f>
        <v>795.754137308951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200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200</v>
      </c>
      <c r="C154" s="38"/>
      <c r="D154" s="38" t="n">
        <f aca="false">IF(A111="YES", (A41/100*B111)*B131, 0)*0.1</f>
        <v>0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878.841666666667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795.754137308951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795.754137308951</v>
      </c>
      <c r="B177" s="354" t="n">
        <f aca="false">IF(A111="YES", B95, 0)</f>
        <v>0</v>
      </c>
      <c r="C177" s="357"/>
      <c r="D177" s="354" t="n">
        <f aca="false">B91</f>
        <v>13454.0733333333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795.754137308951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795.754137308951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795.754137308951</v>
      </c>
      <c r="B186" s="99" t="n">
        <f aca="false">IF(A111="YES", B95, 0)</f>
        <v>0</v>
      </c>
      <c r="C186" s="352"/>
      <c r="D186" s="99" t="n">
        <f aca="false">B97</f>
        <v>795.754137308951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200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200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878.841666666667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319.991666666667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3793.09166666667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20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3793.09166666667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94.9763143740756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 t="n">
        <v>23125</v>
      </c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 t="n">
        <v>0</v>
      </c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 t="n">
        <v>0</v>
      </c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5378.61666666667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448.218055555556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11390.6166666667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96.4917103670835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7487.10837703375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623.925698086146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623.925698086146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286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290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623.925698086146</v>
      </c>
      <c r="B134" s="320" t="n">
        <f aca="false">IF(A111="YES", B95, 0)</f>
        <v>0</v>
      </c>
      <c r="C134" s="325"/>
      <c r="D134" s="320" t="n">
        <f aca="false">B97</f>
        <v>623.925698086146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5615.33128277531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5615.33128277531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623.925698086146</v>
      </c>
      <c r="B143" s="38" t="n">
        <f aca="false">IF(A111="YES", B95, 0)</f>
        <v>0</v>
      </c>
      <c r="C143" s="316"/>
      <c r="D143" s="38" t="n">
        <f aca="false">B97</f>
        <v>623.925698086146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1078.84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623.925698086146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623.925698086146</v>
      </c>
      <c r="B177" s="354" t="n">
        <f aca="false">IF(A111="YES", B95, 0)</f>
        <v>0</v>
      </c>
      <c r="C177" s="357"/>
      <c r="D177" s="354" t="n">
        <f aca="false">B91</f>
        <v>11390.6166666667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5615.33128277531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5615.33128277531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623.925698086146</v>
      </c>
      <c r="B186" s="99" t="n">
        <f aca="false">IF(A111="YES", B95, 0)</f>
        <v>0</v>
      </c>
      <c r="C186" s="352"/>
      <c r="D186" s="99" t="n">
        <f aca="false">B97</f>
        <v>623.925698086146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1078.84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3813.09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3813.09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75" zoomScaleNormal="7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378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50213.7612073821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1584.81640136705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269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1584.81640136705</v>
      </c>
      <c r="B167" s="174" t="str">
        <f aca="false">B94</f>
        <v>0</v>
      </c>
      <c r="C167" s="171"/>
      <c r="D167" s="171"/>
      <c r="E167" s="174" t="n">
        <f aca="false">B96</f>
        <v>1584.81640136705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199.99</v>
      </c>
      <c r="C182" s="99"/>
      <c r="D182" s="23"/>
      <c r="E182" s="99" t="n">
        <f aca="false">E179+A182+B182+A185</f>
        <v>56924.1148437457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557.2165625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1584.81640136705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str">
        <f aca="false">B167</f>
        <v>0</v>
      </c>
      <c r="C212" s="171"/>
      <c r="D212" s="171"/>
      <c r="E212" s="174" t="n">
        <f aca="false">E167</f>
        <v>1584.81640136705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199.99</v>
      </c>
      <c r="C224" s="99"/>
      <c r="D224" s="109"/>
      <c r="E224" s="99" t="n">
        <f aca="false">E182</f>
        <v>56924.1148437457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str">
        <f aca="false">B167</f>
        <v>0</v>
      </c>
      <c r="C230" s="183"/>
      <c r="D230" s="183"/>
      <c r="E230" s="99" t="n">
        <f aca="false">E167</f>
        <v>1584.81640136705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557.2165625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-448.681875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-448.681875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2" colorId="64" zoomScale="75" zoomScaleNormal="75" zoomScalePageLayoutView="100" workbookViewId="0">
      <selection pane="topLeft" activeCell="B155" activeCellId="0" sqref="B15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241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380</v>
      </c>
      <c r="B41" s="237" t="n">
        <f aca="false">IF(B38="YES", D38+A41, D38)</f>
        <v>560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334</v>
      </c>
      <c r="C44" s="100"/>
      <c r="D44" s="100" t="s">
        <v>381</v>
      </c>
      <c r="E44" s="100"/>
      <c r="F44" s="63"/>
      <c r="G44" s="63" t="s">
        <v>253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346</v>
      </c>
      <c r="C47" s="428"/>
      <c r="D47" s="100" t="s">
        <v>346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336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278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279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5378.61666666667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448.218055555556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11390.6166666667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96.4917103670835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7487.10837703375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78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623.925698086146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701.925698086146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347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286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13" t="n">
        <v>30</v>
      </c>
      <c r="C111" s="313"/>
      <c r="D111" s="103" t="s">
        <v>290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623.925698086146</v>
      </c>
      <c r="B134" s="320" t="n">
        <f aca="false">IF(A111="YES", B95, 0)</f>
        <v>78</v>
      </c>
      <c r="C134" s="325"/>
      <c r="D134" s="320" t="n">
        <f aca="false">B97</f>
        <v>701.925698086146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5615.33128277531</v>
      </c>
      <c r="C137" s="316"/>
      <c r="D137" s="38" t="n">
        <f aca="false">IF(A111="YES", B95*B63, 0)</f>
        <v>702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6317.33128277531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623.925698086146</v>
      </c>
      <c r="B143" s="38" t="n">
        <f aca="false">IF(A111="YES", B95, 0)</f>
        <v>78</v>
      </c>
      <c r="C143" s="316"/>
      <c r="D143" s="38" t="n">
        <f aca="false">B97</f>
        <v>701.925698086146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1475.5755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1435.5775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99" t="n">
        <f aca="false">B108</f>
        <v>400</v>
      </c>
      <c r="C154" s="38"/>
      <c r="D154" s="38" t="n">
        <f aca="false">IF(A111="YES", (A41/100*B111)*B131, 0)*0.1</f>
        <v>21.6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1100.44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701.925698086146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623.925698086146</v>
      </c>
      <c r="B177" s="354" t="n">
        <f aca="false">IF(A111="YES", B95, 0)</f>
        <v>78</v>
      </c>
      <c r="C177" s="357"/>
      <c r="D177" s="354" t="n">
        <f aca="false">B91</f>
        <v>11390.6166666667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5615.33128277531</v>
      </c>
      <c r="C180" s="352"/>
      <c r="D180" s="99" t="n">
        <f aca="false">IF(A111="YES", B95*B63, 0)</f>
        <v>702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6317.33128277531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623.925698086146</v>
      </c>
      <c r="B186" s="99" t="n">
        <f aca="false">IF(A111="YES", B95, 0)</f>
        <v>78</v>
      </c>
      <c r="C186" s="352"/>
      <c r="D186" s="99" t="n">
        <f aca="false">B97</f>
        <v>701.925698086146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21.6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1100.44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555.99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4029.09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4029.09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216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48" colorId="64" zoomScale="75" zoomScaleNormal="7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334</v>
      </c>
      <c r="C44" s="100"/>
      <c r="D44" s="100" t="s">
        <v>346</v>
      </c>
      <c r="E44" s="100"/>
      <c r="F44" s="63"/>
      <c r="G44" s="63" t="s">
        <v>253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346</v>
      </c>
      <c r="C47" s="428"/>
      <c r="D47" s="100" t="s">
        <v>346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165</v>
      </c>
      <c r="C80" s="211"/>
      <c r="D80" s="211"/>
      <c r="E80" s="429" t="n">
        <f aca="false">E79+D82</f>
        <v>703.333333333333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355</v>
      </c>
      <c r="C81" s="211"/>
      <c r="D81" s="211"/>
      <c r="E81" s="212" t="n">
        <f aca="false">E80/12</f>
        <v>58.6111111111111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5421.95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451.829166666667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13720.74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96.8587938684954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9817.5987938685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818.133232822375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896.133232822375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286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290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818.133232822375</v>
      </c>
      <c r="B134" s="320" t="n">
        <f aca="false">IF(A111="YES", B95, 0)</f>
        <v>78</v>
      </c>
      <c r="C134" s="325"/>
      <c r="D134" s="320" t="n">
        <f aca="false">B97</f>
        <v>896.133232822375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7363.19909540137</v>
      </c>
      <c r="C137" s="316"/>
      <c r="D137" s="38" t="n">
        <f aca="false">IF(A111="YES", B95*B63, 0)</f>
        <v>702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8065.19909540137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818.133232822375</v>
      </c>
      <c r="B143" s="38" t="n">
        <f aca="false">IF(A111="YES", B95, 0)</f>
        <v>78</v>
      </c>
      <c r="C143" s="316"/>
      <c r="D143" s="38" t="n">
        <f aca="false">B97</f>
        <v>896.133232822375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896.133232822375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818.133232822375</v>
      </c>
      <c r="B177" s="354" t="n">
        <f aca="false">IF(A111="YES", B95, 0)</f>
        <v>78</v>
      </c>
      <c r="C177" s="357"/>
      <c r="D177" s="354" t="n">
        <f aca="false">B97</f>
        <v>896.133232822375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7363.19909540137</v>
      </c>
      <c r="C180" s="352"/>
      <c r="D180" s="99" t="n">
        <f aca="false">IF(A111="YES", B95*B63, 0)</f>
        <v>702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8065.19909540137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818.133232822375</v>
      </c>
      <c r="B186" s="99" t="n">
        <f aca="false">IF(A111="YES", B95, 0)</f>
        <v>78</v>
      </c>
      <c r="C186" s="352"/>
      <c r="D186" s="99" t="n">
        <f aca="false">B97</f>
        <v>896.133232822375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1096.84166666667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3993.09166666667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3993.09166666667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3" colorId="64" zoomScale="75" zoomScaleNormal="75" zoomScalePageLayoutView="100" workbookViewId="0">
      <selection pane="topLeft" activeCell="B198" activeCellId="0" sqref="B19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334</v>
      </c>
      <c r="C44" s="100"/>
      <c r="D44" s="100" t="s">
        <v>346</v>
      </c>
      <c r="E44" s="100"/>
      <c r="F44" s="63"/>
      <c r="G44" s="63" t="s">
        <v>253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346</v>
      </c>
      <c r="C47" s="428"/>
      <c r="D47" s="100" t="s">
        <v>346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165</v>
      </c>
      <c r="C80" s="211"/>
      <c r="D80" s="211"/>
      <c r="E80" s="429" t="n">
        <f aca="false">E79+D82</f>
        <v>703.333333333333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355</v>
      </c>
      <c r="C81" s="211"/>
      <c r="D81" s="211"/>
      <c r="E81" s="212" t="n">
        <f aca="false">E80/12</f>
        <v>58.6111111111111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4755.28333333333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396.273611111111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10767.2833333333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91.211355385236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6858.49468871857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50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571.541224059881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571.541224059881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286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290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571.541224059881</v>
      </c>
      <c r="B134" s="320" t="n">
        <f aca="false">IF(A111="YES", B95, 0)</f>
        <v>0</v>
      </c>
      <c r="C134" s="325"/>
      <c r="D134" s="320" t="n">
        <f aca="false">B97</f>
        <v>571.541224059881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5143.87101653893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5143.87101653893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571.541224059881</v>
      </c>
      <c r="B143" s="38" t="n">
        <f aca="false">IF(A111="YES", B95, 0)</f>
        <v>0</v>
      </c>
      <c r="C143" s="316"/>
      <c r="D143" s="38" t="n">
        <f aca="false">B97</f>
        <v>571.541224059881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678.84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571.541224059881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571.541224059881</v>
      </c>
      <c r="B177" s="354" t="n">
        <f aca="false">IF(A111="YES", B95, 0)</f>
        <v>0</v>
      </c>
      <c r="C177" s="357"/>
      <c r="D177" s="354" t="n">
        <f aca="false">B91</f>
        <v>10767.2833333333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5143.87101653893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5143.87101653893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571.541224059881</v>
      </c>
      <c r="B186" s="99" t="n">
        <f aca="false">IF(A111="YES", B95, 0)</f>
        <v>0</v>
      </c>
      <c r="C186" s="352"/>
      <c r="D186" s="99" t="n">
        <f aca="false">B97</f>
        <v>571.541224059881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B154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678.84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3573.09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3573.09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91.211355385236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4" colorId="64" zoomScale="75" zoomScaleNormal="75" zoomScalePageLayoutView="100" workbookViewId="0">
      <selection pane="topLeft" activeCell="B81" activeCellId="0" sqref="B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550</v>
      </c>
      <c r="F10" s="151"/>
      <c r="G10" s="152"/>
      <c r="H10" s="441" t="n">
        <v>550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  <c r="L13" s="0"/>
      <c r="M13" s="0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 t="n">
        <v>0</v>
      </c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184</v>
      </c>
      <c r="B30" s="100" t="s">
        <v>345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9600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2344.65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1396.7304053987</v>
      </c>
      <c r="F33" s="228"/>
      <c r="G33" s="228"/>
      <c r="H33" s="47"/>
      <c r="I33" s="2"/>
      <c r="J33" s="34" t="s">
        <v>351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1329.7404053987</v>
      </c>
      <c r="B36" s="228" t="n">
        <f aca="false">IF(B26="YES", K42, "0.00")</f>
        <v>66.99</v>
      </c>
      <c r="C36" s="228"/>
      <c r="D36" s="228"/>
      <c r="E36" s="228" t="n">
        <f aca="false">K31</f>
        <v>9600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29898.9542532849</v>
      </c>
      <c r="N39" s="1" t="n">
        <f aca="false">K39-L39</f>
        <v>18978.5457467151</v>
      </c>
      <c r="P39" s="208"/>
    </row>
    <row r="40" customFormat="false" ht="17.35" hidden="false" customHeight="false" outlineLevel="0" collapsed="false">
      <c r="A40" s="103" t="n">
        <f aca="false">E36*A45/100</f>
        <v>9600</v>
      </c>
      <c r="B40" s="103" t="n">
        <f aca="false">IF(B26="YES", K42, "0.00")</f>
        <v>66.99</v>
      </c>
      <c r="C40" s="103"/>
      <c r="D40" s="103"/>
      <c r="E40" s="179" t="n">
        <f aca="false">K32</f>
        <v>2344.65</v>
      </c>
      <c r="F40" s="183"/>
      <c r="G40" s="183"/>
      <c r="H40" s="47"/>
      <c r="J40" s="2" t="s">
        <v>109</v>
      </c>
      <c r="K40" s="2" t="n">
        <f aca="false">(A40)/1.2</f>
        <v>8000</v>
      </c>
      <c r="L40" s="2" t="n">
        <f aca="false">K39-L39</f>
        <v>18978.5457467151</v>
      </c>
      <c r="N40" s="1" t="n">
        <f aca="false">N38-N39</f>
        <v>-16066.8657467151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66.99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6586.14214929175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42291.3578507082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1329.7404053987</v>
      </c>
      <c r="L47" s="2" t="n">
        <f aca="false">L49-K42</f>
        <v>733.01</v>
      </c>
      <c r="M47" s="1" t="n">
        <f aca="false">K47-L47</f>
        <v>596.730405398704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1396.7304053987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1396.7304053987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25053.9996087026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4672.71417168699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237.909775155269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237.909775155269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1329.7404053987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1329.7404053987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1396.7304053987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1396.7304053987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67730.004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45468.749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9600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9600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9600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6875.35612118848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6564.9851676575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6564.9851676575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28.8995114056174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60854.6478788115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38903.7638323425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38903.7638323425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2105.73275875463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1375.84776365029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1375.84776365029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71594.9137976573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46778.8239641099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46778.8239641099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71594.9137976573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46778.8239641099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46778.8239641099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</f>
        <v>89.6483823529412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104.5044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82.7523529411765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99.3028235294118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2105.73275875463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1375.84776365029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1375.84776365029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2195.38114110757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1610.7875870777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1458.60011659147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1475.1505871797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s">
        <v>269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11713.5425</v>
      </c>
      <c r="V124" s="126" t="n">
        <f aca="false">(V121*V122)+V123</f>
        <v>0</v>
      </c>
      <c r="W124" s="127" t="n">
        <f aca="false">(W121*W122)+W123</f>
        <v>0</v>
      </c>
      <c r="X124" s="126" t="n">
        <f aca="false">(X121*X122)+X123</f>
        <v>0</v>
      </c>
      <c r="Y124" s="127" t="n">
        <f aca="false">(Y121*Y122)+Y123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35140.6275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35973.9575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7304.7915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44468.749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44468.749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-14056.251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45468.749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2105.73275875463</v>
      </c>
      <c r="B167" s="174" t="n">
        <f aca="false">B94</f>
        <v>89.6483823529412</v>
      </c>
      <c r="C167" s="171"/>
      <c r="D167" s="171"/>
      <c r="E167" s="174" t="n">
        <f aca="false">B96</f>
        <v>2195.38114110757</v>
      </c>
      <c r="F167" s="23"/>
      <c r="G167" s="23"/>
      <c r="H167" s="33"/>
      <c r="J167" s="173" t="n">
        <f aca="false">K95</f>
        <v>1506.2831870777</v>
      </c>
      <c r="K167" s="174" t="n">
        <f aca="false">K94</f>
        <v>104.5044</v>
      </c>
      <c r="L167" s="171"/>
      <c r="M167" s="171"/>
      <c r="N167" s="174" t="n">
        <f aca="false">K96</f>
        <v>1610.7875870777</v>
      </c>
      <c r="O167" s="23"/>
      <c r="P167" s="23"/>
      <c r="Q167" s="33"/>
      <c r="S167" s="173" t="n">
        <f aca="false">T95</f>
        <v>1375.84776365029</v>
      </c>
      <c r="T167" s="174" t="n">
        <f aca="false">T94</f>
        <v>82.7523529411765</v>
      </c>
      <c r="U167" s="171"/>
      <c r="V167" s="171"/>
      <c r="W167" s="174" t="n">
        <f aca="false">T96</f>
        <v>1458.60011659147</v>
      </c>
      <c r="X167" s="23"/>
      <c r="Y167" s="23"/>
      <c r="Z167" s="33"/>
      <c r="AB167" s="173" t="n">
        <f aca="false">AC95</f>
        <v>1375.84776365029</v>
      </c>
      <c r="AC167" s="174" t="n">
        <f aca="false">AC94</f>
        <v>99.3028235294118</v>
      </c>
      <c r="AD167" s="171"/>
      <c r="AE167" s="171"/>
      <c r="AF167" s="174" t="n">
        <f aca="false">AC96</f>
        <v>1475.1505871797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9600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9600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9600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36523.9575</v>
      </c>
      <c r="T173" s="99" t="n">
        <f aca="false">Z137</f>
        <v>7304.7915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44468.749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45468.749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13464.9097976573</v>
      </c>
      <c r="B182" s="99" t="str">
        <f aca="false">B114</f>
        <v>199.99</v>
      </c>
      <c r="C182" s="99"/>
      <c r="D182" s="23"/>
      <c r="E182" s="99" t="n">
        <f aca="false">E179+A182+B182+A185</f>
        <v>81404.9037976573</v>
      </c>
      <c r="F182" s="23"/>
      <c r="G182" s="23"/>
      <c r="H182" s="101"/>
      <c r="J182" s="107" t="n">
        <f aca="false">(J167*K59)+N185-N179-J185</f>
        <v>23158.6283606416</v>
      </c>
      <c r="K182" s="99" t="n">
        <f aca="false">K114</f>
        <v>239.99</v>
      </c>
      <c r="L182" s="99"/>
      <c r="M182" s="23"/>
      <c r="N182" s="99" t="n">
        <f aca="false">N179+J182+K182+J185</f>
        <v>61073.6183606416</v>
      </c>
      <c r="O182" s="23"/>
      <c r="P182" s="23"/>
      <c r="Q182" s="101"/>
      <c r="S182" s="107" t="n">
        <f aca="false">(S167*T59)+W185-W179-S185</f>
        <v>10910.0749641099</v>
      </c>
      <c r="T182" s="99" t="n">
        <f aca="false">T114</f>
        <v>199.99</v>
      </c>
      <c r="U182" s="99"/>
      <c r="V182" s="23"/>
      <c r="W182" s="99" t="n">
        <f aca="false">W179+S182+T182+S185</f>
        <v>56588.8139641099</v>
      </c>
      <c r="X182" s="23"/>
      <c r="Y182" s="23"/>
      <c r="Z182" s="101"/>
      <c r="AB182" s="107" t="n">
        <f aca="false">(AB167*AC59)+AF185-AF179-AB185</f>
        <v>10910.0749641099</v>
      </c>
      <c r="AC182" s="99" t="n">
        <f aca="false">AC114</f>
        <v>239.99</v>
      </c>
      <c r="AD182" s="99"/>
      <c r="AE182" s="23"/>
      <c r="AF182" s="99" t="n">
        <f aca="false">AF179+AB182+AC182+AB185</f>
        <v>56628.8139641099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E170+A185</f>
        <v>9610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9620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9610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9610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11.577</v>
      </c>
      <c r="B188" s="99" t="n">
        <f aca="false">(G158*B67)/1.2</f>
        <v>552.65801875</v>
      </c>
      <c r="C188" s="130"/>
      <c r="D188" s="130"/>
      <c r="E188" s="99" t="n">
        <f aca="false">(E40*A108)*0.1</f>
        <v>70.3395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70.3395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371.012361631944</v>
      </c>
      <c r="U188" s="130"/>
      <c r="V188" s="130"/>
      <c r="W188" s="99" t="n">
        <f aca="false">(E40*S108)*0.1</f>
        <v>46.893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722.98751875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3531.08036805556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1517.89536163194</v>
      </c>
      <c r="U191" s="130"/>
      <c r="V191" s="130"/>
      <c r="W191" s="99" t="n">
        <f aca="false">Z148</f>
        <v>-14056.251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1557.89536163194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2195.38114110757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1458.60011659147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1475.1505871797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2105.73275875463</v>
      </c>
      <c r="B212" s="174" t="n">
        <f aca="false">B167</f>
        <v>89.6483823529412</v>
      </c>
      <c r="C212" s="171"/>
      <c r="D212" s="171"/>
      <c r="E212" s="174" t="n">
        <f aca="false">E167</f>
        <v>2195.38114110757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13464.9097976573</v>
      </c>
      <c r="B224" s="99" t="str">
        <f aca="false">B182</f>
        <v>199.99</v>
      </c>
      <c r="C224" s="99"/>
      <c r="D224" s="109"/>
      <c r="E224" s="99" t="n">
        <f aca="false">E182</f>
        <v>81404.9037976573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2105.73275875463</v>
      </c>
      <c r="B230" s="99" t="n">
        <f aca="false">B167</f>
        <v>89.6483823529412</v>
      </c>
      <c r="C230" s="183"/>
      <c r="D230" s="183"/>
      <c r="E230" s="99" t="n">
        <f aca="false">E167</f>
        <v>2195.38114110757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9600</v>
      </c>
      <c r="B233" s="99" t="n">
        <f aca="false">E185</f>
        <v>9610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70.3395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10477.15751875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803.385</v>
      </c>
      <c r="C255" s="194"/>
      <c r="D255" s="195" t="s">
        <v>218</v>
      </c>
      <c r="E255" s="195"/>
      <c r="F255" s="196" t="n">
        <f aca="false">(B254-F254)+B255</f>
        <v>140.1953775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71594.9137976573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703.395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140.1953775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9" colorId="64" zoomScale="75" zoomScaleNormal="75" zoomScalePageLayoutView="100" workbookViewId="0">
      <selection pane="topLeft" activeCell="B95" activeCellId="0" sqref="B9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184</v>
      </c>
      <c r="B30" s="100" t="s">
        <v>345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7680</v>
      </c>
      <c r="P31" s="208"/>
    </row>
    <row r="32" customFormat="false" ht="34.8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350</v>
      </c>
      <c r="F32" s="130"/>
      <c r="G32" s="130"/>
      <c r="H32" s="33"/>
      <c r="I32" s="2" t="n">
        <v>0</v>
      </c>
      <c r="J32" s="29" t="s">
        <v>36</v>
      </c>
      <c r="K32" s="448" t="n">
        <v>1875.65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1424.74718545353</v>
      </c>
      <c r="F33" s="228"/>
      <c r="G33" s="228"/>
      <c r="H33" s="47"/>
      <c r="I33" s="2"/>
      <c r="J33" s="34" t="s">
        <v>351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1371.15718545353</v>
      </c>
      <c r="B36" s="228" t="n">
        <f aca="false">IF(B26="YES", K42, "0.00")</f>
        <v>53.59</v>
      </c>
      <c r="C36" s="228"/>
      <c r="D36" s="228"/>
      <c r="E36" s="228" t="n">
        <f aca="false">K31</f>
        <v>7680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29007.9023860839</v>
      </c>
      <c r="N39" s="1" t="n">
        <f aca="false">K39-L39</f>
        <v>19869.5976139161</v>
      </c>
      <c r="P39" s="208"/>
    </row>
    <row r="40" customFormat="false" ht="17.35" hidden="false" customHeight="false" outlineLevel="0" collapsed="false">
      <c r="A40" s="103" t="n">
        <f aca="false">E36*A45/100</f>
        <v>7680</v>
      </c>
      <c r="B40" s="103" t="n">
        <f aca="false">IF(B26="YES", K42, "0.00")</f>
        <v>53.59</v>
      </c>
      <c r="C40" s="103"/>
      <c r="D40" s="103"/>
      <c r="E40" s="179" t="n">
        <f aca="false">K32</f>
        <v>1875.65</v>
      </c>
      <c r="F40" s="183"/>
      <c r="G40" s="183"/>
      <c r="H40" s="47"/>
      <c r="J40" s="2" t="s">
        <v>109</v>
      </c>
      <c r="K40" s="2" t="n">
        <f aca="false">(A40)/1.2</f>
        <v>6400</v>
      </c>
      <c r="L40" s="2" t="n">
        <f aca="false">K39-L39</f>
        <v>19869.5976139161</v>
      </c>
      <c r="N40" s="1" t="n">
        <f aca="false">N38-N39</f>
        <v>-16957.9176139161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(K32/K36/100)*C45</f>
        <v>53.59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5268.9137194334</v>
      </c>
      <c r="L44" s="2"/>
      <c r="P44" s="208"/>
    </row>
    <row r="45" customFormat="false" ht="17.35" hidden="false" customHeight="false" outlineLevel="0" collapsed="false">
      <c r="A45" s="504" t="n">
        <v>100</v>
      </c>
      <c r="B45" s="130"/>
      <c r="C45" s="505" t="n">
        <v>100</v>
      </c>
      <c r="D45" s="505"/>
      <c r="E45" s="505"/>
      <c r="F45" s="130"/>
      <c r="G45" s="130"/>
      <c r="H45" s="33"/>
      <c r="J45" s="2" t="s">
        <v>362</v>
      </c>
      <c r="K45" s="2" t="n">
        <f aca="false">(K39-K44)</f>
        <v>43608.5862805666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1371.15718545353</v>
      </c>
      <c r="L47" s="2" t="n">
        <f aca="false">L49-K42</f>
        <v>746.41</v>
      </c>
      <c r="M47" s="1" t="n">
        <f aca="false">K47-L47</f>
        <v>624.747185453526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1424.74718545353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1424.74718545353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25222.1705092632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3223.12686976823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17099.6612521809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367.101774942719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1371.15718545353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1371.15718545353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1424.74718545353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1424.74718545353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67730.004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7680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7680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7680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5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5500.28489695078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5251.988134126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5251.988134126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28.8995114056174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62229.7191030492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54132.449355874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40216.760865874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2153.31388235696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1914.4165512663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1422.28244899459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73212.6720001366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65090.1627430543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48357.6032658161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73212.6720001366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65090.1627430543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48357.6032658161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89" t="n">
        <f aca="false">IF(B26="YES",((E40/B85)*(1+A108)*1.2),"0")</f>
        <v>86.0592352941177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83.6004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66.1994117647059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79.4392941176471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2153.31388235696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1914.4165512663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1422.28244899459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(B94+B95)</f>
        <v>2239.37311765108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1589.8835870777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1980.61596303101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1501.72174311224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124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s">
        <v>269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173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2153.31388235696</v>
      </c>
      <c r="B167" s="174" t="n">
        <f aca="false">B94</f>
        <v>86.0592352941177</v>
      </c>
      <c r="C167" s="171"/>
      <c r="D167" s="171"/>
      <c r="E167" s="174" t="n">
        <f aca="false">B96</f>
        <v>2239.37311765108</v>
      </c>
      <c r="F167" s="23"/>
      <c r="G167" s="23"/>
      <c r="H167" s="33"/>
      <c r="J167" s="173" t="n">
        <f aca="false">K95</f>
        <v>1506.2831870777</v>
      </c>
      <c r="K167" s="174" t="n">
        <f aca="false">K94</f>
        <v>83.6004</v>
      </c>
      <c r="L167" s="171"/>
      <c r="M167" s="171"/>
      <c r="N167" s="174" t="n">
        <f aca="false">K96</f>
        <v>1589.8835870777</v>
      </c>
      <c r="O167" s="23"/>
      <c r="P167" s="23"/>
      <c r="Q167" s="33"/>
      <c r="S167" s="173" t="n">
        <f aca="false">T95</f>
        <v>1914.4165512663</v>
      </c>
      <c r="T167" s="174" t="n">
        <f aca="false">T94</f>
        <v>66.1994117647059</v>
      </c>
      <c r="U167" s="171"/>
      <c r="V167" s="171"/>
      <c r="W167" s="174" t="n">
        <f aca="false">T96</f>
        <v>1980.61596303101</v>
      </c>
      <c r="X167" s="23"/>
      <c r="Y167" s="23"/>
      <c r="Z167" s="33"/>
      <c r="AB167" s="173" t="n">
        <f aca="false">AC95</f>
        <v>1422.28244899459</v>
      </c>
      <c r="AC167" s="174" t="n">
        <f aca="false">AC94</f>
        <v>79.4392941176471</v>
      </c>
      <c r="AD167" s="171"/>
      <c r="AE167" s="171"/>
      <c r="AF167" s="174" t="n">
        <f aca="false">AC96</f>
        <v>1501.72174311224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7680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7680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7680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13162.6680001366</v>
      </c>
      <c r="B182" s="99" t="str">
        <f aca="false">B114</f>
        <v>239.99</v>
      </c>
      <c r="C182" s="99"/>
      <c r="D182" s="23"/>
      <c r="E182" s="99" t="n">
        <f aca="false">E179+A182+B182+A185</f>
        <v>81142.6620001366</v>
      </c>
      <c r="F182" s="23"/>
      <c r="G182" s="23"/>
      <c r="H182" s="101"/>
      <c r="J182" s="107" t="n">
        <f aca="false">(J167*K59)+N185-N179-J185</f>
        <v>21238.6283606416</v>
      </c>
      <c r="K182" s="99" t="n">
        <f aca="false">K114</f>
        <v>239.99</v>
      </c>
      <c r="L182" s="99"/>
      <c r="M182" s="23"/>
      <c r="N182" s="99" t="n">
        <f aca="false">N179+J182+K182+J185</f>
        <v>59153.6183606416</v>
      </c>
      <c r="O182" s="23"/>
      <c r="P182" s="23"/>
      <c r="Q182" s="101"/>
      <c r="S182" s="107" t="n">
        <f aca="false">(S167*T59)+W185-W179-S185</f>
        <v>13385.7252530543</v>
      </c>
      <c r="T182" s="99" t="n">
        <f aca="false">T114</f>
        <v>199.99</v>
      </c>
      <c r="U182" s="99"/>
      <c r="V182" s="23"/>
      <c r="W182" s="99" t="n">
        <f aca="false">W179+S182+T182+S185</f>
        <v>72980.1527430544</v>
      </c>
      <c r="X182" s="23"/>
      <c r="Y182" s="23"/>
      <c r="Z182" s="101"/>
      <c r="AB182" s="107" t="n">
        <f aca="false">(AB167*AC59)+AF185-AF179-AB185</f>
        <v>10568.8542658161</v>
      </c>
      <c r="AC182" s="99" t="n">
        <f aca="false">AC114</f>
        <v>239.99</v>
      </c>
      <c r="AD182" s="99"/>
      <c r="AE182" s="23"/>
      <c r="AF182" s="99" t="n">
        <f aca="false">AF179+AB182+AC182+AB185</f>
        <v>56287.5932658161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E170+A185</f>
        <v>7690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7700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7690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7690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13.8924</v>
      </c>
      <c r="B188" s="99" t="n">
        <f aca="false">(G158*B67)</f>
        <v>663.1896225</v>
      </c>
      <c r="C188" s="130"/>
      <c r="D188" s="130"/>
      <c r="E188" s="99" t="n">
        <f aca="false">(E40*A108)*0.1</f>
        <v>56.2695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56.2695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37.513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37.513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819.450789166667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3517.01036805556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1622.06351424132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1548.51536163194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2239.37311765108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1589.8835870777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1980.61596303101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1501.72174311224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2153.31388235696</v>
      </c>
      <c r="B212" s="174" t="n">
        <f aca="false">B167</f>
        <v>86.0592352941177</v>
      </c>
      <c r="C212" s="171"/>
      <c r="D212" s="171"/>
      <c r="E212" s="174" t="n">
        <f aca="false">E167</f>
        <v>2239.37311765108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13162.6680001366</v>
      </c>
      <c r="B224" s="99" t="str">
        <f aca="false">B182</f>
        <v>239.99</v>
      </c>
      <c r="C224" s="99"/>
      <c r="D224" s="109"/>
      <c r="E224" s="99" t="n">
        <f aca="false">E182</f>
        <v>81142.6620001366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2153.31388235696</v>
      </c>
      <c r="B230" s="99" t="n">
        <f aca="false">B167</f>
        <v>86.0592352941177</v>
      </c>
      <c r="C230" s="183"/>
      <c r="D230" s="183"/>
      <c r="E230" s="99" t="n">
        <f aca="false">E167</f>
        <v>2239.37311765108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7680</v>
      </c>
      <c r="B233" s="99" t="n">
        <f aca="false">E185</f>
        <v>7690</v>
      </c>
      <c r="C233" s="130"/>
      <c r="D233" s="130"/>
      <c r="E233" s="99" t="n">
        <f aca="false">A188</f>
        <v>13.8924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56.2695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10463.0891854167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662.686666666667</v>
      </c>
      <c r="C255" s="194"/>
      <c r="D255" s="195" t="s">
        <v>218</v>
      </c>
      <c r="E255" s="195"/>
      <c r="F255" s="196" t="n">
        <f aca="false">(B254-F254)+B255</f>
        <v>-0.502955833333431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73212.6720001366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562.695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-0.502955833333431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75" zoomScaleNormal="7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555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184</v>
      </c>
      <c r="B30" s="100" t="s">
        <v>345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5760</v>
      </c>
      <c r="P31" s="208"/>
    </row>
    <row r="32" customFormat="false" ht="34.8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350</v>
      </c>
      <c r="F32" s="130"/>
      <c r="G32" s="130"/>
      <c r="H32" s="33"/>
      <c r="I32" s="2" t="n">
        <v>0</v>
      </c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1412.57396550835</v>
      </c>
      <c r="F33" s="228"/>
      <c r="G33" s="228"/>
      <c r="H33" s="47"/>
      <c r="I33" s="2"/>
      <c r="J33" s="34" t="s">
        <v>351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1412.57396550835</v>
      </c>
      <c r="B36" s="228" t="str">
        <f aca="false">IF(B26="YES", K42, "0.00")</f>
        <v>0.00</v>
      </c>
      <c r="C36" s="228"/>
      <c r="D36" s="228"/>
      <c r="E36" s="228" t="n">
        <f aca="false">K31</f>
        <v>5760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29395.0621646443</v>
      </c>
      <c r="N39" s="1" t="n">
        <f aca="false">K39-L39</f>
        <v>19482.4378353557</v>
      </c>
      <c r="P39" s="208"/>
    </row>
    <row r="40" customFormat="false" ht="17.35" hidden="false" customHeight="false" outlineLevel="0" collapsed="false">
      <c r="A40" s="312" t="n">
        <f aca="false">E36*A45/100</f>
        <v>5760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4800</v>
      </c>
      <c r="L40" s="2" t="n">
        <f aca="false">K39-L39</f>
        <v>19482.4378353557</v>
      </c>
      <c r="N40" s="1" t="n">
        <f aca="false">N38-N39</f>
        <v>-16570.7578353557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3951.68528957505</v>
      </c>
      <c r="L44" s="2"/>
      <c r="P44" s="208"/>
    </row>
    <row r="45" customFormat="false" ht="17.35" hidden="false" customHeight="false" outlineLevel="0" collapsed="false">
      <c r="A45" s="506" t="n">
        <v>100</v>
      </c>
      <c r="B45" s="130"/>
      <c r="C45" s="505" t="n">
        <v>100</v>
      </c>
      <c r="D45" s="505"/>
      <c r="E45" s="505"/>
      <c r="F45" s="130"/>
      <c r="G45" s="130"/>
      <c r="H45" s="33"/>
      <c r="J45" s="2" t="s">
        <v>362</v>
      </c>
      <c r="K45" s="2" t="n">
        <f aca="false">(K39-K44)</f>
        <v>44925.814710425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1412.57396550835</v>
      </c>
      <c r="L47" s="2" t="n">
        <f aca="false">L49-K42</f>
        <v>800</v>
      </c>
      <c r="M47" s="1" t="n">
        <f aca="false">K47-L47</f>
        <v>612.573965508348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1412.57396550835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1412.57396550835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25390.3414098237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1773.53956784947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17228.8532519684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496.293774730148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0.05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1412.57396550835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1412.57396550835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1412.57396550835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1412.57396550835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67730.004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A40</f>
        <v>5760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5760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5760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5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4125.21367271309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3938.9911005945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3938.9911005945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28.8995114056174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63604.7903272869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55445.4463894055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41529.7578994055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2200.89500595929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1960.8512366106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1468.71713433889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74830.4302026159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66668.9420447605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49936.3825675223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74830.4302026159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66668.9420447605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49936.3825675223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89" t="str">
        <f aca="false">IF(B26="YES",((E40/B85)*(1+A108)*1.2),"0")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2200.89500595929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1960.8512366106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1468.71713433889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(B94+B95)</f>
        <v>2200.89500595929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1960.8512366106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1468.71713433889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126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263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173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2200.89500595929</v>
      </c>
      <c r="B167" s="174" t="str">
        <f aca="false">B94</f>
        <v>0</v>
      </c>
      <c r="C167" s="171"/>
      <c r="D167" s="171"/>
      <c r="E167" s="174" t="n">
        <f aca="false">B96</f>
        <v>2200.89500595929</v>
      </c>
      <c r="F167" s="23"/>
      <c r="G167" s="23"/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1960.8512366106</v>
      </c>
      <c r="T167" s="174" t="n">
        <f aca="false">T94</f>
        <v>0</v>
      </c>
      <c r="U167" s="171"/>
      <c r="V167" s="171"/>
      <c r="W167" s="174" t="n">
        <f aca="false">T96</f>
        <v>1960.8512366106</v>
      </c>
      <c r="X167" s="23"/>
      <c r="Y167" s="23"/>
      <c r="Z167" s="33"/>
      <c r="AB167" s="173" t="n">
        <f aca="false">AC95</f>
        <v>1468.71713433889</v>
      </c>
      <c r="AC167" s="174" t="n">
        <f aca="false">AC94</f>
        <v>0</v>
      </c>
      <c r="AD167" s="171"/>
      <c r="AE167" s="171"/>
      <c r="AF167" s="174" t="n">
        <f aca="false">AC96</f>
        <v>1468.71713433889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5760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5760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5760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5760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12860.4262026159</v>
      </c>
      <c r="B182" s="99" t="str">
        <f aca="false">B114</f>
        <v>239.99</v>
      </c>
      <c r="C182" s="99"/>
      <c r="D182" s="23"/>
      <c r="E182" s="99" t="n">
        <f aca="false">E179+A182+B182+A185</f>
        <v>80840.4202026159</v>
      </c>
      <c r="F182" s="23"/>
      <c r="G182" s="23"/>
      <c r="H182" s="101"/>
      <c r="J182" s="107" t="n">
        <f aca="false">(J167*K59)+N185-N179-J185</f>
        <v>19318.6283606416</v>
      </c>
      <c r="K182" s="99" t="n">
        <f aca="false">K114</f>
        <v>239.99</v>
      </c>
      <c r="L182" s="99"/>
      <c r="M182" s="23"/>
      <c r="N182" s="99" t="n">
        <f aca="false">N179+J182+K182+J185</f>
        <v>57233.6183606416</v>
      </c>
      <c r="O182" s="23"/>
      <c r="P182" s="23"/>
      <c r="Q182" s="101"/>
      <c r="S182" s="107" t="n">
        <f aca="false">(S167*T59)+W185-W179-S185</f>
        <v>13044.5045547605</v>
      </c>
      <c r="T182" s="99" t="n">
        <f aca="false">T114</f>
        <v>199.99</v>
      </c>
      <c r="U182" s="99"/>
      <c r="V182" s="23"/>
      <c r="W182" s="99" t="n">
        <f aca="false">W179+S182+T182+S185</f>
        <v>72638.9320447605</v>
      </c>
      <c r="X182" s="23"/>
      <c r="Y182" s="23"/>
      <c r="Z182" s="101"/>
      <c r="AB182" s="107" t="n">
        <f aca="false">(AB167*AC59)+AF185-AF179-AB185</f>
        <v>10227.6335675223</v>
      </c>
      <c r="AC182" s="99" t="n">
        <f aca="false">AC114</f>
        <v>239.99</v>
      </c>
      <c r="AD182" s="99"/>
      <c r="AE182" s="23"/>
      <c r="AF182" s="99" t="n">
        <f aca="false">AF179+AB182+AC182+AB185</f>
        <v>55946.3725675223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2239.99</v>
      </c>
      <c r="C185" s="99"/>
      <c r="D185" s="23"/>
      <c r="E185" s="99" t="n">
        <f aca="false">E170+A185</f>
        <v>5770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5780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5770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5770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H15*0.000002, 0)</f>
        <v>0</v>
      </c>
      <c r="B188" s="99" t="n">
        <f aca="false">(G158*B67)/1.2</f>
        <v>552.65801875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652.649685416667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1584.55051424132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1511.00236163194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2200.89500595929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1960.8512366106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1468.71713433889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2200.89500595929</v>
      </c>
      <c r="B212" s="174" t="str">
        <f aca="false">B167</f>
        <v>0</v>
      </c>
      <c r="C212" s="171"/>
      <c r="D212" s="171"/>
      <c r="E212" s="174" t="n">
        <f aca="false">E167</f>
        <v>2200.89500595929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12860.4262026159</v>
      </c>
      <c r="B224" s="99" t="str">
        <f aca="false">B182</f>
        <v>239.99</v>
      </c>
      <c r="C224" s="99"/>
      <c r="D224" s="109"/>
      <c r="E224" s="99" t="n">
        <f aca="false">E182</f>
        <v>80840.4202026159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2200.89500595929</v>
      </c>
      <c r="B230" s="99" t="str">
        <f aca="false">B167</f>
        <v>0</v>
      </c>
      <c r="C230" s="183"/>
      <c r="D230" s="183"/>
      <c r="E230" s="99" t="n">
        <f aca="false">E167</f>
        <v>2200.89500595929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5760</v>
      </c>
      <c r="B233" s="99" t="n">
        <f aca="false">E185</f>
        <v>5770</v>
      </c>
      <c r="C233" s="130"/>
      <c r="D233" s="130"/>
      <c r="E233" s="99" t="n">
        <f aca="false">J18*0.000006*100*1.2</f>
        <v>41.6772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0</v>
      </c>
      <c r="B236" s="99" t="n">
        <f aca="false">E233+A236</f>
        <v>41.6772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10406.8196854167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-563.197955833333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74830.4302026159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-563.197955833333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B26 E105 N105 W105 AF105 A111 J111 S111 AB111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75" zoomScaleNormal="7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16745.0</v>
      </c>
      <c r="C3" s="440" t="n">
        <v>0</v>
      </c>
      <c r="D3" s="440" t="n">
        <v>0.0</v>
      </c>
      <c r="E3" s="440"/>
      <c r="F3" s="440" t="n">
        <v>0.0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275.0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387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35.0</v>
      </c>
      <c r="P29" s="208"/>
    </row>
    <row r="30" customFormat="false" ht="17.9" hidden="false" customHeight="false" outlineLevel="0" collapsed="false">
      <c r="A30" s="31" t="s">
        <v>184</v>
      </c>
      <c r="B30" s="100" t="s">
        <v>400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3150.0</v>
      </c>
      <c r="P31" s="208"/>
    </row>
    <row r="32" customFormat="false" ht="34.8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350</v>
      </c>
      <c r="F32" s="130"/>
      <c r="G32" s="130"/>
      <c r="H32" s="33"/>
      <c r="I32" s="2" t="n">
        <v>0</v>
      </c>
      <c r="J32" s="29" t="s">
        <v>36</v>
      </c>
      <c r="K32" s="448" t="n">
        <v>2456.3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1288.32362534388</v>
      </c>
      <c r="F33" s="228"/>
      <c r="G33" s="228"/>
      <c r="H33" s="47"/>
      <c r="I33" s="2"/>
      <c r="J33" s="34" t="s">
        <v>351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1288.32362534388</v>
      </c>
      <c r="B36" s="228" t="str">
        <f aca="false">IF(B26="YES", K42, "0.00")</f>
        <v>0.00</v>
      </c>
      <c r="C36" s="228"/>
      <c r="D36" s="228"/>
      <c r="E36" s="228" t="n">
        <f aca="false">K31</f>
        <v>11520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33346.7474542194</v>
      </c>
      <c r="N39" s="1" t="n">
        <f aca="false">K39-L39</f>
        <v>15530.7525457806</v>
      </c>
      <c r="P39" s="208"/>
    </row>
    <row r="40" customFormat="false" ht="17.35" hidden="false" customHeight="false" outlineLevel="0" collapsed="false">
      <c r="A40" s="312" t="n">
        <f aca="false">E36*A45/100</f>
        <v>11520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9600</v>
      </c>
      <c r="L40" s="2" t="n">
        <f aca="false">K39-L39</f>
        <v>15530.7525457806</v>
      </c>
      <c r="N40" s="1" t="n">
        <f aca="false">N38-N39</f>
        <v>-12619.0725457806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7903.3705791501</v>
      </c>
      <c r="L44" s="2"/>
      <c r="P44" s="208"/>
    </row>
    <row r="45" customFormat="false" ht="17.35" hidden="false" customHeight="false" outlineLevel="0" collapsed="false">
      <c r="A45" s="506" t="n">
        <v>100.0</v>
      </c>
      <c r="B45" s="130"/>
      <c r="C45" s="505" t="n">
        <v>100.0</v>
      </c>
      <c r="D45" s="505"/>
      <c r="E45" s="505"/>
      <c r="F45" s="130"/>
      <c r="G45" s="130"/>
      <c r="H45" s="33"/>
      <c r="J45" s="2" t="s">
        <v>362</v>
      </c>
      <c r="K45" s="2" t="n">
        <f aca="false">(K39-K44)</f>
        <v>40974.1294208499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1288.32362534388</v>
      </c>
      <c r="L47" s="2" t="n">
        <f aca="false">L49-K42</f>
        <v>800</v>
      </c>
      <c r="M47" s="1" t="n">
        <f aca="false">K47-L47</f>
        <v>488.323625343883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1288.32362534388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1288.32362534388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24885.8287081421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6122.30147360575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16841.2772526061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108.717775367841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1288.32362534388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1288.32362534388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1288.32362534388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1288.32362534388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67730.004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A40</f>
        <v>11520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11520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11520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5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8250.42734542617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7877.982201189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7877.982201189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28.8995114056174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59479.5766545738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51506.455288811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37590.766798811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2058.15163515229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1821.5471805777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1329.41307830599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69977.155595178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61932.604139642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45200.0446624037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69977.155595178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61932.604139642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45200.0446624037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89" t="str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2058.15163515229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1821.5471805777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1329.41307830599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(B94+B95)</f>
        <v>2058.15163515229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1821.5471805777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1329.41307830599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387</v>
      </c>
      <c r="F105" s="100"/>
      <c r="G105" s="10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398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387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-1000.0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173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0.0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2058.15163515229</v>
      </c>
      <c r="B167" s="174" t="str">
        <f aca="false">B94</f>
        <v>0</v>
      </c>
      <c r="C167" s="171"/>
      <c r="D167" s="171"/>
      <c r="E167" s="174" t="n">
        <f aca="false">B96</f>
        <v>2058.15163515229</v>
      </c>
      <c r="F167" s="23"/>
      <c r="G167" s="23"/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1821.5471805777</v>
      </c>
      <c r="T167" s="174" t="n">
        <f aca="false">T94</f>
        <v>0</v>
      </c>
      <c r="U167" s="171"/>
      <c r="V167" s="171"/>
      <c r="W167" s="174" t="n">
        <f aca="false">T96</f>
        <v>1821.5471805777</v>
      </c>
      <c r="X167" s="23"/>
      <c r="Y167" s="23"/>
      <c r="Z167" s="33"/>
      <c r="AB167" s="173" t="n">
        <f aca="false">AC95</f>
        <v>1329.41307830599</v>
      </c>
      <c r="AC167" s="174" t="n">
        <f aca="false">AC94</f>
        <v>0</v>
      </c>
      <c r="AD167" s="171"/>
      <c r="AE167" s="171"/>
      <c r="AF167" s="174" t="n">
        <f aca="false">AC96</f>
        <v>1329.41307830599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11520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11520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11520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11520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13767.151595178</v>
      </c>
      <c r="B182" s="99" t="str">
        <f aca="false">B114</f>
        <v>199.99</v>
      </c>
      <c r="C182" s="99"/>
      <c r="D182" s="23"/>
      <c r="E182" s="99" t="n">
        <f aca="false">E179+A182+B182+A185</f>
        <v>81707.145595178</v>
      </c>
      <c r="F182" s="23"/>
      <c r="G182" s="23"/>
      <c r="H182" s="101"/>
      <c r="J182" s="107" t="n">
        <f aca="false">(J167*K59)+N185-N179-J185</f>
        <v>25078.6283606416</v>
      </c>
      <c r="K182" s="99" t="n">
        <f aca="false">K114</f>
        <v>239.99</v>
      </c>
      <c r="L182" s="99"/>
      <c r="M182" s="23"/>
      <c r="N182" s="99" t="n">
        <f aca="false">N179+J182+K182+J185</f>
        <v>62993.6183606416</v>
      </c>
      <c r="O182" s="23"/>
      <c r="P182" s="23"/>
      <c r="Q182" s="101"/>
      <c r="S182" s="107" t="n">
        <f aca="false">(S167*T59)+W185-W179-S185</f>
        <v>14068.166649642</v>
      </c>
      <c r="T182" s="99" t="n">
        <f aca="false">T114</f>
        <v>199.99</v>
      </c>
      <c r="U182" s="99"/>
      <c r="V182" s="23"/>
      <c r="W182" s="99" t="n">
        <f aca="false">W179+S182+T182+S185</f>
        <v>73662.594139642</v>
      </c>
      <c r="X182" s="23"/>
      <c r="Y182" s="23"/>
      <c r="Z182" s="101"/>
      <c r="AB182" s="107" t="n">
        <f aca="false">(AB167*AC59)+AF185-AF179-AB185</f>
        <v>11251.2956624037</v>
      </c>
      <c r="AC182" s="99" t="n">
        <f aca="false">AC114</f>
        <v>239.99</v>
      </c>
      <c r="AD182" s="99"/>
      <c r="AE182" s="23"/>
      <c r="AF182" s="99" t="n">
        <f aca="false">AF179+AB182+AC182+AB185</f>
        <v>56970.0346624037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2239.988</v>
      </c>
      <c r="C185" s="99"/>
      <c r="D185" s="23"/>
      <c r="E185" s="99" t="n">
        <f aca="false">E170+A185</f>
        <v>11530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11540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11530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11530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552.65801875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652.64801875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1584.55051424132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1511.00236163194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2058.15163515229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1821.5471805777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1329.41307830599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2058.15163515229</v>
      </c>
      <c r="B212" s="174" t="str">
        <f aca="false">B167</f>
        <v>0</v>
      </c>
      <c r="C212" s="171"/>
      <c r="D212" s="171"/>
      <c r="E212" s="174" t="n">
        <f aca="false">E167</f>
        <v>2058.15163515229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13767.151595178</v>
      </c>
      <c r="B224" s="99" t="str">
        <f aca="false">B182</f>
        <v>199.99</v>
      </c>
      <c r="C224" s="99"/>
      <c r="D224" s="109"/>
      <c r="E224" s="99" t="n">
        <f aca="false">E182</f>
        <v>81707.145595178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2058.15163515229</v>
      </c>
      <c r="B230" s="99" t="str">
        <f aca="false">B167</f>
        <v>0</v>
      </c>
      <c r="C230" s="183"/>
      <c r="D230" s="183"/>
      <c r="E230" s="99" t="n">
        <f aca="false">E167</f>
        <v>2058.15163515229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11520</v>
      </c>
      <c r="B233" s="99" t="n">
        <f aca="false">E185</f>
        <v>11530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34.731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10406.81801875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-563.1996225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69977.155595178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-563.1996225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32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262" t="n">
        <v>46854.17</v>
      </c>
      <c r="C3" s="497" t="n">
        <v>0</v>
      </c>
      <c r="D3" s="262" t="n">
        <v>833.33</v>
      </c>
      <c r="E3" s="498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0" t="n">
        <v>0</v>
      </c>
      <c r="C4" s="0" t="n">
        <v>0</v>
      </c>
      <c r="D4" s="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7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8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345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19200</v>
      </c>
      <c r="I31" s="234" t="n">
        <f aca="false">IF(C107="YES",H31,0)</f>
        <v>19200</v>
      </c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350</v>
      </c>
      <c r="E32" s="212"/>
      <c r="F32" s="63"/>
      <c r="G32" s="214" t="s">
        <v>36</v>
      </c>
      <c r="I32" s="448" t="n">
        <v>4689.3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1256.6365051246</v>
      </c>
      <c r="E33" s="212"/>
      <c r="F33" s="63"/>
      <c r="G33" s="215" t="s">
        <v>351</v>
      </c>
      <c r="H33" s="459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1122.6565051246</v>
      </c>
      <c r="B36" s="99" t="n">
        <f aca="false">IF(B26="YES", H42, "")</f>
        <v>133.98</v>
      </c>
      <c r="C36" s="217"/>
      <c r="D36" s="181" t="n">
        <f aca="false">I31</f>
        <v>19200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87</v>
      </c>
      <c r="H39" s="234" t="n">
        <f aca="false">H33</f>
        <v>48877.5</v>
      </c>
      <c r="I39" s="234" t="n">
        <f aca="false">(I48*H46)+H44</f>
        <v>53437.0642878025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19200</v>
      </c>
      <c r="B40" s="103" t="n">
        <f aca="false">IF(B26="YES",H42,"0")</f>
        <v>133.98</v>
      </c>
      <c r="C40" s="103"/>
      <c r="D40" s="181" t="n">
        <f aca="false">I32</f>
        <v>4689.3</v>
      </c>
      <c r="E40" s="212"/>
      <c r="F40" s="63"/>
      <c r="G40" s="63" t="s">
        <v>109</v>
      </c>
      <c r="H40" s="234" t="n">
        <f aca="false">A40/1.2</f>
        <v>16000</v>
      </c>
      <c r="I40" s="234" t="n">
        <f aca="false">H39-I39</f>
        <v>-4559.56428780247</v>
      </c>
      <c r="J40" s="63" t="n">
        <v>30000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133.98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368</v>
      </c>
      <c r="H44" s="234" t="n">
        <f aca="false">(H40/(1+H41)^(H34+1))</f>
        <v>13172.2842985835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369</v>
      </c>
      <c r="H45" s="234" t="n">
        <f aca="false">(H39-H44)</f>
        <v>35705.2157014165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370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1122.6565051246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365</v>
      </c>
      <c r="H48" s="234" t="n">
        <f aca="false">IF(B26="YES", H47+H42, H47)</f>
        <v>1256.6365051246</v>
      </c>
      <c r="I48" s="234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1256.6365051246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291" t="s">
        <v>276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B62+(B62*0.25*(H29/12-1))</f>
        <v>0.103541666666667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277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5993.509375</v>
      </c>
      <c r="C64" s="211" t="n">
        <v>10000</v>
      </c>
      <c r="D64" s="290" t="n">
        <f aca="false">B64-A143</f>
        <v>5993.509375</v>
      </c>
      <c r="E64" s="212"/>
      <c r="F64" s="63"/>
      <c r="G64" s="284" t="s">
        <v>93</v>
      </c>
      <c r="H64" s="129" t="n">
        <f aca="false">H61*H63</f>
        <v>5993.509375</v>
      </c>
      <c r="I64" s="211"/>
      <c r="J64" s="290" t="n">
        <f aca="false">H64-G145</f>
        <v>5993.509375</v>
      </c>
      <c r="K64" s="212"/>
      <c r="L64" s="63"/>
      <c r="M64" s="284" t="s">
        <v>93</v>
      </c>
      <c r="N64" s="129" t="n">
        <f aca="false">N61*N63</f>
        <v>5993.509375</v>
      </c>
      <c r="O64" s="211"/>
      <c r="P64" s="290" t="n">
        <f aca="false">N64-M145</f>
        <v>5993.509375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0.0195833333333333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1133.58125</v>
      </c>
      <c r="C67" s="211"/>
      <c r="D67" s="290"/>
      <c r="E67" s="212"/>
      <c r="F67" s="63"/>
      <c r="G67" s="284" t="s">
        <v>96</v>
      </c>
      <c r="H67" s="129" t="n">
        <f aca="false">(H61*H66)/1.2</f>
        <v>944.651041666667</v>
      </c>
      <c r="I67" s="211"/>
      <c r="J67" s="290"/>
      <c r="K67" s="212"/>
      <c r="L67" s="63"/>
      <c r="M67" s="284" t="s">
        <v>96</v>
      </c>
      <c r="N67" s="129" t="n">
        <f aca="false">(N61*N66)/1.2</f>
        <v>944.651041666667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470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175</v>
      </c>
      <c r="C73" s="211"/>
      <c r="D73" s="290" t="n">
        <f aca="false">B73+B71</f>
        <v>375</v>
      </c>
      <c r="E73" s="212"/>
      <c r="F73" s="63"/>
      <c r="G73" s="284" t="s">
        <v>102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102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0" t="s">
        <v>278</v>
      </c>
      <c r="B74" s="431" t="n">
        <v>0</v>
      </c>
      <c r="C74" s="211"/>
      <c r="D74" s="211"/>
      <c r="E74" s="212"/>
      <c r="F74" s="63"/>
      <c r="G74" s="291" t="s">
        <v>278</v>
      </c>
      <c r="H74" s="297" t="n">
        <v>165</v>
      </c>
      <c r="I74" s="211"/>
      <c r="J74" s="211"/>
      <c r="K74" s="212"/>
      <c r="L74" s="63"/>
      <c r="M74" s="430" t="s">
        <v>278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2" t="s">
        <v>279</v>
      </c>
      <c r="B75" s="433" t="n">
        <v>0</v>
      </c>
      <c r="C75" s="211"/>
      <c r="D75" s="211"/>
      <c r="E75" s="212"/>
      <c r="F75" s="63"/>
      <c r="G75" s="294" t="s">
        <v>279</v>
      </c>
      <c r="H75" s="298" t="n">
        <v>0</v>
      </c>
      <c r="I75" s="211"/>
      <c r="J75" s="211"/>
      <c r="K75" s="212"/>
      <c r="L75" s="63"/>
      <c r="M75" s="432" t="s">
        <v>279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4" t="s">
        <v>280</v>
      </c>
      <c r="B76" s="435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280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280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281</v>
      </c>
      <c r="B77" s="12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281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281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282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282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7435.17604166667</v>
      </c>
      <c r="C81" s="211"/>
      <c r="D81" s="211"/>
      <c r="E81" s="212"/>
      <c r="F81" s="63"/>
      <c r="G81" s="302" t="s">
        <v>105</v>
      </c>
      <c r="H81" s="303" t="n">
        <f aca="false">SUM(J64:J80)</f>
        <v>7041.009375</v>
      </c>
      <c r="I81" s="211"/>
      <c r="J81" s="211"/>
      <c r="K81" s="212"/>
      <c r="L81" s="63"/>
      <c r="M81" s="302" t="s">
        <v>105</v>
      </c>
      <c r="N81" s="303" t="n">
        <f aca="false">SUM(P64:P80)</f>
        <v>6711.009375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212.433601190476</v>
      </c>
      <c r="C82" s="211"/>
      <c r="D82" s="211"/>
      <c r="E82" s="212"/>
      <c r="F82" s="63"/>
      <c r="G82" s="210" t="s">
        <v>106</v>
      </c>
      <c r="H82" s="299" t="n">
        <f aca="false">H81/H29</f>
        <v>201.171696428571</v>
      </c>
      <c r="I82" s="211"/>
      <c r="J82" s="211"/>
      <c r="K82" s="212"/>
      <c r="L82" s="63"/>
      <c r="M82" s="210" t="s">
        <v>106</v>
      </c>
      <c r="N82" s="299" t="n">
        <f aca="false">N81/H29</f>
        <v>191.743125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1122.6565051246</v>
      </c>
      <c r="C83" s="211"/>
      <c r="D83" s="211"/>
      <c r="E83" s="212"/>
      <c r="F83" s="63"/>
      <c r="G83" s="304" t="s">
        <v>107</v>
      </c>
      <c r="H83" s="305" t="n">
        <f aca="false">H47</f>
        <v>1122.6565051246</v>
      </c>
      <c r="I83" s="211"/>
      <c r="J83" s="211"/>
      <c r="K83" s="212"/>
      <c r="L83" s="63"/>
      <c r="M83" s="304" t="s">
        <v>107</v>
      </c>
      <c r="N83" s="305" t="n">
        <f aca="false">H47</f>
        <v>1122.6565051246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46728.1537210275</v>
      </c>
      <c r="C85" s="211"/>
      <c r="D85" s="211"/>
      <c r="E85" s="212"/>
      <c r="F85" s="63"/>
      <c r="G85" s="287" t="s">
        <v>117</v>
      </c>
      <c r="H85" s="127" t="n">
        <f aca="false">((H83*H29)+H81)*1.2</f>
        <v>55600.784465233</v>
      </c>
      <c r="I85" s="211"/>
      <c r="J85" s="211"/>
      <c r="K85" s="212"/>
      <c r="L85" s="63"/>
      <c r="M85" s="287" t="s">
        <v>117</v>
      </c>
      <c r="N85" s="127" t="n">
        <f aca="false">((N83*H29)+N81)</f>
        <v>46003.9870543609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(B85/(1-B70))*B70</f>
        <v>395.841560363686</v>
      </c>
      <c r="C86" s="211"/>
      <c r="D86" s="211"/>
      <c r="E86" s="212"/>
      <c r="F86" s="63"/>
      <c r="G86" s="210" t="s">
        <v>118</v>
      </c>
      <c r="H86" s="299" t="n">
        <f aca="false">((((H83*H29)+H81))/(1-H70))*H70</f>
        <v>392.502512360459</v>
      </c>
      <c r="I86" s="211"/>
      <c r="J86" s="211"/>
      <c r="K86" s="212"/>
      <c r="L86" s="63"/>
      <c r="M86" s="210" t="s">
        <v>118</v>
      </c>
      <c r="N86" s="299" t="n">
        <f aca="false">(N85/(1-N70))*N70</f>
        <v>389.707030311246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IF(B110="YES",((B85+B86)-E114),(B85+B86))</f>
        <v>47123.9952813912</v>
      </c>
      <c r="C87" s="211"/>
      <c r="D87" s="211"/>
      <c r="E87" s="212"/>
      <c r="F87" s="63"/>
      <c r="G87" s="284" t="s">
        <v>119</v>
      </c>
      <c r="H87" s="129" t="n">
        <f aca="false">IF(H110="YES",((H85+H86)-K114),(H85+H86))</f>
        <v>55993.2869775935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46393.6940846721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(D40+(D40*B105))/(B58), (D40+(D40*B105))/(B57+B58))*(C45/100)</f>
        <v>174.174</v>
      </c>
      <c r="C89" s="211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168.8148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140.679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1346.39986518261</v>
      </c>
      <c r="C90" s="211"/>
      <c r="D90" s="211"/>
      <c r="E90" s="212"/>
      <c r="F90" s="63"/>
      <c r="G90" s="307" t="s">
        <v>121</v>
      </c>
      <c r="H90" s="308" t="n">
        <f aca="false">IF(H99=Y98, (H87-J105)/(H58), H87/(H57+H58))</f>
        <v>1399.83217443984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1159.8423521168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1520.57386518261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1568.64697443984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1300.5213521168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339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209" t="s">
        <v>339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210" t="s">
        <v>128</v>
      </c>
      <c r="N98" s="211" t="s">
        <v>23</v>
      </c>
      <c r="O98" s="211"/>
      <c r="P98" s="211" t="s">
        <v>284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285</v>
      </c>
      <c r="B99" s="311" t="s">
        <v>131</v>
      </c>
      <c r="C99" s="311"/>
      <c r="D99" s="103" t="n">
        <v>1000</v>
      </c>
      <c r="E99" s="103"/>
      <c r="F99" s="63"/>
      <c r="G99" s="216" t="s">
        <v>285</v>
      </c>
      <c r="H99" s="311" t="s">
        <v>261</v>
      </c>
      <c r="I99" s="311"/>
      <c r="J99" s="103" t="n">
        <v>0</v>
      </c>
      <c r="K99" s="103"/>
      <c r="L99" s="63"/>
      <c r="M99" s="216" t="s">
        <v>285</v>
      </c>
      <c r="N99" s="311" t="s">
        <v>261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289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210" t="s">
        <v>287</v>
      </c>
      <c r="N101" s="211" t="s">
        <v>288</v>
      </c>
      <c r="O101" s="211"/>
      <c r="P101" s="211" t="s">
        <v>289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 t="s">
        <v>340</v>
      </c>
      <c r="C107" s="218" t="s">
        <v>18</v>
      </c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340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291</v>
      </c>
      <c r="B108" s="213"/>
      <c r="C108" s="213"/>
      <c r="D108" s="213"/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213" t="s">
        <v>291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292</v>
      </c>
      <c r="B110" s="218" t="s">
        <v>19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210" t="s">
        <v>292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(E118+E117)-D115</f>
        <v>-2800.01</v>
      </c>
      <c r="F119" s="63"/>
      <c r="G119" s="314" t="s">
        <v>293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293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213" t="s">
        <v>294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297</v>
      </c>
      <c r="H126" s="327" t="s">
        <v>298</v>
      </c>
      <c r="I126" s="327"/>
      <c r="J126" s="327" t="s">
        <v>299</v>
      </c>
      <c r="K126" s="212"/>
      <c r="L126" s="63"/>
      <c r="M126" s="326" t="s">
        <v>341</v>
      </c>
      <c r="N126" s="327" t="s">
        <v>248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332" t="n">
        <f aca="false">H90</f>
        <v>1399.83217443984</v>
      </c>
      <c r="H127" s="174" t="n">
        <f aca="false">IF(G105="YES", H89*H57, 0)</f>
        <v>1012.8888</v>
      </c>
      <c r="I127" s="174"/>
      <c r="J127" s="333" t="n">
        <f aca="false">H91</f>
        <v>1568.64697443984</v>
      </c>
      <c r="K127" s="212"/>
      <c r="L127" s="63"/>
      <c r="M127" s="332" t="n">
        <f aca="false">N90</f>
        <v>1159.8423521168</v>
      </c>
      <c r="N127" s="174" t="n">
        <f aca="false">IF(M105="YES", N89*N57, 0)</f>
        <v>844.074</v>
      </c>
      <c r="O127" s="174"/>
      <c r="P127" s="174" t="n">
        <f aca="false">N91</f>
        <v>1300.5213521168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1346.39986518261</v>
      </c>
      <c r="B128" s="320" t="n">
        <f aca="false">IF(A105="YES", B89, 0)</f>
        <v>174.174</v>
      </c>
      <c r="C128" s="324"/>
      <c r="D128" s="320" t="n">
        <f aca="false">B91</f>
        <v>1520.57386518261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1346.39986518261</v>
      </c>
      <c r="C131" s="316"/>
      <c r="D131" s="38" t="n">
        <f aca="false">IF(A105="YES", B89*B57, 0)</f>
        <v>174.174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210" t="s">
        <v>342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8398.99304663902</v>
      </c>
      <c r="H133" s="99" t="n">
        <f aca="false">IF(G105="YES", H89*H57, 0)</f>
        <v>1012.8888</v>
      </c>
      <c r="I133" s="217"/>
      <c r="J133" s="181" t="n">
        <f aca="false">H91*H57</f>
        <v>9411.88184663902</v>
      </c>
      <c r="K133" s="212"/>
      <c r="L133" s="63"/>
      <c r="M133" s="182" t="n">
        <f aca="false">N90*N57</f>
        <v>6959.05411270082</v>
      </c>
      <c r="N133" s="99" t="n">
        <f aca="false">IF(M105="YES", N89*N57, 0)</f>
        <v>844.074</v>
      </c>
      <c r="O133" s="217"/>
      <c r="P133" s="181" t="n">
        <f aca="false">N91*N57</f>
        <v>7803.12811270082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1520.57386518261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1346.39986518261</v>
      </c>
      <c r="B137" s="38" t="n">
        <f aca="false">IF(A105="YES", B89, 0)</f>
        <v>174.174</v>
      </c>
      <c r="C137" s="316"/>
      <c r="D137" s="38" t="n">
        <f aca="false">B91</f>
        <v>1520.57386518261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210" t="s">
        <v>142</v>
      </c>
      <c r="N138" s="211" t="s">
        <v>311</v>
      </c>
      <c r="O138" s="211"/>
      <c r="P138" s="211" t="s">
        <v>312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944.651041666667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944.651041666667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210" t="s">
        <v>314</v>
      </c>
      <c r="N141" s="211" t="s">
        <v>315</v>
      </c>
      <c r="O141" s="211"/>
      <c r="P141" s="211" t="s">
        <v>316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((B36*H105)*0.1)*(G130), 0)</f>
        <v>93.786</v>
      </c>
      <c r="H142" s="99" t="n">
        <f aca="false">G102-100</f>
        <v>99.99</v>
      </c>
      <c r="I142" s="99"/>
      <c r="J142" s="99" t="n">
        <f aca="false">(H139+J139+G142+H142)-H145</f>
        <v>1138.42704166667</v>
      </c>
      <c r="K142" s="101"/>
      <c r="L142" s="63"/>
      <c r="M142" s="107" t="n">
        <f aca="false">IF(M105="YES", ((B36*N105)*0.1)*(M130), 0)</f>
        <v>93.786</v>
      </c>
      <c r="N142" s="99" t="n">
        <f aca="false">M102-100</f>
        <v>99.99</v>
      </c>
      <c r="O142" s="99"/>
      <c r="P142" s="99" t="n">
        <f aca="false">(N139+P139+M142+N142)-N145</f>
        <v>1138.42704166667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210" t="s">
        <v>318</v>
      </c>
      <c r="N144" s="211" t="s">
        <v>319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343</v>
      </c>
      <c r="N147" s="163" t="s">
        <v>344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140.679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1774.25025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324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1568.64697443984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1300.5213521168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1520.57386518261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1346.39986518261</v>
      </c>
      <c r="B177" s="354" t="n">
        <f aca="false">IF(A105="YES", B89, 0)</f>
        <v>174.174</v>
      </c>
      <c r="C177" s="356"/>
      <c r="D177" s="354" t="n">
        <f aca="false">B91</f>
        <v>1520.57386518261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1346.39986518261</v>
      </c>
      <c r="C180" s="352"/>
      <c r="D180" s="99" t="n">
        <f aca="false">IF(A105="YES", B89*B57, 0)</f>
        <v>174.174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1520.57386518261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1346.39986518261</v>
      </c>
      <c r="B186" s="99" t="n">
        <f aca="false">IF(A105="YES", B89, 0)</f>
        <v>174.174</v>
      </c>
      <c r="C186" s="352"/>
      <c r="D186" s="99" t="n">
        <f aca="false">B91</f>
        <v>1520.57386518261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1133.58125</v>
      </c>
      <c r="B197" s="99" t="n">
        <f aca="false">B102</f>
        <v>400</v>
      </c>
      <c r="C197" s="99"/>
      <c r="D197" s="99" t="n">
        <f aca="false">IF(A105="YES", (B40*B105)*B125, 0)*0.1</f>
        <v>140.679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1774.25025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5993.509375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1133.58125</v>
      </c>
      <c r="C211" s="319" t="s">
        <v>217</v>
      </c>
      <c r="D211" s="369" t="n">
        <f aca="false">B225+E221+B221+B223</f>
        <v>1746.78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6606.708125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5993.509375</v>
      </c>
      <c r="C217" s="374" t="s">
        <v>221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1133.58125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6606.708125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1406.79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395.841560363686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331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332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39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262" t="n">
        <v>46854.17</v>
      </c>
      <c r="C3" s="497" t="n">
        <v>0</v>
      </c>
      <c r="D3" s="262" t="n">
        <v>833.33</v>
      </c>
      <c r="E3" s="498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0" t="n">
        <v>0</v>
      </c>
      <c r="C4" s="0" t="n">
        <v>0</v>
      </c>
      <c r="D4" s="0" t="n">
        <v>0</v>
      </c>
      <c r="E4" s="293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7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8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150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58345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22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345</v>
      </c>
      <c r="C30" s="169"/>
      <c r="D30" s="211"/>
      <c r="E30" s="212"/>
      <c r="F30" s="63"/>
      <c r="G30" s="214" t="s">
        <v>32</v>
      </c>
      <c r="H30" s="456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32275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350</v>
      </c>
      <c r="E32" s="212"/>
      <c r="F32" s="63"/>
      <c r="G32" s="214" t="s">
        <v>36</v>
      </c>
      <c r="I32" s="448" t="n">
        <v>497.42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8" t="n">
        <f aca="false">H48</f>
        <v>1229.8473192898</v>
      </c>
      <c r="E33" s="212"/>
      <c r="F33" s="63"/>
      <c r="G33" s="215" t="s">
        <v>351</v>
      </c>
      <c r="H33" s="459" t="n">
        <f aca="false">E21-E11+((E16*20%)+(E19*20%)+(E20*20%))</f>
        <v>48727.5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1207.2373192898</v>
      </c>
      <c r="B36" s="99" t="n">
        <f aca="false">IF(B26="YES", H42, "")</f>
        <v>22.61</v>
      </c>
      <c r="C36" s="217"/>
      <c r="D36" s="181" t="n">
        <f aca="false">H31</f>
        <v>32275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87</v>
      </c>
      <c r="H39" s="234" t="n">
        <f aca="false">H33</f>
        <v>48727.5</v>
      </c>
      <c r="I39" s="234" t="n">
        <f aca="false">(I48*H46)+H44</f>
        <v>52247.4507027204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32275</v>
      </c>
      <c r="B40" s="103" t="n">
        <f aca="false">IF(B26="YES",H42,"0")</f>
        <v>22.61</v>
      </c>
      <c r="C40" s="103"/>
      <c r="D40" s="181" t="n">
        <f aca="false">I32</f>
        <v>497.42</v>
      </c>
      <c r="E40" s="212"/>
      <c r="F40" s="63"/>
      <c r="G40" s="63" t="s">
        <v>109</v>
      </c>
      <c r="H40" s="234" t="n">
        <f aca="false">(A40)/1.2</f>
        <v>26895.8333333333</v>
      </c>
      <c r="I40" s="234" t="n">
        <f aca="false">H39-I39</f>
        <v>-3519.95070272039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22.61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368</v>
      </c>
      <c r="H44" s="234" t="n">
        <f aca="false">(H40/(1+H41)^(H34+1))</f>
        <v>23753.3659890178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509" t="n">
        <v>100</v>
      </c>
      <c r="D45" s="509"/>
      <c r="E45" s="212"/>
      <c r="F45" s="63"/>
      <c r="G45" s="63" t="s">
        <v>369</v>
      </c>
      <c r="H45" s="234" t="n">
        <f aca="false">(H39-H44)</f>
        <v>24974.1340109821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370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1207.2373192898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365</v>
      </c>
      <c r="H48" s="234" t="n">
        <f aca="false">IF(B26="YES", H47+H42, H47)</f>
        <v>1229.8473192898</v>
      </c>
      <c r="I48" s="234" t="n">
        <f aca="false">I49-H42</f>
        <v>1377.39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1229.8473192898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13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291" t="s">
        <v>276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B62+(B62*0.25*(H29/12-1))</f>
        <v>0.0845833333333333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277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4896.10625</v>
      </c>
      <c r="C64" s="211" t="n">
        <v>10000</v>
      </c>
      <c r="D64" s="290" t="n">
        <f aca="false">B64-A143</f>
        <v>4896.10625</v>
      </c>
      <c r="E64" s="465" t="n">
        <f aca="false">D64/(B58+B57)</f>
        <v>222.550284090909</v>
      </c>
      <c r="F64" s="63"/>
      <c r="G64" s="284" t="s">
        <v>93</v>
      </c>
      <c r="H64" s="129" t="n">
        <f aca="false">H61*H63</f>
        <v>4896.10625</v>
      </c>
      <c r="I64" s="211"/>
      <c r="J64" s="290" t="n">
        <f aca="false">H64-G145</f>
        <v>4896.10625</v>
      </c>
      <c r="K64" s="212"/>
      <c r="L64" s="63"/>
      <c r="M64" s="284" t="s">
        <v>93</v>
      </c>
      <c r="N64" s="129" t="n">
        <f aca="false">N61*N63</f>
        <v>4896.10625</v>
      </c>
      <c r="O64" s="211"/>
      <c r="P64" s="290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0.0141666666666667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820.0375</v>
      </c>
      <c r="C67" s="211"/>
      <c r="D67" s="290"/>
      <c r="E67" s="212"/>
      <c r="F67" s="63"/>
      <c r="G67" s="284" t="s">
        <v>96</v>
      </c>
      <c r="H67" s="129" t="n">
        <f aca="false">(H61*H66)/1.2</f>
        <v>683.364583333333</v>
      </c>
      <c r="I67" s="211"/>
      <c r="J67" s="290"/>
      <c r="K67" s="212"/>
      <c r="L67" s="63"/>
      <c r="M67" s="284" t="s">
        <v>96</v>
      </c>
      <c r="N67" s="129" t="n">
        <f aca="false">(N61*N66)/1.2</f>
        <v>683.364583333333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110</v>
      </c>
      <c r="C73" s="211"/>
      <c r="D73" s="290" t="n">
        <f aca="false">B73+B71</f>
        <v>310</v>
      </c>
      <c r="E73" s="212"/>
      <c r="F73" s="63"/>
      <c r="G73" s="284" t="s">
        <v>102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102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165</v>
      </c>
      <c r="C74" s="211"/>
      <c r="D74" s="211"/>
      <c r="E74" s="212"/>
      <c r="F74" s="63"/>
      <c r="G74" s="291" t="s">
        <v>278</v>
      </c>
      <c r="H74" s="297" t="n">
        <v>165</v>
      </c>
      <c r="I74" s="211"/>
      <c r="J74" s="211"/>
      <c r="K74" s="212"/>
      <c r="L74" s="63"/>
      <c r="M74" s="430" t="s">
        <v>278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355</v>
      </c>
      <c r="C75" s="211"/>
      <c r="D75" s="211"/>
      <c r="E75" s="212"/>
      <c r="F75" s="63"/>
      <c r="G75" s="294" t="s">
        <v>279</v>
      </c>
      <c r="H75" s="298" t="n">
        <v>0</v>
      </c>
      <c r="I75" s="211"/>
      <c r="J75" s="211"/>
      <c r="K75" s="212"/>
      <c r="L75" s="63"/>
      <c r="M75" s="432" t="s">
        <v>279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((B74+B75)/12)*(H29-11)</f>
        <v>476.666666666667</v>
      </c>
      <c r="C76" s="211"/>
      <c r="D76" s="290" t="n">
        <f aca="false">B76</f>
        <v>476.666666666667</v>
      </c>
      <c r="E76" s="212"/>
      <c r="F76" s="63"/>
      <c r="G76" s="284" t="s">
        <v>280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280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281</v>
      </c>
      <c r="B77" s="127" t="n">
        <f aca="false">B102/(1-0.1)</f>
        <v>444.444444444444</v>
      </c>
      <c r="C77" s="211"/>
      <c r="D77" s="290" t="n">
        <f aca="false">B77</f>
        <v>444.444444444444</v>
      </c>
      <c r="E77" s="465" t="n">
        <f aca="false">D77/(B58+B57)</f>
        <v>20.2020202020202</v>
      </c>
      <c r="F77" s="63"/>
      <c r="G77" s="291" t="s">
        <v>281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281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465"/>
      <c r="F78" s="63"/>
      <c r="G78" s="210" t="s">
        <v>282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282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465" t="n">
        <f aca="false">(D73+D76+D79+D80)/(B58+B57)</f>
        <v>53.9393939393939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6749.43958333333</v>
      </c>
      <c r="C81" s="211"/>
      <c r="D81" s="211"/>
      <c r="E81" s="465"/>
      <c r="F81" s="63"/>
      <c r="G81" s="302" t="s">
        <v>105</v>
      </c>
      <c r="H81" s="303" t="n">
        <f aca="false">SUM(J64:J80)</f>
        <v>5706.35625</v>
      </c>
      <c r="I81" s="211"/>
      <c r="J81" s="211"/>
      <c r="K81" s="212"/>
      <c r="L81" s="63"/>
      <c r="M81" s="302" t="s">
        <v>105</v>
      </c>
      <c r="N81" s="30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306.792708333333</v>
      </c>
      <c r="C82" s="211"/>
      <c r="D82" s="211"/>
      <c r="E82" s="465"/>
      <c r="F82" s="63"/>
      <c r="G82" s="210" t="s">
        <v>106</v>
      </c>
      <c r="H82" s="299" t="n">
        <f aca="false">H81/H29</f>
        <v>259.379829545455</v>
      </c>
      <c r="I82" s="211"/>
      <c r="J82" s="211"/>
      <c r="K82" s="212"/>
      <c r="L82" s="63"/>
      <c r="M82" s="210" t="s">
        <v>106</v>
      </c>
      <c r="N82" s="29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1207.2373192898</v>
      </c>
      <c r="C83" s="211"/>
      <c r="D83" s="211"/>
      <c r="E83" s="465" t="n">
        <f aca="false">B83+E80+E77+E64</f>
        <v>1503.92901752212</v>
      </c>
      <c r="F83" s="63"/>
      <c r="G83" s="304" t="s">
        <v>107</v>
      </c>
      <c r="H83" s="305" t="n">
        <f aca="false">H47</f>
        <v>1207.2373192898</v>
      </c>
      <c r="I83" s="211"/>
      <c r="J83" s="211"/>
      <c r="K83" s="212"/>
      <c r="L83" s="63"/>
      <c r="M83" s="304" t="s">
        <v>107</v>
      </c>
      <c r="N83" s="305" t="n">
        <f aca="false">H47</f>
        <v>1207.2373192898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((B83*H29)+B81)*1.2</f>
        <v>39970.3927292507</v>
      </c>
      <c r="C85" s="211"/>
      <c r="D85" s="211"/>
      <c r="E85" s="465" t="n">
        <f aca="false">B85/(B58+B57)</f>
        <v>1816.83603314776</v>
      </c>
      <c r="F85" s="63"/>
      <c r="G85" s="287" t="s">
        <v>117</v>
      </c>
      <c r="H85" s="127" t="n">
        <f aca="false">((H83*H29)+H81)*1.2</f>
        <v>38718.6927292507</v>
      </c>
      <c r="I85" s="211"/>
      <c r="J85" s="211"/>
      <c r="K85" s="212"/>
      <c r="L85" s="63"/>
      <c r="M85" s="287" t="s">
        <v>117</v>
      </c>
      <c r="N85" s="127" t="n">
        <f aca="false">((N83*H29)+N81)</f>
        <v>32114.3272743756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((((B83*H29)+B81))/(1-B70))*B70</f>
        <v>282.162917612702</v>
      </c>
      <c r="C86" s="211"/>
      <c r="D86" s="211"/>
      <c r="E86" s="465" t="n">
        <f aca="false">B86/(B58+B57)</f>
        <v>12.8255871642137</v>
      </c>
      <c r="F86" s="63"/>
      <c r="G86" s="210" t="s">
        <v>118</v>
      </c>
      <c r="H86" s="299" t="n">
        <f aca="false">((((H83*H29)+H81))/(1-H70))*H70</f>
        <v>273.326794175832</v>
      </c>
      <c r="I86" s="211"/>
      <c r="J86" s="211"/>
      <c r="K86" s="212"/>
      <c r="L86" s="63"/>
      <c r="M86" s="210" t="s">
        <v>118</v>
      </c>
      <c r="N86" s="299" t="n">
        <f aca="false">(N85/(1-N70))*N70</f>
        <v>272.045531569942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IF(B110="YES",((B85+B86)-E114),(B85+B86))</f>
        <v>40252.5556468634</v>
      </c>
      <c r="C87" s="211"/>
      <c r="D87" s="211"/>
      <c r="E87" s="465" t="n">
        <f aca="false">E86+E85</f>
        <v>1829.66162031197</v>
      </c>
      <c r="F87" s="63"/>
      <c r="G87" s="284" t="s">
        <v>119</v>
      </c>
      <c r="H87" s="129" t="n">
        <f aca="false">IF(H110="YES",((H85+H86)-K114),(H85+H86))</f>
        <v>38992.0195234265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32386.3728059455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(D40+(D40*B105))/(B58), (D40+(D40*B105))/(B57+B58))*1.2*(C45/100)</f>
        <v>32.5584</v>
      </c>
      <c r="C89" s="211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26.5290666666667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22.1075555555556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1829.66162031197</v>
      </c>
      <c r="C90" s="211"/>
      <c r="D90" s="211"/>
      <c r="E90" s="212"/>
      <c r="F90" s="63"/>
      <c r="G90" s="307" t="s">
        <v>121</v>
      </c>
      <c r="H90" s="308" t="n">
        <f aca="false">IF(H99=Y98, (H87-J105)/(H58), H87/(H57+H58))</f>
        <v>1444.14887123802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1199.49528910909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1862.22002031197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1470.67793790469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1221.60284466465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209" t="s">
        <v>339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210" t="s">
        <v>128</v>
      </c>
      <c r="N98" s="211" t="s">
        <v>23</v>
      </c>
      <c r="O98" s="211"/>
      <c r="P98" s="211" t="s">
        <v>284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285</v>
      </c>
      <c r="B99" s="311" t="s">
        <v>286</v>
      </c>
      <c r="C99" s="311"/>
      <c r="D99" s="103" t="n">
        <v>1000</v>
      </c>
      <c r="E99" s="103"/>
      <c r="F99" s="63"/>
      <c r="G99" s="216" t="s">
        <v>285</v>
      </c>
      <c r="H99" s="311" t="s">
        <v>261</v>
      </c>
      <c r="I99" s="311"/>
      <c r="J99" s="103" t="n">
        <v>0</v>
      </c>
      <c r="K99" s="103"/>
      <c r="L99" s="63"/>
      <c r="M99" s="216" t="s">
        <v>285</v>
      </c>
      <c r="N99" s="311" t="s">
        <v>261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289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210" t="s">
        <v>287</v>
      </c>
      <c r="N101" s="211" t="s">
        <v>288</v>
      </c>
      <c r="O101" s="211"/>
      <c r="P101" s="211" t="s">
        <v>289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s">
        <v>290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340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291</v>
      </c>
      <c r="B108" s="213"/>
      <c r="C108" s="213"/>
      <c r="D108" s="213"/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213" t="s">
        <v>291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292</v>
      </c>
      <c r="B110" s="218" t="s">
        <v>19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210" t="s">
        <v>292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((E118/1.2)+E117)-(D115-E113)</f>
        <v>-800.008333333333</v>
      </c>
      <c r="F119" s="63"/>
      <c r="G119" s="314" t="s">
        <v>293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293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213" t="s">
        <v>294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22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297</v>
      </c>
      <c r="H126" s="327" t="s">
        <v>298</v>
      </c>
      <c r="I126" s="327"/>
      <c r="J126" s="327" t="s">
        <v>299</v>
      </c>
      <c r="K126" s="212"/>
      <c r="L126" s="63"/>
      <c r="M126" s="326" t="s">
        <v>341</v>
      </c>
      <c r="N126" s="327" t="s">
        <v>248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332" t="n">
        <f aca="false">H90</f>
        <v>1444.14887123802</v>
      </c>
      <c r="H127" s="174" t="n">
        <f aca="false">IF(G105="YES", H89*H57, 0)</f>
        <v>159.1744</v>
      </c>
      <c r="I127" s="174"/>
      <c r="J127" s="333" t="n">
        <f aca="false">H91</f>
        <v>1470.67793790469</v>
      </c>
      <c r="K127" s="212"/>
      <c r="L127" s="63"/>
      <c r="M127" s="332" t="n">
        <f aca="false">N90</f>
        <v>1199.49528910909</v>
      </c>
      <c r="N127" s="174" t="n">
        <f aca="false">IF(M105="YES", N89*N57, 0)</f>
        <v>132.645333333333</v>
      </c>
      <c r="O127" s="174"/>
      <c r="P127" s="174" t="n">
        <f aca="false">N91</f>
        <v>1221.60284466465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1829.66162031197</v>
      </c>
      <c r="B128" s="320" t="n">
        <f aca="false">IF(A105="YES", B89, 0)</f>
        <v>32.5584</v>
      </c>
      <c r="C128" s="324"/>
      <c r="D128" s="320" t="n">
        <f aca="false">B91</f>
        <v>1862.22002031197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13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13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16466.9545828078</v>
      </c>
      <c r="C131" s="316"/>
      <c r="D131" s="38" t="n">
        <f aca="false">IF(A105="YES", B89*B57, 0)</f>
        <v>293.0256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210" t="s">
        <v>342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8664.89322742812</v>
      </c>
      <c r="H133" s="99" t="n">
        <f aca="false">IF(G105="YES", H89*H57, 0)</f>
        <v>159.1744</v>
      </c>
      <c r="I133" s="217"/>
      <c r="J133" s="181" t="n">
        <f aca="false">H91*H57</f>
        <v>8824.06762742812</v>
      </c>
      <c r="K133" s="212"/>
      <c r="L133" s="63"/>
      <c r="M133" s="182" t="n">
        <f aca="false">N90*N57</f>
        <v>7196.97173465456</v>
      </c>
      <c r="N133" s="99" t="n">
        <f aca="false">IF(M105="YES", N89*N57, 0)</f>
        <v>132.645333333333</v>
      </c>
      <c r="O133" s="217"/>
      <c r="P133" s="181" t="n">
        <f aca="false">N91*N57</f>
        <v>7329.6170679879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16759.9801828078</v>
      </c>
      <c r="B134" s="38" t="n">
        <f aca="false">E114</f>
        <v>4000</v>
      </c>
      <c r="C134" s="316"/>
      <c r="D134" s="336" t="n">
        <f aca="false">B58</f>
        <v>13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1829.66162031197</v>
      </c>
      <c r="B137" s="38" t="n">
        <f aca="false">IF(A105="YES", B89, 0)</f>
        <v>32.5584</v>
      </c>
      <c r="C137" s="316"/>
      <c r="D137" s="38" t="n">
        <f aca="false">B91</f>
        <v>1862.22002031197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210" t="s">
        <v>142</v>
      </c>
      <c r="N138" s="211" t="s">
        <v>311</v>
      </c>
      <c r="O138" s="211"/>
      <c r="P138" s="211" t="s">
        <v>312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210" t="s">
        <v>314</v>
      </c>
      <c r="N141" s="211" t="s">
        <v>315</v>
      </c>
      <c r="O141" s="211"/>
      <c r="P141" s="211" t="s">
        <v>316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((B36*H105)*0.1)*(G130), 0)</f>
        <v>9.9484</v>
      </c>
      <c r="H142" s="99" t="n">
        <f aca="false">G102-100</f>
        <v>99.99</v>
      </c>
      <c r="I142" s="99"/>
      <c r="J142" s="99" t="n">
        <f aca="false">(H139+J139+G142+H142)-H145</f>
        <v>793.302983333333</v>
      </c>
      <c r="K142" s="101"/>
      <c r="L142" s="63"/>
      <c r="M142" s="107" t="n">
        <f aca="false">IF(M105="YES", ((B36*N105)*0.1)*(M130), 0)</f>
        <v>9.9484</v>
      </c>
      <c r="N142" s="99" t="n">
        <f aca="false">M102-100</f>
        <v>99.99</v>
      </c>
      <c r="O142" s="99"/>
      <c r="P142" s="99" t="n">
        <f aca="false">(N139+P139+M142+N142)-N145</f>
        <v>793.302983333333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210" t="s">
        <v>318</v>
      </c>
      <c r="N144" s="211" t="s">
        <v>319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343</v>
      </c>
      <c r="N147" s="163" t="s">
        <v>344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820.0375</v>
      </c>
      <c r="B148" s="38" t="n">
        <f aca="false">B102</f>
        <v>400</v>
      </c>
      <c r="C148" s="38"/>
      <c r="D148" s="38" t="n">
        <f aca="false">IF(A105="YES", (B40*B105)*B125, 0)*0.1</f>
        <v>9.9484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1329.97756666667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324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1470.67793790469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1221.60284466465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1862.22002031197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23" t="n">
        <f aca="false">A161</f>
        <v>22</v>
      </c>
      <c r="C174" s="356"/>
      <c r="D174" s="323" t="n">
        <f aca="false">D125</f>
        <v>10000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1829.66162031197</v>
      </c>
      <c r="B177" s="354" t="n">
        <f aca="false">IF(A105="YES", B89, 0)</f>
        <v>32.5584</v>
      </c>
      <c r="C177" s="356"/>
      <c r="D177" s="354" t="n">
        <f aca="false">B91</f>
        <v>1862.22002031197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Terminal pause with 9 down </v>
      </c>
      <c r="B180" s="99" t="n">
        <f aca="false">B90*B57</f>
        <v>16466.9545828078</v>
      </c>
      <c r="C180" s="352"/>
      <c r="D180" s="99" t="n">
        <f aca="false">IF(A105="YES", B89*B57, 0)</f>
        <v>293.0256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16759.9801828078</v>
      </c>
      <c r="B183" s="99" t="n">
        <f aca="false">E114</f>
        <v>4000</v>
      </c>
      <c r="C183" s="352"/>
      <c r="D183" s="360" t="n">
        <f aca="false">B58</f>
        <v>13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1829.66162031197</v>
      </c>
      <c r="B186" s="99" t="n">
        <f aca="false">IF(A105="YES", B89, 0)</f>
        <v>32.5584</v>
      </c>
      <c r="C186" s="352"/>
      <c r="D186" s="99" t="n">
        <f aca="false">B91</f>
        <v>1862.22002031197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820.0375</v>
      </c>
      <c r="B197" s="99" t="n">
        <f aca="false">B102</f>
        <v>400</v>
      </c>
      <c r="C197" s="99"/>
      <c r="D197" s="99" t="n">
        <f aca="false">IF(A105="YES", (B40*B105)*B125, 0)*0.1</f>
        <v>9.9484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(E118/1.2)-100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1329.97756666667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4896.10625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820.0375</v>
      </c>
      <c r="C211" s="319" t="s">
        <v>217</v>
      </c>
      <c r="D211" s="369" t="n">
        <f aca="false">B225+E221+B221+B223</f>
        <v>439.475666666667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4515.54441666667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4896.10625</v>
      </c>
      <c r="C217" s="374" t="s">
        <v>221</v>
      </c>
      <c r="D217" s="316"/>
      <c r="E217" s="375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820.0375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4515.54441666667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99.484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282.162917612702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331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332</v>
      </c>
      <c r="D235" s="385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37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262" t="n">
        <v>46854.17</v>
      </c>
      <c r="C3" s="497" t="n">
        <v>0.0</v>
      </c>
      <c r="D3" s="262" t="n">
        <v>833.33</v>
      </c>
      <c r="E3" s="498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0" t="n">
        <v>0.0</v>
      </c>
      <c r="C4" s="0" t="n">
        <v>0.0</v>
      </c>
      <c r="D4" s="0" t="n">
        <v>0.0</v>
      </c>
      <c r="E4" s="293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 t="n">
        <v>23125</v>
      </c>
      <c r="C9" s="485"/>
      <c r="D9" s="485"/>
      <c r="E9" s="507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 t="n">
        <v>0</v>
      </c>
      <c r="C11" s="487"/>
      <c r="D11" s="487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 t="n">
        <v>0</v>
      </c>
      <c r="C13" s="487"/>
      <c r="D13" s="487"/>
      <c r="E13" s="498" t="n">
        <v>585.0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8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22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345</v>
      </c>
      <c r="C30" s="169"/>
      <c r="D30" s="211"/>
      <c r="E30" s="212"/>
      <c r="F30" s="63"/>
      <c r="G30" s="214" t="s">
        <v>32</v>
      </c>
      <c r="H30" s="456" t="n">
        <v>22000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29500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350</v>
      </c>
      <c r="E32" s="212"/>
      <c r="F32" s="63"/>
      <c r="G32" s="214" t="s">
        <v>36</v>
      </c>
      <c r="I32" s="448" t="n">
        <v>831.6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8" t="n">
        <f aca="false">H48</f>
        <v>1351.01255628002</v>
      </c>
      <c r="E33" s="212"/>
      <c r="F33" s="63"/>
      <c r="G33" s="215" t="s">
        <v>351</v>
      </c>
      <c r="H33" s="459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1313.21255628002</v>
      </c>
      <c r="B36" s="99" t="n">
        <f aca="false">IF(B26="YES", H42, "")</f>
        <v>37.8</v>
      </c>
      <c r="C36" s="217"/>
      <c r="D36" s="181" t="n">
        <f aca="false">H31</f>
        <v>29500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87</v>
      </c>
      <c r="H39" s="234" t="n">
        <f aca="false">H33</f>
        <v>48877.5</v>
      </c>
      <c r="I39" s="234" t="n">
        <f aca="false">(I48*H46)+H44</f>
        <v>49890.90388072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29500</v>
      </c>
      <c r="B40" s="103" t="n">
        <f aca="false">IF(B26="YES",H42,"0")</f>
        <v>37.8</v>
      </c>
      <c r="C40" s="103"/>
      <c r="D40" s="181" t="n">
        <f aca="false">I32</f>
        <v>831.6</v>
      </c>
      <c r="E40" s="212"/>
      <c r="F40" s="63"/>
      <c r="G40" s="63" t="s">
        <v>109</v>
      </c>
      <c r="H40" s="234" t="n">
        <f aca="false">A40/1.2</f>
        <v>24583.3333333333</v>
      </c>
      <c r="I40" s="234" t="n">
        <f aca="false">H39-I39</f>
        <v>-1013.40388071995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37.8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368</v>
      </c>
      <c r="H44" s="234" t="n">
        <f aca="false">(H40/(1+H41)^(H34+1))</f>
        <v>21711.0548931379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369</v>
      </c>
      <c r="H45" s="234" t="n">
        <f aca="false">(H39-H44)</f>
        <v>27166.4451068621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370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1313.21255628002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365</v>
      </c>
      <c r="H48" s="234" t="n">
        <f aca="false">IF(B26="YES", H47+H42, H47)</f>
        <v>1351.01255628002</v>
      </c>
      <c r="I48" s="234" t="n">
        <f aca="false">I49-H42</f>
        <v>1362.2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1351.01255628002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13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291" t="s">
        <v>276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B62+(B62*0.25*((H29/12)-1))</f>
        <v>0.0845833333333333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277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4896.10625</v>
      </c>
      <c r="C64" s="464" t="n">
        <v>10000</v>
      </c>
      <c r="D64" s="290" t="n">
        <f aca="false">B64</f>
        <v>4896.10625</v>
      </c>
      <c r="E64" s="465" t="n">
        <f aca="false">D64/(B58+B57)</f>
        <v>222.550284090909</v>
      </c>
      <c r="F64" s="63"/>
      <c r="G64" s="284" t="s">
        <v>93</v>
      </c>
      <c r="H64" s="129" t="n">
        <f aca="false">H61*H63</f>
        <v>4896.10625</v>
      </c>
      <c r="I64" s="211"/>
      <c r="J64" s="290" t="n">
        <f aca="false">H64-G145</f>
        <v>4896.10625</v>
      </c>
      <c r="K64" s="212"/>
      <c r="L64" s="63"/>
      <c r="M64" s="284" t="s">
        <v>93</v>
      </c>
      <c r="N64" s="129" t="n">
        <f aca="false">N61*N63</f>
        <v>4896.10625</v>
      </c>
      <c r="O64" s="211"/>
      <c r="P64" s="290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0.0141666666666667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820.0375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683.364583333333</v>
      </c>
      <c r="I67" s="211"/>
      <c r="J67" s="290"/>
      <c r="K67" s="212"/>
      <c r="L67" s="63"/>
      <c r="M67" s="284" t="s">
        <v>96</v>
      </c>
      <c r="N67" s="129" t="n">
        <f aca="false">(N61*N66)/1.2</f>
        <v>683.364583333333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110</v>
      </c>
      <c r="C73" s="211"/>
      <c r="D73" s="471" t="n">
        <f aca="false">B73+B71</f>
        <v>310</v>
      </c>
      <c r="E73" s="212" t="s">
        <v>227</v>
      </c>
      <c r="F73" s="63"/>
      <c r="G73" s="284" t="s">
        <v>102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102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165</v>
      </c>
      <c r="C74" s="211"/>
      <c r="D74" s="211"/>
      <c r="E74" s="212"/>
      <c r="F74" s="63"/>
      <c r="G74" s="291" t="s">
        <v>278</v>
      </c>
      <c r="H74" s="297" t="n">
        <v>165</v>
      </c>
      <c r="I74" s="211"/>
      <c r="J74" s="211"/>
      <c r="K74" s="212"/>
      <c r="L74" s="63"/>
      <c r="M74" s="430" t="s">
        <v>278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355</v>
      </c>
      <c r="C75" s="211"/>
      <c r="D75" s="211"/>
      <c r="E75" s="212"/>
      <c r="F75" s="63"/>
      <c r="G75" s="294" t="s">
        <v>279</v>
      </c>
      <c r="H75" s="298" t="n">
        <v>0</v>
      </c>
      <c r="I75" s="211"/>
      <c r="J75" s="211"/>
      <c r="K75" s="212"/>
      <c r="L75" s="63"/>
      <c r="M75" s="432" t="s">
        <v>279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((B74+B75)/12)*(H29-11)</f>
        <v>476.666666666667</v>
      </c>
      <c r="C76" s="211"/>
      <c r="D76" s="290" t="n">
        <f aca="false">B76</f>
        <v>476.666666666667</v>
      </c>
      <c r="E76" s="212"/>
      <c r="F76" s="63"/>
      <c r="G76" s="284" t="s">
        <v>280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280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281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20.2020202020202</v>
      </c>
      <c r="F77" s="63"/>
      <c r="G77" s="291" t="s">
        <v>281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281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282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282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53.9393939393939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6749.43958333333</v>
      </c>
      <c r="C81" s="472"/>
      <c r="D81" s="473"/>
      <c r="E81" s="465"/>
      <c r="F81" s="63"/>
      <c r="G81" s="302" t="s">
        <v>105</v>
      </c>
      <c r="H81" s="303" t="n">
        <f aca="false">SUM(J64:J80)</f>
        <v>5706.35625</v>
      </c>
      <c r="I81" s="211"/>
      <c r="J81" s="211"/>
      <c r="K81" s="212"/>
      <c r="L81" s="63"/>
      <c r="M81" s="302" t="s">
        <v>105</v>
      </c>
      <c r="N81" s="30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306.792708333333</v>
      </c>
      <c r="C82" s="472"/>
      <c r="D82" s="211"/>
      <c r="E82" s="465"/>
      <c r="F82" s="63"/>
      <c r="G82" s="210" t="s">
        <v>106</v>
      </c>
      <c r="H82" s="299" t="n">
        <f aca="false">H81/H29</f>
        <v>259.379829545455</v>
      </c>
      <c r="I82" s="211"/>
      <c r="J82" s="211"/>
      <c r="K82" s="212"/>
      <c r="L82" s="63"/>
      <c r="M82" s="210" t="s">
        <v>106</v>
      </c>
      <c r="N82" s="29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1313.21255628002</v>
      </c>
      <c r="C83" s="472"/>
      <c r="D83" s="211"/>
      <c r="E83" s="465" t="n">
        <f aca="false">B83+E80+E77+E64</f>
        <v>1609.90425451234</v>
      </c>
      <c r="F83" s="63"/>
      <c r="G83" s="304" t="s">
        <v>107</v>
      </c>
      <c r="H83" s="305" t="n">
        <f aca="false">H47</f>
        <v>1313.21255628002</v>
      </c>
      <c r="I83" s="211"/>
      <c r="J83" s="211"/>
      <c r="K83" s="212"/>
      <c r="L83" s="63"/>
      <c r="M83" s="304" t="s">
        <v>107</v>
      </c>
      <c r="N83" s="305" t="n">
        <f aca="false">H47</f>
        <v>1313.21255628002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35640.1158214938</v>
      </c>
      <c r="C85" s="472"/>
      <c r="D85" s="472"/>
      <c r="E85" s="465" t="n">
        <f aca="false">B85/(B58+B57)</f>
        <v>1620.00526461335</v>
      </c>
      <c r="F85" s="63"/>
      <c r="G85" s="287" t="s">
        <v>117</v>
      </c>
      <c r="H85" s="127" t="n">
        <f aca="false">((H83*H29)+H81)*1.2</f>
        <v>41516.4389857925</v>
      </c>
      <c r="I85" s="211"/>
      <c r="J85" s="211"/>
      <c r="K85" s="212"/>
      <c r="L85" s="63"/>
      <c r="M85" s="287" t="s">
        <v>117</v>
      </c>
      <c r="N85" s="127" t="n">
        <f aca="false">((N83*H29)+N81)</f>
        <v>34445.7824881604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301.913042457188</v>
      </c>
      <c r="C86" s="472" t="s">
        <v>230</v>
      </c>
      <c r="D86" s="211"/>
      <c r="E86" s="465" t="n">
        <f aca="false">B86/(B58+B57)</f>
        <v>13.7233201116904</v>
      </c>
      <c r="F86" s="63"/>
      <c r="G86" s="210" t="s">
        <v>118</v>
      </c>
      <c r="H86" s="299" t="n">
        <f aca="false">((((H83*H29)+H81))/(1-H70))*H70</f>
        <v>293.076919020318</v>
      </c>
      <c r="I86" s="211"/>
      <c r="J86" s="211"/>
      <c r="K86" s="212"/>
      <c r="L86" s="63"/>
      <c r="M86" s="210" t="s">
        <v>118</v>
      </c>
      <c r="N86" s="299" t="n">
        <f aca="false">(N85/(1-N70))*N70</f>
        <v>291.795656414429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35942.028863951</v>
      </c>
      <c r="C87" s="472"/>
      <c r="D87" s="474"/>
      <c r="E87" s="465" t="n">
        <f aca="false">E86+E85</f>
        <v>1633.72858472504</v>
      </c>
      <c r="F87" s="63"/>
      <c r="G87" s="284" t="s">
        <v>119</v>
      </c>
      <c r="H87" s="129" t="n">
        <f aca="false">IF(H110="YES",((H85+H86)-K114),(H85+H86))</f>
        <v>41809.5159048128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34737.5781445749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49.14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44.352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36.96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1633.72858472504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1548.50058906714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1286.57696831759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1682.86858472504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1592.85258906714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1323.53696831759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209" t="s">
        <v>339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372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210" t="s">
        <v>128</v>
      </c>
      <c r="N98" s="211" t="s">
        <v>23</v>
      </c>
      <c r="O98" s="211"/>
      <c r="P98" s="211" t="s">
        <v>284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285</v>
      </c>
      <c r="B99" s="311" t="s">
        <v>286</v>
      </c>
      <c r="C99" s="311"/>
      <c r="D99" s="103" t="n">
        <v>1000</v>
      </c>
      <c r="E99" s="103"/>
      <c r="F99" s="63"/>
      <c r="G99" s="216" t="s">
        <v>285</v>
      </c>
      <c r="H99" s="311" t="s">
        <v>261</v>
      </c>
      <c r="I99" s="311"/>
      <c r="J99" s="103" t="n">
        <v>0</v>
      </c>
      <c r="K99" s="103"/>
      <c r="L99" s="63"/>
      <c r="M99" s="216" t="s">
        <v>285</v>
      </c>
      <c r="N99" s="311" t="s">
        <v>261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373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210" t="s">
        <v>287</v>
      </c>
      <c r="N101" s="211" t="s">
        <v>288</v>
      </c>
      <c r="O101" s="211"/>
      <c r="P101" s="211" t="s">
        <v>289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0.0</v>
      </c>
      <c r="C102" s="103"/>
      <c r="D102" s="103" t="n">
        <v>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s">
        <v>290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340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213" t="s">
        <v>291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292</v>
      </c>
      <c r="B110" s="218" t="s">
        <v>19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210" t="s">
        <v>292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IF(B110="YES",((E118*1.2)+E117)-E114,((E118*1.2)+E117))</f>
        <v>1239.988</v>
      </c>
      <c r="F119" s="63"/>
      <c r="G119" s="314" t="s">
        <v>293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293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213" t="s">
        <v>294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297</v>
      </c>
      <c r="H126" s="327" t="s">
        <v>298</v>
      </c>
      <c r="I126" s="327"/>
      <c r="J126" s="327" t="s">
        <v>299</v>
      </c>
      <c r="K126" s="212"/>
      <c r="L126" s="63"/>
      <c r="M126" s="326" t="s">
        <v>341</v>
      </c>
      <c r="N126" s="327" t="s">
        <v>248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332" t="n">
        <f aca="false">H90</f>
        <v>1548.50058906714</v>
      </c>
      <c r="H127" s="174" t="n">
        <f aca="false">IF(G105="YES", H89*H57, 0)</f>
        <v>266.112</v>
      </c>
      <c r="I127" s="174"/>
      <c r="J127" s="333" t="n">
        <f aca="false">H91</f>
        <v>1592.85258906714</v>
      </c>
      <c r="K127" s="212"/>
      <c r="L127" s="63"/>
      <c r="M127" s="332" t="n">
        <f aca="false">N90</f>
        <v>1286.57696831759</v>
      </c>
      <c r="N127" s="174" t="n">
        <f aca="false">IF(M105="YES", N89*N57, 0)</f>
        <v>221.76</v>
      </c>
      <c r="O127" s="174"/>
      <c r="P127" s="174" t="n">
        <f aca="false">N91</f>
        <v>1323.53696831759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1633.72858472504</v>
      </c>
      <c r="B128" s="320" t="n">
        <f aca="false">IF(A105="YES", B89, 0)</f>
        <v>49.14</v>
      </c>
      <c r="C128" s="324"/>
      <c r="D128" s="320" t="n">
        <f aca="false">B91</f>
        <v>1682.86858472504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13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13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14703.5572625254</v>
      </c>
      <c r="C131" s="316"/>
      <c r="D131" s="38" t="n">
        <f aca="false">IF(A105="YES", B89*B57, 0)</f>
        <v>442.26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210" t="s">
        <v>342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9291.00353440285</v>
      </c>
      <c r="H133" s="99" t="n">
        <f aca="false">IF(G105="YES", H89*H57, 0)</f>
        <v>266.112</v>
      </c>
      <c r="I133" s="217"/>
      <c r="J133" s="181" t="n">
        <f aca="false">H91*H57</f>
        <v>9557.11553440285</v>
      </c>
      <c r="K133" s="212"/>
      <c r="L133" s="63"/>
      <c r="M133" s="182" t="n">
        <f aca="false">N90*N57</f>
        <v>7719.46180990552</v>
      </c>
      <c r="N133" s="99" t="n">
        <f aca="false">IF(M105="YES", N89*N57, 0)</f>
        <v>221.76</v>
      </c>
      <c r="O133" s="217"/>
      <c r="P133" s="181" t="n">
        <f aca="false">N91*N57</f>
        <v>7941.22180990552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15145.8172625254</v>
      </c>
      <c r="B134" s="38" t="n">
        <f aca="false">E114</f>
        <v>4000</v>
      </c>
      <c r="C134" s="316"/>
      <c r="D134" s="336" t="n">
        <f aca="false">B58</f>
        <v>13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1633.72858472504</v>
      </c>
      <c r="B137" s="38" t="n">
        <f aca="false">IF(A105="YES", B89, 0)</f>
        <v>49.14</v>
      </c>
      <c r="C137" s="316"/>
      <c r="D137" s="38" t="n">
        <f aca="false">B91</f>
        <v>1682.86858472504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210" t="s">
        <v>142</v>
      </c>
      <c r="N138" s="211" t="s">
        <v>311</v>
      </c>
      <c r="O138" s="211"/>
      <c r="P138" s="211" t="s">
        <v>312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210" t="s">
        <v>314</v>
      </c>
      <c r="N141" s="211" t="s">
        <v>315</v>
      </c>
      <c r="O141" s="211"/>
      <c r="P141" s="211" t="s">
        <v>316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((B36*H105)*0.1)*(G130), 0)</f>
        <v>16.632</v>
      </c>
      <c r="H142" s="99" t="n">
        <f aca="false">G102-100</f>
        <v>99.99</v>
      </c>
      <c r="I142" s="99"/>
      <c r="J142" s="99" t="n">
        <f aca="false">(H139+J139+G142+H142)-H145</f>
        <v>799.986583333333</v>
      </c>
      <c r="K142" s="101"/>
      <c r="L142" s="63"/>
      <c r="M142" s="107" t="n">
        <f aca="false">IF(M105="YES", ((B36*N105)*0.1)*(M130), 0)</f>
        <v>16.632</v>
      </c>
      <c r="N142" s="99" t="n">
        <f aca="false">M102-100</f>
        <v>99.99</v>
      </c>
      <c r="O142" s="99"/>
      <c r="P142" s="99" t="n">
        <f aca="false">(N139+P139+M142+N142)-N145</f>
        <v>799.986583333333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210" t="s">
        <v>318</v>
      </c>
      <c r="N144" s="211" t="s">
        <v>319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343</v>
      </c>
      <c r="N147" s="163" t="s">
        <v>344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820.0375</v>
      </c>
      <c r="B148" s="99" t="n">
        <f aca="false">B102</f>
        <v>400</v>
      </c>
      <c r="C148" s="38"/>
      <c r="D148" s="38" t="n">
        <f aca="false">IF(A105="YES", (B40*B105)*B125, 0)*0.1</f>
        <v>24.948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1344.9755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324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1592.85258906714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1323.53696831759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1682.86858472504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386" t="s">
        <v>374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1633.72858472504</v>
      </c>
      <c r="B177" s="354" t="n">
        <f aca="false">IF(A105="YES", B89, 0)</f>
        <v>49.14</v>
      </c>
      <c r="C177" s="356"/>
      <c r="D177" s="354" t="n">
        <f aca="false">B91</f>
        <v>1682.86858472504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Terminal pause with 9 down </v>
      </c>
      <c r="B180" s="99" t="n">
        <f aca="false">B90*B57</f>
        <v>14703.5572625254</v>
      </c>
      <c r="C180" s="352"/>
      <c r="D180" s="99" t="n">
        <f aca="false">IF(A105="YES", B89*B57, 0)</f>
        <v>442.26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15145.8172625254</v>
      </c>
      <c r="B183" s="99" t="n">
        <f aca="false">E114</f>
        <v>4000</v>
      </c>
      <c r="C183" s="352"/>
      <c r="D183" s="360" t="n">
        <f aca="false">B58</f>
        <v>13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1633.72858472504</v>
      </c>
      <c r="B186" s="99" t="n">
        <f aca="false">IF(A105="YES", B89, 0)</f>
        <v>49.14</v>
      </c>
      <c r="C186" s="352"/>
      <c r="D186" s="99" t="n">
        <f aca="false">B91</f>
        <v>1682.86858472504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820.0375</v>
      </c>
      <c r="B197" s="99" t="n">
        <f aca="false">B102</f>
        <v>400</v>
      </c>
      <c r="C197" s="99"/>
      <c r="D197" s="99" t="n">
        <f aca="false">IF(A105="YES", (B40*B105)*B125, 0)*0.1</f>
        <v>24.948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1344.9755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4896.10625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820.0375</v>
      </c>
      <c r="C211" s="319" t="s">
        <v>217</v>
      </c>
      <c r="D211" s="369" t="n">
        <f aca="false">B225+E221+B221+B223</f>
        <v>589.47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4665.53875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4896.10625</v>
      </c>
      <c r="C217" s="374" t="s">
        <v>221</v>
      </c>
      <c r="D217" s="316"/>
      <c r="E217" s="375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820.0375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4665.53875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249.48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301.913042457188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331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332</v>
      </c>
      <c r="D235" s="385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9" colorId="64" zoomScale="75" zoomScaleNormal="7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6000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12</v>
      </c>
      <c r="B44" s="100" t="n">
        <v>1</v>
      </c>
      <c r="C44" s="100"/>
      <c r="D44" s="100" t="n">
        <v>1</v>
      </c>
      <c r="E44" s="100"/>
      <c r="F44" s="63"/>
      <c r="G44" s="63" t="s">
        <v>253</v>
      </c>
      <c r="H44" s="234" t="n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n">
        <v>0.01</v>
      </c>
      <c r="C47" s="428"/>
      <c r="D47" s="100" t="n">
        <v>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 t="s">
        <v>382</v>
      </c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18" t="s">
        <v>19</v>
      </c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273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84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12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/>
      <c r="D70" s="290" t="n">
        <f aca="false">B70-A151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v>0</v>
      </c>
      <c r="C84" s="211"/>
      <c r="D84" s="290" t="n">
        <f aca="false">B84</f>
        <v>0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4711.95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392.6625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10723.95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90.8442718838241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10814.7942718838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((H44*B35)+((H44*B35)*B111))/(B63+B64)</f>
        <v>31.304347826087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IF(B105=Y104, (B93-D111)/(B64), B93/(B63+B64))</f>
        <v>470.208446603645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501.512794429732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 t="s">
        <v>285</v>
      </c>
      <c r="B105" s="311" t="s">
        <v>264</v>
      </c>
      <c r="C105" s="311"/>
      <c r="D105" s="420" t="n">
        <v>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13" t="n">
        <v>0.2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/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19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0</v>
      </c>
      <c r="E118" s="103" t="n">
        <v>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0</v>
      </c>
      <c r="E119" s="103" t="n">
        <v>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0</v>
      </c>
      <c r="E120" s="164" t="n">
        <f aca="false">E118-E119</f>
        <v>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199.99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0"/>
      <c r="B129" s="211"/>
      <c r="C129" s="211"/>
      <c r="D129" s="211"/>
      <c r="E129" s="212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0" t="s">
        <v>184</v>
      </c>
      <c r="B130" s="169" t="n">
        <v>1200</v>
      </c>
      <c r="C130" s="169"/>
      <c r="D130" s="211"/>
      <c r="E130" s="212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0"/>
      <c r="B131" s="211"/>
      <c r="C131" s="211"/>
      <c r="D131" s="211"/>
      <c r="E131" s="212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0" t="s">
        <v>85</v>
      </c>
      <c r="B132" s="211" t="s">
        <v>86</v>
      </c>
      <c r="C132" s="211"/>
      <c r="D132" s="211" t="s">
        <v>88</v>
      </c>
      <c r="E132" s="212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4" t="n">
        <f aca="false">A158</f>
        <v>12</v>
      </c>
      <c r="B133" s="225" t="n">
        <f aca="false">B157</f>
        <v>5000</v>
      </c>
      <c r="C133" s="226"/>
      <c r="D133" s="225" t="n">
        <f aca="false">B64</f>
        <v>11</v>
      </c>
      <c r="E133" s="212"/>
      <c r="F133" s="63"/>
      <c r="G133" s="224" t="n">
        <f aca="false">G158</f>
        <v>12</v>
      </c>
      <c r="H133" s="225" t="n">
        <f aca="false">B157</f>
        <v>5000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5000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0"/>
      <c r="B134" s="211"/>
      <c r="C134" s="211"/>
      <c r="D134" s="211"/>
      <c r="E134" s="212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6" t="s">
        <v>341</v>
      </c>
      <c r="B135" s="327" t="s">
        <v>248</v>
      </c>
      <c r="C135" s="327"/>
      <c r="D135" s="327" t="s">
        <v>122</v>
      </c>
      <c r="E135" s="212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2" t="n">
        <f aca="false">B96</f>
        <v>470.208446603645</v>
      </c>
      <c r="B136" s="174" t="n">
        <f aca="false">IF(A111="YES", B95*B63, 0)</f>
        <v>375.652173913043</v>
      </c>
      <c r="C136" s="174"/>
      <c r="D136" s="174" t="n">
        <f aca="false">B97</f>
        <v>501.512794429732</v>
      </c>
      <c r="E136" s="212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0"/>
      <c r="B137" s="211"/>
      <c r="C137" s="211"/>
      <c r="D137" s="211"/>
      <c r="E137" s="212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0" t="s">
        <v>342</v>
      </c>
      <c r="B138" s="211" t="s">
        <v>239</v>
      </c>
      <c r="C138" s="211"/>
      <c r="D138" s="211" t="s">
        <v>242</v>
      </c>
      <c r="E138" s="212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2" t="n">
        <f aca="false">B96*B63</f>
        <v>5642.50135924373</v>
      </c>
      <c r="B139" s="99" t="n">
        <f aca="false">IF(A111="YES", B95*B63, 0)</f>
        <v>375.652173913043</v>
      </c>
      <c r="C139" s="217"/>
      <c r="D139" s="181" t="n">
        <f aca="false">B97*B63</f>
        <v>6018.15353315678</v>
      </c>
      <c r="E139" s="212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0"/>
      <c r="B140" s="211"/>
      <c r="C140" s="211"/>
      <c r="D140" s="211"/>
      <c r="E140" s="212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0" t="s">
        <v>250</v>
      </c>
      <c r="B141" s="211" t="s">
        <v>251</v>
      </c>
      <c r="C141" s="211"/>
      <c r="D141" s="211" t="s">
        <v>255</v>
      </c>
      <c r="E141" s="212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07" t="n">
        <f aca="false">E15*0.000006</f>
        <v>0.35115</v>
      </c>
      <c r="B142" s="99" t="n">
        <f aca="false">IF(A111="YES", E15*0.000002, 0)</f>
        <v>0.11705</v>
      </c>
      <c r="C142" s="99"/>
      <c r="D142" s="99" t="n">
        <f aca="false">A142+B142</f>
        <v>0.4682</v>
      </c>
      <c r="E142" s="101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0"/>
      <c r="B143" s="211"/>
      <c r="C143" s="211"/>
      <c r="D143" s="211"/>
      <c r="E143" s="212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0" t="s">
        <v>142</v>
      </c>
      <c r="B144" s="211" t="s">
        <v>311</v>
      </c>
      <c r="C144" s="211"/>
      <c r="D144" s="211" t="s">
        <v>312</v>
      </c>
      <c r="E144" s="212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07" t="n">
        <f aca="false">A108</f>
        <v>199.99</v>
      </c>
      <c r="B145" s="99" t="n">
        <f aca="false">B73/1.2</f>
        <v>482.375</v>
      </c>
      <c r="C145" s="99"/>
      <c r="D145" s="99" t="n">
        <f aca="false">B108*0.9</f>
        <v>0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0"/>
      <c r="B146" s="211"/>
      <c r="C146" s="211"/>
      <c r="D146" s="211"/>
      <c r="E146" s="212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0" t="s">
        <v>314</v>
      </c>
      <c r="B147" s="211" t="s">
        <v>315</v>
      </c>
      <c r="C147" s="211"/>
      <c r="D147" s="211" t="s">
        <v>316</v>
      </c>
      <c r="E147" s="212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IF(A111="YES", ((A41*B111)*0.1)*(A133), 0)</f>
        <v>12</v>
      </c>
      <c r="B148" s="99" t="n">
        <f aca="false">A108-100</f>
        <v>99.99</v>
      </c>
      <c r="C148" s="99"/>
      <c r="D148" s="99" t="n">
        <f aca="false">(B145+D145+A148+B148)-B151</f>
        <v>594.365</v>
      </c>
      <c r="E148" s="101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0"/>
      <c r="B149" s="211"/>
      <c r="C149" s="211"/>
      <c r="D149" s="211"/>
      <c r="E149" s="212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0" t="s">
        <v>318</v>
      </c>
      <c r="B150" s="211" t="s">
        <v>319</v>
      </c>
      <c r="C150" s="211"/>
      <c r="D150" s="211"/>
      <c r="E150" s="212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v>0</v>
      </c>
      <c r="B151" s="99" t="n">
        <f aca="false">(B145+D145+A148+B148)*(A151/B70)</f>
        <v>0</v>
      </c>
      <c r="C151" s="211"/>
      <c r="D151" s="211"/>
      <c r="E151" s="21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0"/>
      <c r="B152" s="211"/>
      <c r="C152" s="211"/>
      <c r="D152" s="211"/>
      <c r="E152" s="212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0"/>
      <c r="B153" s="211"/>
      <c r="C153" s="211"/>
      <c r="D153" s="211"/>
      <c r="E153" s="212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0" t="s">
        <v>324</v>
      </c>
      <c r="B154" s="211"/>
      <c r="C154" s="211"/>
      <c r="D154" s="281"/>
      <c r="E154" s="282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0"/>
      <c r="B155" s="245"/>
      <c r="C155" s="245"/>
      <c r="D155" s="211"/>
      <c r="E155" s="212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46" t="s">
        <v>85</v>
      </c>
      <c r="B156" s="247" t="s">
        <v>86</v>
      </c>
      <c r="C156" s="247"/>
      <c r="D156" s="211"/>
      <c r="E156" s="212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46"/>
      <c r="B157" s="248" t="n">
        <f aca="false">B57</f>
        <v>5000</v>
      </c>
      <c r="C157" s="248"/>
      <c r="D157" s="211"/>
      <c r="E157" s="212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0" t="n">
        <f aca="false">A58</f>
        <v>12</v>
      </c>
      <c r="B158" s="74" t="n">
        <f aca="false">B97</f>
        <v>501.512794429732</v>
      </c>
      <c r="C158" s="74"/>
      <c r="D158" s="211"/>
      <c r="E158" s="212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0"/>
      <c r="B159" s="211"/>
      <c r="C159" s="211"/>
      <c r="D159" s="211"/>
      <c r="E159" s="212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0"/>
      <c r="B160" s="211"/>
      <c r="C160" s="211"/>
      <c r="D160" s="211"/>
      <c r="E160" s="212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0"/>
      <c r="B161" s="211"/>
      <c r="C161" s="211"/>
      <c r="D161" s="211"/>
      <c r="E161" s="212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0"/>
      <c r="B162" s="211"/>
      <c r="C162" s="211"/>
      <c r="D162" s="211"/>
      <c r="E162" s="212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D148" activeCellId="0" sqref="D14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510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142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n">
        <f aca="false">IF(B38="YES", D38+A41, D38)</f>
        <v>500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250</v>
      </c>
      <c r="B43" s="236" t="s">
        <v>251</v>
      </c>
      <c r="C43" s="226"/>
      <c r="D43" s="236" t="s">
        <v>255</v>
      </c>
      <c r="E43" s="239"/>
      <c r="F43" s="63"/>
      <c r="G43" s="63" t="s">
        <v>252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0</v>
      </c>
      <c r="C44" s="100"/>
      <c r="D44" s="278" t="n">
        <f aca="false">A44+B44</f>
        <v>1</v>
      </c>
      <c r="E44" s="278"/>
      <c r="F44" s="63"/>
      <c r="G44" s="63" t="s">
        <v>253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273</v>
      </c>
      <c r="B46" s="226"/>
      <c r="C46" s="226"/>
      <c r="D46" s="226"/>
      <c r="E46" s="239"/>
      <c r="F46" s="63"/>
      <c r="G46" s="63" t="s">
        <v>258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1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11</v>
      </c>
      <c r="C58" s="211" t="s">
        <v>274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4051.95</v>
      </c>
      <c r="C64" s="211" t="n">
        <v>10000</v>
      </c>
      <c r="D64" s="290" t="n">
        <f aca="false">B64</f>
        <v>4051.95</v>
      </c>
      <c r="E64" s="212"/>
      <c r="F64" s="63"/>
      <c r="G64" s="284" t="s">
        <v>93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578.85</v>
      </c>
      <c r="C67" s="211"/>
      <c r="D67" s="290"/>
      <c r="E67" s="212"/>
      <c r="F67" s="63"/>
      <c r="G67" s="284" t="s">
        <v>96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0</v>
      </c>
      <c r="C74" s="211"/>
      <c r="D74" s="211"/>
      <c r="E74" s="212"/>
      <c r="F74" s="63"/>
      <c r="G74" s="291" t="s">
        <v>278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279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280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281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281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282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5378.61666666667</v>
      </c>
      <c r="C81" s="211"/>
      <c r="D81" s="211"/>
      <c r="E81" s="212"/>
      <c r="F81" s="63"/>
      <c r="G81" s="302" t="s">
        <v>105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448.218055555556</v>
      </c>
      <c r="C82" s="211"/>
      <c r="D82" s="211"/>
      <c r="E82" s="212"/>
      <c r="F82" s="63"/>
      <c r="G82" s="210" t="s">
        <v>106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((B83*(H29)+B81))*1.2</f>
        <v>13668.74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(((B83*(H29))+B81)/(1-B70))*B70</f>
        <v>96.4917103670835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9765.23171036708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120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813.769309197257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1171.69258941778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813.769309197257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1171.69258941778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285</v>
      </c>
      <c r="B99" s="311" t="s">
        <v>131</v>
      </c>
      <c r="C99" s="311"/>
      <c r="D99" s="103" t="n">
        <v>1000</v>
      </c>
      <c r="E99" s="103"/>
      <c r="F99" s="63"/>
      <c r="G99" s="216" t="s">
        <v>285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289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259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260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261</v>
      </c>
      <c r="AA104" s="63"/>
    </row>
    <row r="105" customFormat="false" ht="18.75" hidden="false" customHeight="true" outlineLevel="0" collapsed="false">
      <c r="A105" s="218" t="s">
        <v>19</v>
      </c>
      <c r="B105" s="311" t="n">
        <v>0</v>
      </c>
      <c r="C105" s="311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262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264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265</v>
      </c>
      <c r="AA107" s="63"/>
    </row>
    <row r="108" customFormat="false" ht="18.75" hidden="false" customHeight="true" outlineLevel="0" collapsed="false">
      <c r="A108" s="213" t="s">
        <v>291</v>
      </c>
      <c r="B108" s="213"/>
      <c r="C108" s="213"/>
      <c r="D108" s="213"/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266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267</v>
      </c>
    </row>
    <row r="110" customFormat="false" ht="18.75" hidden="false" customHeight="true" outlineLevel="0" collapsed="false">
      <c r="A110" s="210" t="s">
        <v>292</v>
      </c>
      <c r="B110" s="218" t="s">
        <v>18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(E118+E117)-D115</f>
        <v>-2760.012</v>
      </c>
      <c r="F119" s="63"/>
      <c r="G119" s="314" t="s">
        <v>293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813.769309197257</v>
      </c>
      <c r="B128" s="320" t="n">
        <f aca="false">IF(A105="YES", B89, 0)</f>
        <v>0</v>
      </c>
      <c r="C128" s="325"/>
      <c r="D128" s="320" t="n">
        <f aca="false">B91</f>
        <v>813.769309197257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297</v>
      </c>
      <c r="H129" s="327" t="s">
        <v>298</v>
      </c>
      <c r="I129" s="327"/>
      <c r="J129" s="327" t="s">
        <v>299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332" t="n">
        <f aca="false">H90</f>
        <v>1171.69258941778</v>
      </c>
      <c r="H130" s="174" t="n">
        <f aca="false">IF(G105="YES", H89*H57, 0)</f>
        <v>0</v>
      </c>
      <c r="I130" s="174"/>
      <c r="J130" s="333" t="n">
        <f aca="false">H91</f>
        <v>1171.69258941778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813.769309197257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1171.69258941778</v>
      </c>
      <c r="H133" s="99" t="n">
        <f aca="false">IF(G105="YES", H89*H57, 0)</f>
        <v>0</v>
      </c>
      <c r="I133" s="217"/>
      <c r="J133" s="181" t="n">
        <f aca="false">H91*H57</f>
        <v>1171.69258941778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813.769309197257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813.769309197257</v>
      </c>
      <c r="B137" s="38" t="n">
        <f aca="false">IF(A105="YES", B89, 0)</f>
        <v>0</v>
      </c>
      <c r="C137" s="316"/>
      <c r="D137" s="38" t="n">
        <f aca="false">B91</f>
        <v>813.769309197257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1509.413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1171.69258941778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813.769309197257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285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295</v>
      </c>
      <c r="C170" s="354"/>
      <c r="D170" s="353" t="s">
        <v>296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813.769309197257</v>
      </c>
      <c r="B171" s="354" t="n">
        <f aca="false">IF(A105="YES", B89, 0)</f>
        <v>0</v>
      </c>
      <c r="C171" s="357"/>
      <c r="D171" s="354" t="n">
        <f aca="false">B91</f>
        <v>813.769309197257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6"/>
      <c r="D173" s="358" t="s">
        <v>301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Monthly in advance </v>
      </c>
      <c r="B174" s="99" t="n">
        <f aca="false">B90*B57</f>
        <v>813.769309197257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305</v>
      </c>
      <c r="B176" s="163" t="s">
        <v>306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813.769309197257</v>
      </c>
      <c r="B177" s="99" t="n">
        <f aca="false">E114</f>
        <v>4000</v>
      </c>
      <c r="C177" s="352"/>
      <c r="D177" s="360" t="n">
        <f aca="false">B58</f>
        <v>11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295</v>
      </c>
      <c r="C179" s="352"/>
      <c r="D179" s="352" t="s">
        <v>296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813.769309197257</v>
      </c>
      <c r="B180" s="99" t="n">
        <f aca="false">IF(A105="YES", B89, 0)</f>
        <v>0</v>
      </c>
      <c r="C180" s="352"/>
      <c r="D180" s="99" t="n">
        <f aca="false">B91</f>
        <v>813.769309197257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313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99"/>
      <c r="D185" s="363" t="s">
        <v>281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578.85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1078.84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B209</f>
        <v>0.065</v>
      </c>
      <c r="C203" s="320" t="s">
        <v>215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578.85</v>
      </c>
      <c r="C205" s="319" t="s">
        <v>217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3813.09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4051.95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578.85</v>
      </c>
      <c r="C213" s="335" t="s">
        <v>327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327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328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329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330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331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332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9" colorId="64" zoomScale="75" zoomScaleNormal="75" zoomScalePageLayoutView="100" workbookViewId="0">
      <selection pane="topLeft" activeCell="B216" activeCellId="0" sqref="B21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142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n">
        <f aca="false">IF(B38="YES", D38+A41, D38)</f>
        <v>500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250</v>
      </c>
      <c r="B43" s="236" t="s">
        <v>251</v>
      </c>
      <c r="C43" s="226"/>
      <c r="D43" s="236" t="s">
        <v>255</v>
      </c>
      <c r="E43" s="239"/>
      <c r="F43" s="63"/>
      <c r="G43" s="63" t="s">
        <v>252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0</v>
      </c>
      <c r="C44" s="100"/>
      <c r="D44" s="278" t="n">
        <f aca="false">A44+B44</f>
        <v>1</v>
      </c>
      <c r="E44" s="278"/>
      <c r="F44" s="63"/>
      <c r="G44" s="63" t="s">
        <v>253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273</v>
      </c>
      <c r="B46" s="226"/>
      <c r="C46" s="226"/>
      <c r="D46" s="226"/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 t="n">
        <f aca="false">(A41*(B58+B57))</f>
        <v>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274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4051.95</v>
      </c>
      <c r="C64" s="211" t="n">
        <v>10000</v>
      </c>
      <c r="D64" s="290" t="n">
        <f aca="false">B64</f>
        <v>4051.95</v>
      </c>
      <c r="E64" s="212"/>
      <c r="F64" s="63"/>
      <c r="G64" s="284" t="s">
        <v>93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578.85</v>
      </c>
      <c r="C67" s="211"/>
      <c r="D67" s="290"/>
      <c r="E67" s="212"/>
      <c r="F67" s="63"/>
      <c r="G67" s="284" t="s">
        <v>96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0</v>
      </c>
      <c r="C74" s="211"/>
      <c r="D74" s="211"/>
      <c r="E74" s="212"/>
      <c r="F74" s="63"/>
      <c r="G74" s="291" t="s">
        <v>278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0</v>
      </c>
      <c r="C75" s="211"/>
      <c r="D75" s="211"/>
      <c r="E75" s="212"/>
      <c r="F75" s="63"/>
      <c r="G75" s="294" t="s">
        <v>279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280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281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281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282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5378.61666666667</v>
      </c>
      <c r="C81" s="211"/>
      <c r="D81" s="211"/>
      <c r="E81" s="212"/>
      <c r="F81" s="63"/>
      <c r="G81" s="302" t="s">
        <v>105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448.218055555556</v>
      </c>
      <c r="C82" s="211"/>
      <c r="D82" s="211"/>
      <c r="E82" s="212"/>
      <c r="F82" s="63"/>
      <c r="G82" s="210" t="s">
        <v>106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</f>
        <v>11390.6166666667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(B85/(1-B70))*B70</f>
        <v>96.4917103670835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7487.10837703375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IF(B99=Z102,(((H44*B35)+(H44*B35)*(B105/100))/(B58)),(((H44*B35)+(H44*B35)*(B105/100))/(B57+B58)))</f>
        <v>0</v>
      </c>
      <c r="C89" s="211" t="s">
        <v>4</v>
      </c>
      <c r="D89" s="211"/>
      <c r="E89" s="212"/>
      <c r="F89" s="63"/>
      <c r="G89" s="302" t="s">
        <v>120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623.925698086146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1171.69258941778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623.925698086146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1171.69258941778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285</v>
      </c>
      <c r="B99" s="311" t="s">
        <v>286</v>
      </c>
      <c r="C99" s="311"/>
      <c r="D99" s="103" t="n">
        <v>1000</v>
      </c>
      <c r="E99" s="103"/>
      <c r="F99" s="63"/>
      <c r="G99" s="216" t="s">
        <v>285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289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259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260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261</v>
      </c>
      <c r="AA104" s="63"/>
    </row>
    <row r="105" customFormat="false" ht="18.75" hidden="false" customHeight="true" outlineLevel="0" collapsed="false">
      <c r="A105" s="218" t="s">
        <v>19</v>
      </c>
      <c r="B105" s="311" t="n">
        <v>0</v>
      </c>
      <c r="C105" s="311"/>
      <c r="D105" s="103" t="s">
        <v>290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262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264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265</v>
      </c>
      <c r="AA107" s="63"/>
    </row>
    <row r="108" customFormat="false" ht="18.75" hidden="false" customHeight="true" outlineLevel="0" collapsed="false">
      <c r="A108" s="213" t="s">
        <v>291</v>
      </c>
      <c r="B108" s="213"/>
      <c r="C108" s="213"/>
      <c r="D108" s="213"/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266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267</v>
      </c>
    </row>
    <row r="110" customFormat="false" ht="18.75" hidden="false" customHeight="true" outlineLevel="0" collapsed="false">
      <c r="A110" s="210" t="s">
        <v>292</v>
      </c>
      <c r="B110" s="218" t="s">
        <v>18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(E118+E117)-D115</f>
        <v>-2800.01</v>
      </c>
      <c r="F119" s="63"/>
      <c r="G119" s="314" t="s">
        <v>293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623.925698086146</v>
      </c>
      <c r="B128" s="320" t="n">
        <f aca="false">IF(A105="YES", B89, 0)</f>
        <v>0</v>
      </c>
      <c r="C128" s="325"/>
      <c r="D128" s="320" t="n">
        <f aca="false">B91</f>
        <v>623.925698086146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297</v>
      </c>
      <c r="H129" s="327" t="s">
        <v>298</v>
      </c>
      <c r="I129" s="327"/>
      <c r="J129" s="327" t="s">
        <v>299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332" t="n">
        <f aca="false">H90</f>
        <v>1171.69258941778</v>
      </c>
      <c r="H130" s="174" t="n">
        <f aca="false">IF(G105="YES", H89*H57, 0)</f>
        <v>0</v>
      </c>
      <c r="I130" s="174"/>
      <c r="J130" s="333" t="n">
        <f aca="false">H91</f>
        <v>1171.69258941778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5615.33128277531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1171.69258941778</v>
      </c>
      <c r="H133" s="99" t="n">
        <f aca="false">IF(G105="YES", H89*H57, 0)</f>
        <v>0</v>
      </c>
      <c r="I133" s="217"/>
      <c r="J133" s="181" t="n">
        <f aca="false">H91*H57</f>
        <v>1171.69258941778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5615.33128277531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623.925698086146</v>
      </c>
      <c r="B137" s="38" t="n">
        <f aca="false">IF(A105="YES", B89, 0)</f>
        <v>0</v>
      </c>
      <c r="C137" s="316"/>
      <c r="D137" s="38" t="n">
        <f aca="false">B91</f>
        <v>623.925698086146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1509.413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1171.69258941778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623.925698086146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285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295</v>
      </c>
      <c r="C170" s="354"/>
      <c r="D170" s="353" t="s">
        <v>296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623.925698086146</v>
      </c>
      <c r="B171" s="354" t="n">
        <f aca="false">IF(A105="YES", B89, 0)</f>
        <v>0</v>
      </c>
      <c r="C171" s="357"/>
      <c r="D171" s="354" t="n">
        <f aca="false">B91</f>
        <v>623.925698086146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6"/>
      <c r="D173" s="358" t="s">
        <v>301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5615.33128277531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305</v>
      </c>
      <c r="B176" s="163" t="s">
        <v>306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5615.33128277531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295</v>
      </c>
      <c r="C179" s="352"/>
      <c r="D179" s="352" t="s">
        <v>296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623.925698086146</v>
      </c>
      <c r="B180" s="99" t="n">
        <f aca="false">IF(A105="YES", B89, 0)</f>
        <v>0</v>
      </c>
      <c r="C180" s="352"/>
      <c r="D180" s="99" t="n">
        <f aca="false">B91</f>
        <v>623.925698086146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313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99"/>
      <c r="D185" s="363" t="s">
        <v>281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578.85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1078.84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H29</f>
        <v>12</v>
      </c>
      <c r="C203" s="320" t="s">
        <v>215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578.85</v>
      </c>
      <c r="C205" s="319" t="s">
        <v>217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3813.09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4051.95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578.85</v>
      </c>
      <c r="C213" s="335" t="s">
        <v>327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327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328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329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330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331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332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4470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2023-04-12T19:06:54Z</dcterms:modified>
  <cp:revision>758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