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car" sheetId="1" state="visible" r:id="rId2"/>
    <sheet name="CP(F2)-CP_Used_car" sheetId="2" state="visible" r:id="rId3"/>
    <sheet name="HPNR(F3)-PCP_Used_car" sheetId="3" state="visible" r:id="rId4"/>
    <sheet name="HPNR(F3)-CP_Used_car" sheetId="4" state="visible" r:id="rId5"/>
    <sheet name="HPNR(F3)-HPR_Used_car" sheetId="5" state="visible" r:id="rId6"/>
    <sheet name="HPNR(F3)-HPNR_Used_car" sheetId="6" state="visible" r:id="rId7"/>
    <sheet name="CP(F3)-PCH_Used_car" sheetId="7" state="visible" r:id="rId8"/>
    <sheet name="CP(F3)-BCH_Used_car" sheetId="8" state="visible" r:id="rId9"/>
    <sheet name="FL(F3)-FL_Used_car" sheetId="9" state="visible" r:id="rId10"/>
    <sheet name="FL(F3)-PCH_Used_car" sheetId="10" state="visible" r:id="rId11"/>
    <sheet name="FL(F3)-BCH_Used_car" sheetId="11" state="visible" r:id="rId12"/>
    <sheet name="HPNR (F3)-FL_Used_car" sheetId="12" state="visible" r:id="rId13"/>
    <sheet name="HPNR (F3)-PCH_Used_car" sheetId="13" state="visible" r:id="rId14"/>
    <sheet name="HPNR (F3)-BCH_Used_car" sheetId="14" state="visible" r:id="rId15"/>
    <sheet name="PCP_used_car" sheetId="15" state="visible" r:id="rId16"/>
    <sheet name="CP_used_car" sheetId="16" state="visible" r:id="rId17"/>
    <sheet name="HPR_used_car" sheetId="17" state="visible" r:id="rId18"/>
    <sheet name="HPNR_used_car" sheetId="18" state="visible" r:id="rId19"/>
    <sheet name="BCH-F3-PCH_Used_car" sheetId="19" state="visible" r:id="rId20"/>
    <sheet name="BCH-F3-BCH_Used_car" sheetId="20" state="visible" r:id="rId21"/>
    <sheet name="Formula1-FL_Used_car" sheetId="21" state="visible" r:id="rId22"/>
    <sheet name="Formula1-PCH_Used_car" sheetId="22" state="visible" r:id="rId23"/>
    <sheet name="CP (Formula 3) - PCH" sheetId="23" state="visible" r:id="rId24"/>
    <sheet name="CP (Formula 3) - BCH" sheetId="24" state="visible" r:id="rId25"/>
    <sheet name="CP (Formula 2) - CP" sheetId="25" state="visible" r:id="rId26"/>
    <sheet name="CP (Formula 2) - PCP" sheetId="26" state="visible" r:id="rId27"/>
    <sheet name="Formula1-BCH_Used_car" sheetId="27" state="visible" r:id="rId28"/>
    <sheet name="HPNR (Formula 3) - PCP" sheetId="28" state="visible" r:id="rId29"/>
    <sheet name="HPNR (Formula 3) - CP" sheetId="29" state="visible" r:id="rId30"/>
    <sheet name="HPNR (Formula 3) - HPR" sheetId="30" state="visible" r:id="rId31"/>
    <sheet name="HPNR (Formula 3) - FL" sheetId="31" state="visible" r:id="rId32"/>
    <sheet name="HPNR (Formula 3) - PCH" sheetId="32" state="visible" r:id="rId33"/>
    <sheet name="HPNR (Formula 3) - BCH" sheetId="33" state="visible" r:id="rId34"/>
    <sheet name="HPNR (Formula 3) - HPNR" sheetId="34" state="visible" r:id="rId35"/>
    <sheet name="FL (Formula 3) - FL" sheetId="35" state="visible" r:id="rId36"/>
    <sheet name="FL (Formula 3) - PCH" sheetId="36" state="visible" r:id="rId37"/>
    <sheet name="FL (Formula 3) - BCH" sheetId="37" state="visible" r:id="rId38"/>
    <sheet name="HirePurchaseNonRegulated" sheetId="38" state="visible" r:id="rId39"/>
    <sheet name="HirePurchaseRegulated" sheetId="39" state="visible" r:id="rId40"/>
    <sheet name="PersonalContractPurchase" sheetId="40" state="visible" r:id="rId41"/>
    <sheet name="ContractPurchase" sheetId="41" state="visible" r:id="rId42"/>
    <sheet name="Formula1-FL" sheetId="42" state="visible" r:id="rId43"/>
    <sheet name="Formula1-PCH" sheetId="43" state="visible" r:id="rId44"/>
    <sheet name="Formula1-BCH" sheetId="44" state="visible" r:id="rId45"/>
    <sheet name="FL (Formula 3) - BCH, PCH, FL" sheetId="45" state="visible" r:id="rId46"/>
    <sheet name="BCH (Formula 3) - PCH" sheetId="46" state="visible" r:id="rId47"/>
    <sheet name="BCH (Formula 3) - BCH" sheetId="47" state="visible" r:id="rId4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<sst xmlns="http://schemas.openxmlformats.org/spreadsheetml/2006/main" count="21507" uniqueCount="395">
  <si>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</si>
  <si>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</si>
  <si>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</si>
  <si>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</si>
  <si>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</si>
  <si>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</si>
  <si>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</si>
  <si>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</si>
  <si>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</si>
  <si>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</si>
  <si>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</si>
  <si>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</si>
  <si>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</si>
  <si>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</si>
  <si>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</si>
  <si>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</si>
  <si>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</si>
  <si>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</si>
  <si>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</si>
  <si>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</si>
  <si>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</si>
  <si>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</si>
  <si>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</si>
  <si>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</si>
  <si>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</si>
  <si>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</si>
  <si>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</si>
  <si>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</si>
  <si>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</si>
  <si>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</si>
  <si>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</si>
  <si>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</si>
  <si>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</si>
  <si>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</si>
  <si>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</si>
  <si>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</si>
  <si>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</si>
  <si>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</si>
  <si>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</si>
  <si>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</si>
  <si>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</si>
  <si>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</si>
  <si>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</si>
  <si>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</si>
  <si>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</si>
  <si>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</si>
  <si>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</si>
  <si>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</si>
  <si>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</si>
  <si>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</si>
  <si>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</si>
  <si>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</si>
  <si>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</si>
  <si>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</si>
  <si>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</si>
  <si>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</si>
  <si>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</si>
  <si>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</si>
  <si>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</si>
  <si>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</si>
  <si>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</si>
  <si>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</si>
  <si>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</si>
  <si>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</si>
  <si>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</si>
  <si>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</si>
  <si>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</si>
  <si>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</si>
  <si>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</si>
  <si>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</si>
  <si>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</si>
  <si>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</si>
  <si>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</si>
  <si>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</si>
  <si>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</si>
  <si>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</si>
  <si>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</si>
  <si>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</si>
  <si>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</si>
  <si>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</si>
  <si>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</si>
  <si>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470.00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</si>
  <si>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</si>
  <si>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</si>
  <si>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</si>
  <si>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</si>
  <si>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</si>
  <si>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</si>
  <si>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</si>
  <si>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</si>
  <si>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</si>
  <si>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</si>
  <si>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</si>
  <si>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</si>
  <si>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</si>
  <si>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</si>
  <si>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</si>
  <si>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</si>
  <si>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</si>
  <si>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</si>
  <si>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</si>
  <si>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</si>
  <si>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</si>
  <si>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</si>
  <si>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</si>
  <si>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</si>
  <si>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</si>
  <si>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</si>
  <si>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</si>
  <si>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</si>
  <si>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</si>
  <si>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</si>
  <si>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</si>
  <si>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</si>
  <si>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</si>
  <si>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</si>
  <si>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</si>
  <si>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</si>
  <si>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</si>
  <si>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</si>
  <si>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</si>
  <si>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</si>
  <si>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</si>
  <si>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</si>
  <si>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</si>
  <si>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</si>
  <si>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</si>
  <si>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</si>
  <si>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</si>
  <si>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</si>
  <si>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</si>
  <si>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</si>
  <si>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</si>
  <si>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</si>
  <si>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</si>
  <si>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</si>
  <si>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</si>
  <si>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</si>
  <si>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</si>
  <si>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</si>
  <si>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</si>
  <si>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</si>
  <si>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</si>
  <si>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</si>
  <si>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</si>
  <si>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</si>
  <si>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</si>
  <si>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</si>
  <si>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</si>
  <si>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</si>
  <si>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</si>
  <si>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</si>
  <si>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</si>
  <si>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</si>
  <si>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</si>
  <si>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</si>
  <si>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</si>
  <si>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</si>
  <si>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</si>
  <si>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</si>
  <si>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</si>
  <si>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</si>
  <si>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</si>
  <si>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</si>
  <si>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</si>
  <si>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</si>
  <si>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</si>
  <si>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</si>
  <si>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</si>
  <si>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</si>
  <si>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</si>
  <si>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</si>
  <si>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</si>
  <si>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</si>
  <si>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</si>
  <si>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</si>
  <si>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</si>
  <si>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</si>
  <si>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</si>
  <si>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</si>
  <si>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</si>
  <si>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</si>
  <si>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</si>
  <si>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</si>
  <si>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</si>
  <si>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</si>
  <si>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</si>
  <si>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</si>
  <si>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</si>
  <si>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</si>
  <si>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</si>
  <si>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</si>
  <si>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</si>
  <si>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</si>
  <si>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</si>
  <si>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</si>
  <si>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</si>
  <si>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</si>
  <si>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</si>
  <si>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</si>
  <si>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</si>
  <si>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</si>
  <si>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</si>
  <si>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</si>
  <si>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</si>
  <si>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</si>
  <si>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</si>
  <si>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</si>
  <si>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</si>
  <si>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</si>
  <si>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</si>
  <si>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</si>
  <si>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</si>
  <si>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</si>
  <si>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</si>
  <si>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</si>
  <si>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</si>
  <si>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</si>
  <si>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</si>
  <si>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</si>
  <si>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</si>
  <si>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</si>
  <si>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</si>
  <si>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</si>
  <si>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</si>
  <si>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</si>
  <si>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</si>
  <si>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</si>
  <si>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</si>
  <si>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</si>
  <si>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</si>
  <si>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</si>
  <si>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364.17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</si>
  <si>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</si>
  <si>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</si>
  <si>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</si>
  <si>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</si>
  <si>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</si>
  <si>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</si>
  <si>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</si>
  <si>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</si>
  <si>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</si>
  <si>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</si>
  <si>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</si>
  <si>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</si>
  <si>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</si>
  <si>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</si>
  <si>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</si>
  <si>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</si>
  <si>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</si>
  <si>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</si>
  <si>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</si>
  <si>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</si>
  <si>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</si>
  <si>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</si>
  <si>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</si>
  <si>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</si>
  <si>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</si>
  <si>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</si>
  <si>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</si>
  <si>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</si>
  <si>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</si>
  <si>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</si>
  <si>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</si>
  <si>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</si>
  <si>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</si>
  <si>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</si>
  <si>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</si>
  <si>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</si>
  <si>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</si>
  <si>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</si>
  <si>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50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</si>
  <si>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</si>
  <si>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</si>
  <si>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</si>
  <si>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</si>
  <si>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</si>
  <si>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</si>
  <si>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</si>
  <si>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</si>
  <si>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</si>
  <si>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</si>
  <si>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</si>
  <si>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Referrer commision</t>
  </si>
  <si>
    <t xml:space="preserve">Refferal commision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</si>
  <si>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</si>
  <si>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</si>
  <si>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</si>
  <si>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</si>
  <si>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</si>
  <si>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</si>
  <si>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</si>
  <si>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</si>
  <si>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With balloon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</si>
  <si>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</si>
  <si>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</si>
  <si>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</si>
  <si>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</si>
  <si>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</si>
  <si>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</si>
  <si>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</si>
  <si>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</si>
  <si>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</si>
  <si>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</si>
  <si>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</si>
  <si>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</si>
  <si>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</si>
  <si>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</si>
  <si>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</si>
  <si>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</si>
  <si>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</si>
  <si>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</si>
  <si>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</si>
  <si>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</si>
  <si>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</si>
  <si>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</si>
  <si>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</si>
  <si>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</si>
  <si>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</si>
  <si>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</si>
  <si>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</si>
  <si>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</si>
  <si>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</si>
  <si>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</si>
  <si>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</si>
  <si>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</si>
  <si>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</si>
  <si>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</si>
  <si>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</si>
  <si>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</si>
  <si>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</si>
  <si>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</si>
  <si>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</si>
  <si>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</si>
  <si>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</si>
  <si>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</si>
  <si>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</si>
  <si>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</si>
  <si>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</si>
  <si>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</si>
  <si>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</si>
  <si>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</si>
  <si>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</si>
  <si>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</si>
  <si>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</si>
  <si>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</si>
  <si>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</si>
  <si>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</si>
  <si>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</si>
  <si>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</si>
  <si>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</si>
  <si>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</si>
  <si>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</si>
  <si>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</si>
  <si>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</si>
  <si>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</si>
  <si>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</si>
  <si>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</si>
  <si>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</si>
  <si>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</si>
  <si>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</si>
  <si>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</si>
  <si>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</si>
  <si>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</si>
  <si>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</si>
  <si>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</si>
  <si>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Upload document</t>
  </si>
  <si>
    <t xml:space="preserve">`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</si>
  <si>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</si>
  <si>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</si>
  <si>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</si>
  <si>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</si>
  <si>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</si>
  <si>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</si>
  <si>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</si>
  <si>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</si>
  <si>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OTR Calculation</t>
  </si>
  <si>
    <t xml:space="preserve">48877.50</t>
  </si>
  <si>
    <t xml:space="preserve">5.28</t>
  </si>
  <si>
    <t xml:space="preserve">RFL included?</t>
  </si>
  <si>
    <t>12</t>
  </si>
  <si>
    <t>5000</t>
  </si>
  <si>
    <t>1000</t>
  </si>
  <si>
    <t>500</t>
  </si>
  <si>
    <t>6000</t>
  </si>
  <si>
    <t>20</t>
  </si>
  <si>
    <t>239.99</t>
  </si>
  <si>
    <t>NO</t>
  </si>
  <si>
    <t>YES</t>
  </si>
  <si>
    <t>50</t>
  </si>
  <si>
    <t>364.17</t>
  </si>
  <si>
    <t>0</t>
  </si>
  <si>
    <t>200</t>
  </si>
  <si>
    <t xml:space="preserve"> Terminal pause with 6 down </t>
  </si>
  <si>
    <t>100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</si>
</sst>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#,##0.0000000"/>
    <numFmt numFmtId="174" formatCode="_(* #,##0.00_);_(* \(#,##0.00\);_(* \-??_);_(@_)"/>
    <numFmt numFmtId="175" formatCode="_(* #,##0_);_(* \(#,##0\);_(* \-??_);_(@_)"/>
    <numFmt numFmtId="176" formatCode="\£#,##0.00000"/>
    <numFmt numFmtId="177" formatCode="\£#,##0.0000"/>
    <numFmt numFmtId="178" formatCode="0.0000%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8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sharedStrings.xml" Type="http://schemas.openxmlformats.org/officeDocument/2006/relationships/sharedStrings"/><Relationship Id="rId5" Target="worksheets/sheet4.xml" Type="http://schemas.openxmlformats.org/officeDocument/2006/relationships/worksheet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380</v>
      </c>
      <c r="B34" s="32"/>
      <c r="C34" s="41" t="s">
        <v>381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382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380</v>
      </c>
      <c r="B40" s="32"/>
      <c r="C40" s="54" t="n">
        <f aca="false">A34-1</f>
        <v>11</v>
      </c>
      <c r="D40" s="54"/>
      <c r="E40" s="32"/>
      <c r="F40" s="41" t="s">
        <v>383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384</v>
      </c>
      <c r="B43" s="32"/>
      <c r="C43" s="41" t="s">
        <v>385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s">
        <v>389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72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73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74</v>
      </c>
      <c r="B48" s="43"/>
      <c r="C48" s="43"/>
      <c r="D48" s="43"/>
      <c r="E48" s="43"/>
      <c r="F48" s="43"/>
      <c r="G48" s="43"/>
      <c r="H48" s="47"/>
      <c r="J48" s="55" t="s">
        <v>75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76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77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78</v>
      </c>
      <c r="B52" s="32"/>
      <c r="C52" s="32" t="s">
        <v>79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80</v>
      </c>
      <c r="K53" s="64" t="s">
        <v>390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82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83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84</v>
      </c>
      <c r="B58" s="71" t="s">
        <v>85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86</v>
      </c>
      <c r="B67" s="32" t="n">
        <v>1</v>
      </c>
      <c r="C67" s="32"/>
      <c r="D67" s="32"/>
      <c r="E67" s="23"/>
      <c r="F67" s="23"/>
      <c r="G67" s="23"/>
      <c r="H67" s="33"/>
      <c r="J67" s="31" t="s">
        <v>86</v>
      </c>
      <c r="K67" s="32" t="n">
        <v>1</v>
      </c>
      <c r="L67" s="32"/>
      <c r="M67" s="32"/>
      <c r="N67" s="23"/>
      <c r="O67" s="23"/>
      <c r="P67" s="23"/>
      <c r="Q67" s="33"/>
      <c r="S67" s="31" t="s">
        <v>86</v>
      </c>
      <c r="T67" s="32" t="n">
        <v>1</v>
      </c>
      <c r="U67" s="32"/>
      <c r="V67" s="32"/>
      <c r="W67" s="23"/>
      <c r="X67" s="23"/>
      <c r="Y67" s="23"/>
      <c r="Z67" s="33"/>
      <c r="AB67" s="31" t="s">
        <v>86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87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87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87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87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88</v>
      </c>
      <c r="B69" s="77" t="n">
        <v>10.0</v>
      </c>
      <c r="C69" s="32"/>
      <c r="D69" s="32"/>
      <c r="E69" s="23"/>
      <c r="F69" s="23"/>
      <c r="G69" s="23"/>
      <c r="H69" s="33"/>
      <c r="J69" s="76" t="s">
        <v>88</v>
      </c>
      <c r="K69" s="77" t="n">
        <v>20</v>
      </c>
      <c r="L69" s="32"/>
      <c r="M69" s="32"/>
      <c r="N69" s="23"/>
      <c r="O69" s="23"/>
      <c r="P69" s="23"/>
      <c r="Q69" s="33"/>
      <c r="S69" s="76" t="s">
        <v>88</v>
      </c>
      <c r="T69" s="77" t="n">
        <v>10</v>
      </c>
      <c r="U69" s="32"/>
      <c r="V69" s="32"/>
      <c r="W69" s="23"/>
      <c r="X69" s="23"/>
      <c r="Y69" s="23"/>
      <c r="Z69" s="33"/>
      <c r="AB69" s="76" t="s">
        <v>88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89</v>
      </c>
      <c r="B71" s="79" t="n">
        <v>0.0105</v>
      </c>
      <c r="C71" s="32"/>
      <c r="D71" s="32"/>
      <c r="E71" s="23"/>
      <c r="F71" s="23"/>
      <c r="G71" s="23"/>
      <c r="H71" s="33"/>
      <c r="J71" s="78" t="s">
        <v>89</v>
      </c>
      <c r="K71" s="79" t="n">
        <v>0.06</v>
      </c>
      <c r="L71" s="32"/>
      <c r="M71" s="32"/>
      <c r="N71" s="23"/>
      <c r="O71" s="23"/>
      <c r="P71" s="23"/>
      <c r="Q71" s="33"/>
      <c r="S71" s="78" t="s">
        <v>89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89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90</v>
      </c>
      <c r="B72" s="81" t="n">
        <v>0.065</v>
      </c>
      <c r="C72" s="32"/>
      <c r="D72" s="32"/>
      <c r="E72" s="23"/>
      <c r="F72" s="23"/>
      <c r="G72" s="23"/>
      <c r="H72" s="33"/>
      <c r="J72" s="80" t="s">
        <v>90</v>
      </c>
      <c r="K72" s="81" t="n">
        <v>0.08</v>
      </c>
      <c r="L72" s="32"/>
      <c r="M72" s="32"/>
      <c r="N72" s="23"/>
      <c r="O72" s="23"/>
      <c r="P72" s="23"/>
      <c r="Q72" s="33"/>
      <c r="S72" s="80" t="s">
        <v>90</v>
      </c>
      <c r="T72" s="81" t="n">
        <v>0.059</v>
      </c>
      <c r="U72" s="32"/>
      <c r="V72" s="32"/>
      <c r="W72" s="23"/>
      <c r="X72" s="23"/>
      <c r="Y72" s="23"/>
      <c r="Z72" s="33"/>
      <c r="AB72" s="80" t="s">
        <v>90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91</v>
      </c>
      <c r="B73" s="83" t="n">
        <v>0.072</v>
      </c>
      <c r="C73" s="32"/>
      <c r="D73" s="32"/>
      <c r="E73" s="23"/>
      <c r="F73" s="23"/>
      <c r="G73" s="23"/>
      <c r="H73" s="33"/>
      <c r="J73" s="82" t="s">
        <v>91</v>
      </c>
      <c r="K73" s="83" t="n">
        <v>0.1</v>
      </c>
      <c r="L73" s="32"/>
      <c r="M73" s="32"/>
      <c r="N73" s="23"/>
      <c r="O73" s="23"/>
      <c r="P73" s="23"/>
      <c r="Q73" s="33"/>
      <c r="S73" s="82" t="s">
        <v>91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91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92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92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92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92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93</v>
      </c>
      <c r="B75" s="79" t="n">
        <v>0.005</v>
      </c>
      <c r="C75" s="32"/>
      <c r="D75" s="32"/>
      <c r="E75" s="23"/>
      <c r="F75" s="23"/>
      <c r="G75" s="23"/>
      <c r="H75" s="33"/>
      <c r="J75" s="78" t="s">
        <v>93</v>
      </c>
      <c r="K75" s="79" t="n">
        <v>0.05</v>
      </c>
      <c r="L75" s="32"/>
      <c r="M75" s="32"/>
      <c r="N75" s="23"/>
      <c r="O75" s="23"/>
      <c r="P75" s="23"/>
      <c r="Q75" s="33"/>
      <c r="S75" s="78" t="s">
        <v>93</v>
      </c>
      <c r="T75" s="79" t="n">
        <v>0.005</v>
      </c>
      <c r="U75" s="32"/>
      <c r="V75" s="32"/>
      <c r="W75" s="23"/>
      <c r="X75" s="23"/>
      <c r="Y75" s="23"/>
      <c r="Z75" s="33"/>
      <c r="AB75" s="78" t="s">
        <v>93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94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94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94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94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95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95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95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95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96</v>
      </c>
      <c r="B78" s="79" t="n">
        <v>0.0</v>
      </c>
      <c r="C78" s="32"/>
      <c r="D78" s="32"/>
      <c r="E78" s="23"/>
      <c r="F78" s="23"/>
      <c r="G78" s="23"/>
      <c r="H78" s="33"/>
      <c r="J78" s="78" t="s">
        <v>96</v>
      </c>
      <c r="K78" s="79" t="n">
        <v>0</v>
      </c>
      <c r="L78" s="32"/>
      <c r="M78" s="32"/>
      <c r="N78" s="23"/>
      <c r="O78" s="23"/>
      <c r="P78" s="23"/>
      <c r="Q78" s="33"/>
      <c r="S78" s="78" t="s">
        <v>96</v>
      </c>
      <c r="T78" s="79" t="n">
        <v>0</v>
      </c>
      <c r="U78" s="32"/>
      <c r="V78" s="32"/>
      <c r="W78" s="23"/>
      <c r="X78" s="23"/>
      <c r="Y78" s="23"/>
      <c r="Z78" s="33"/>
      <c r="AB78" s="78" t="s">
        <v>96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97</v>
      </c>
      <c r="B79" s="81" t="n">
        <v>0.0</v>
      </c>
      <c r="C79" s="32"/>
      <c r="D79" s="32"/>
      <c r="E79" s="23"/>
      <c r="F79" s="23"/>
      <c r="G79" s="23"/>
      <c r="H79" s="33"/>
      <c r="J79" s="80" t="s">
        <v>97</v>
      </c>
      <c r="K79" s="81" t="n">
        <v>0</v>
      </c>
      <c r="L79" s="32"/>
      <c r="M79" s="32"/>
      <c r="N79" s="23"/>
      <c r="O79" s="23"/>
      <c r="P79" s="23"/>
      <c r="Q79" s="33"/>
      <c r="S79" s="80" t="s">
        <v>97</v>
      </c>
      <c r="T79" s="81" t="n">
        <v>0</v>
      </c>
      <c r="U79" s="32"/>
      <c r="V79" s="32"/>
      <c r="W79" s="23"/>
      <c r="X79" s="23"/>
      <c r="Y79" s="23"/>
      <c r="Z79" s="33"/>
      <c r="AB79" s="80" t="s">
        <v>97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98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98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98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98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99</v>
      </c>
      <c r="B81" s="86" t="n">
        <v>0.0</v>
      </c>
      <c r="C81" s="32"/>
      <c r="D81" s="32"/>
      <c r="E81" s="23"/>
      <c r="F81" s="23"/>
      <c r="G81" s="23"/>
      <c r="H81" s="33"/>
      <c r="J81" s="78" t="s">
        <v>99</v>
      </c>
      <c r="K81" s="86" t="n">
        <v>0</v>
      </c>
      <c r="L81" s="32"/>
      <c r="M81" s="32"/>
      <c r="N81" s="23"/>
      <c r="O81" s="23"/>
      <c r="P81" s="23"/>
      <c r="Q81" s="33"/>
      <c r="S81" s="78" t="s">
        <v>99</v>
      </c>
      <c r="T81" s="86" t="n">
        <v>0</v>
      </c>
      <c r="U81" s="32"/>
      <c r="V81" s="32"/>
      <c r="W81" s="23"/>
      <c r="X81" s="23"/>
      <c r="Y81" s="23"/>
      <c r="Z81" s="33"/>
      <c r="AB81" s="78" t="s">
        <v>99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100</v>
      </c>
      <c r="B82" s="77" t="n">
        <v>0.0</v>
      </c>
      <c r="C82" s="32"/>
      <c r="D82" s="32"/>
      <c r="E82" s="23"/>
      <c r="F82" s="23"/>
      <c r="G82" s="23"/>
      <c r="H82" s="33"/>
      <c r="J82" s="80" t="s">
        <v>100</v>
      </c>
      <c r="K82" s="77" t="n">
        <v>0</v>
      </c>
      <c r="L82" s="32"/>
      <c r="M82" s="32"/>
      <c r="N82" s="23"/>
      <c r="O82" s="23"/>
      <c r="P82" s="23"/>
      <c r="Q82" s="33"/>
      <c r="S82" s="80" t="s">
        <v>100</v>
      </c>
      <c r="T82" s="77" t="n">
        <v>0</v>
      </c>
      <c r="U82" s="32"/>
      <c r="V82" s="32"/>
      <c r="W82" s="23"/>
      <c r="X82" s="23"/>
      <c r="Y82" s="23"/>
      <c r="Z82" s="33"/>
      <c r="AB82" s="80" t="s">
        <v>100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101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101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101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101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102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102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102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102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103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103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103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103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104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104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104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104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105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105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105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105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106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106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106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106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107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107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107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107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108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108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108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108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109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109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109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109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110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110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110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110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111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111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111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111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112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112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112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112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113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113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113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113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114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114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114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114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115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115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115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115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116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116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116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116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117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117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117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117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118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118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118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118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119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119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119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119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120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120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120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120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121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121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121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121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122</v>
      </c>
      <c r="B109" s="96"/>
      <c r="C109" s="96"/>
      <c r="D109" s="96"/>
      <c r="E109" s="96"/>
      <c r="F109" s="96"/>
      <c r="G109" s="96"/>
      <c r="H109" s="96"/>
      <c r="J109" s="24" t="s">
        <v>123</v>
      </c>
      <c r="K109" s="24"/>
      <c r="L109" s="24"/>
      <c r="M109" s="24"/>
      <c r="N109" s="24"/>
      <c r="O109" s="24"/>
      <c r="P109" s="24"/>
      <c r="Q109" s="24"/>
      <c r="S109" s="96" t="s">
        <v>124</v>
      </c>
      <c r="T109" s="96"/>
      <c r="U109" s="96"/>
      <c r="V109" s="96"/>
      <c r="W109" s="96"/>
      <c r="X109" s="96"/>
      <c r="Y109" s="96"/>
      <c r="Z109" s="96"/>
      <c r="AB109" s="96" t="s">
        <v>125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99" t="s">
        <v>130</v>
      </c>
      <c r="C114" s="99"/>
      <c r="D114" s="99"/>
      <c r="E114" s="100" t="s">
        <v>387</v>
      </c>
      <c r="F114" s="100"/>
      <c r="G114" s="100"/>
      <c r="H114" s="98"/>
      <c r="J114" s="36" t="s">
        <v>129</v>
      </c>
      <c r="K114" s="101" t="s">
        <v>130</v>
      </c>
      <c r="L114" s="101"/>
      <c r="M114" s="101"/>
      <c r="N114" s="100" t="s">
        <v>18</v>
      </c>
      <c r="O114" s="100"/>
      <c r="P114" s="100"/>
      <c r="Q114" s="98"/>
      <c r="S114" s="36" t="s">
        <v>129</v>
      </c>
      <c r="T114" s="99" t="s">
        <v>130</v>
      </c>
      <c r="U114" s="99"/>
      <c r="V114" s="99"/>
      <c r="W114" s="100" t="s">
        <v>18</v>
      </c>
      <c r="X114" s="100"/>
      <c r="Y114" s="100"/>
      <c r="Z114" s="98"/>
      <c r="AB114" s="36" t="s">
        <v>129</v>
      </c>
      <c r="AC114" s="99" t="s">
        <v>130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98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98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98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134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134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135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135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98"/>
      <c r="J122" s="106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98"/>
      <c r="S122" s="106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98"/>
      <c r="AB122" s="106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386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145</v>
      </c>
      <c r="C128" s="110"/>
      <c r="D128" s="110" t="s">
        <v>146</v>
      </c>
      <c r="E128" s="110"/>
      <c r="F128" s="110" t="s">
        <v>147</v>
      </c>
      <c r="G128" s="110"/>
      <c r="H128" s="111" t="s">
        <v>148</v>
      </c>
      <c r="J128" s="78"/>
      <c r="K128" s="110" t="s">
        <v>145</v>
      </c>
      <c r="L128" s="110"/>
      <c r="M128" s="110" t="s">
        <v>146</v>
      </c>
      <c r="N128" s="110"/>
      <c r="O128" s="110" t="s">
        <v>147</v>
      </c>
      <c r="P128" s="110"/>
      <c r="Q128" s="111" t="s">
        <v>148</v>
      </c>
      <c r="S128" s="78"/>
      <c r="T128" s="110" t="s">
        <v>145</v>
      </c>
      <c r="U128" s="110"/>
      <c r="V128" s="110" t="s">
        <v>146</v>
      </c>
      <c r="W128" s="110"/>
      <c r="X128" s="110" t="s">
        <v>147</v>
      </c>
      <c r="Y128" s="110"/>
      <c r="Z128" s="111" t="s">
        <v>148</v>
      </c>
      <c r="AB128" s="78"/>
      <c r="AC128" s="110" t="s">
        <v>145</v>
      </c>
      <c r="AD128" s="110"/>
      <c r="AE128" s="110" t="s">
        <v>146</v>
      </c>
      <c r="AF128" s="110"/>
      <c r="AG128" s="110" t="s">
        <v>147</v>
      </c>
      <c r="AH128" s="110"/>
      <c r="AI128" s="111" t="s">
        <v>148</v>
      </c>
    </row>
    <row r="129" customFormat="false" ht="19.7" hidden="false" customHeight="false" outlineLevel="0" collapsed="false">
      <c r="A129" s="80"/>
      <c r="B129" s="112" t="s">
        <v>149</v>
      </c>
      <c r="C129" s="113" t="s">
        <v>150</v>
      </c>
      <c r="D129" s="112" t="s">
        <v>149</v>
      </c>
      <c r="E129" s="114" t="s">
        <v>150</v>
      </c>
      <c r="F129" s="112" t="s">
        <v>149</v>
      </c>
      <c r="G129" s="114" t="s">
        <v>150</v>
      </c>
      <c r="H129" s="115"/>
      <c r="J129" s="80"/>
      <c r="K129" s="112" t="s">
        <v>149</v>
      </c>
      <c r="L129" s="113" t="s">
        <v>150</v>
      </c>
      <c r="M129" s="112" t="s">
        <v>149</v>
      </c>
      <c r="N129" s="114" t="s">
        <v>150</v>
      </c>
      <c r="O129" s="112" t="s">
        <v>149</v>
      </c>
      <c r="P129" s="114" t="s">
        <v>150</v>
      </c>
      <c r="Q129" s="115"/>
      <c r="S129" s="80"/>
      <c r="T129" s="112" t="s">
        <v>149</v>
      </c>
      <c r="U129" s="113" t="s">
        <v>150</v>
      </c>
      <c r="V129" s="112" t="s">
        <v>149</v>
      </c>
      <c r="W129" s="114" t="s">
        <v>150</v>
      </c>
      <c r="X129" s="112" t="s">
        <v>149</v>
      </c>
      <c r="Y129" s="114" t="s">
        <v>150</v>
      </c>
      <c r="Z129" s="115"/>
      <c r="AB129" s="80"/>
      <c r="AC129" s="112" t="s">
        <v>149</v>
      </c>
      <c r="AD129" s="113" t="s">
        <v>150</v>
      </c>
      <c r="AE129" s="112" t="s">
        <v>149</v>
      </c>
      <c r="AF129" s="114" t="s">
        <v>150</v>
      </c>
      <c r="AG129" s="112" t="s">
        <v>149</v>
      </c>
      <c r="AH129" s="114" t="s">
        <v>150</v>
      </c>
      <c r="AI129" s="115"/>
    </row>
    <row r="130" customFormat="false" ht="17.35" hidden="false" customHeight="false" outlineLevel="0" collapsed="false">
      <c r="A130" s="25" t="s">
        <v>151</v>
      </c>
      <c r="B130" s="116" t="n">
        <f aca="false">E19</f>
        <v>27750</v>
      </c>
      <c r="C130" s="117" t="n">
        <v>25000.0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152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152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152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153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149</v>
      </c>
      <c r="H136" s="134" t="s">
        <v>150</v>
      </c>
      <c r="J136" s="131"/>
      <c r="K136" s="135"/>
      <c r="L136" s="135"/>
      <c r="M136" s="135"/>
      <c r="N136" s="135"/>
      <c r="O136" s="135"/>
      <c r="P136" s="136" t="s">
        <v>149</v>
      </c>
      <c r="Q136" s="134" t="s">
        <v>150</v>
      </c>
      <c r="S136" s="131"/>
      <c r="T136" s="135"/>
      <c r="U136" s="135"/>
      <c r="V136" s="135"/>
      <c r="W136" s="135"/>
      <c r="X136" s="135"/>
      <c r="Y136" s="136" t="s">
        <v>149</v>
      </c>
      <c r="Z136" s="134" t="s">
        <v>150</v>
      </c>
      <c r="AB136" s="131"/>
      <c r="AC136" s="135"/>
      <c r="AD136" s="135"/>
      <c r="AE136" s="135"/>
      <c r="AF136" s="135"/>
      <c r="AG136" s="135"/>
      <c r="AH136" s="136" t="s">
        <v>149</v>
      </c>
      <c r="AI136" s="134" t="s">
        <v>150</v>
      </c>
    </row>
    <row r="137" customFormat="false" ht="17.35" hidden="false" customHeight="false" outlineLevel="0" collapsed="false">
      <c r="A137" s="137" t="s">
        <v>156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156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156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156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157</v>
      </c>
      <c r="B139" s="141" t="s">
        <v>158</v>
      </c>
      <c r="C139" s="141"/>
      <c r="D139" s="141" t="s">
        <v>159</v>
      </c>
      <c r="E139" s="141"/>
      <c r="F139" s="141" t="s">
        <v>153</v>
      </c>
      <c r="G139" s="141"/>
      <c r="H139" s="142" t="s">
        <v>150</v>
      </c>
      <c r="J139" s="144" t="s">
        <v>157</v>
      </c>
      <c r="K139" s="145" t="s">
        <v>158</v>
      </c>
      <c r="L139" s="145"/>
      <c r="M139" s="141" t="s">
        <v>159</v>
      </c>
      <c r="N139" s="141"/>
      <c r="O139" s="141" t="s">
        <v>153</v>
      </c>
      <c r="P139" s="141"/>
      <c r="Q139" s="142" t="s">
        <v>150</v>
      </c>
      <c r="S139" s="144" t="s">
        <v>157</v>
      </c>
      <c r="T139" s="141" t="s">
        <v>158</v>
      </c>
      <c r="U139" s="141"/>
      <c r="V139" s="141" t="s">
        <v>159</v>
      </c>
      <c r="W139" s="141"/>
      <c r="X139" s="141" t="s">
        <v>153</v>
      </c>
      <c r="Y139" s="141"/>
      <c r="Z139" s="142" t="s">
        <v>150</v>
      </c>
      <c r="AB139" s="144" t="s">
        <v>157</v>
      </c>
      <c r="AC139" s="141" t="s">
        <v>158</v>
      </c>
      <c r="AD139" s="141"/>
      <c r="AE139" s="141" t="s">
        <v>159</v>
      </c>
      <c r="AF139" s="141"/>
      <c r="AG139" s="141" t="s">
        <v>153</v>
      </c>
      <c r="AH139" s="141"/>
      <c r="AI139" s="142" t="s">
        <v>150</v>
      </c>
    </row>
    <row r="140" customFormat="false" ht="17.35" hidden="false" customHeight="false" outlineLevel="0" collapsed="false">
      <c r="A140" s="31" t="s">
        <v>160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160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160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160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161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161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161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162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162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162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163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163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163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163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164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164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164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164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165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165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165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165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166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166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166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166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167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167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167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167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168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168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168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168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169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169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169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169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170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170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170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170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171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171</v>
      </c>
      <c r="K152" s="156"/>
      <c r="L152" s="156"/>
      <c r="M152" s="156"/>
      <c r="N152" s="156"/>
      <c r="O152" s="156"/>
      <c r="P152" s="38"/>
      <c r="Q152" s="33"/>
      <c r="S152" s="107" t="s">
        <v>171</v>
      </c>
      <c r="T152" s="107"/>
      <c r="U152" s="107"/>
      <c r="V152" s="107"/>
      <c r="W152" s="107"/>
      <c r="X152" s="107"/>
      <c r="Y152" s="38"/>
      <c r="Z152" s="33"/>
      <c r="AB152" s="107" t="s">
        <v>171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172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172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172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172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172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172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172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172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172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172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172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173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173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173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173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174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174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174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174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176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176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176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177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177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177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178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178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178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179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179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179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180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180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180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181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181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181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181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183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183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183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184</v>
      </c>
      <c r="B175" s="171" t="s">
        <v>185</v>
      </c>
      <c r="C175" s="171"/>
      <c r="D175" s="171"/>
      <c r="E175" s="171" t="s">
        <v>186</v>
      </c>
      <c r="F175" s="23"/>
      <c r="G175" s="23"/>
      <c r="H175" s="33"/>
      <c r="J175" s="170" t="s">
        <v>184</v>
      </c>
      <c r="K175" s="172" t="s">
        <v>185</v>
      </c>
      <c r="L175" s="172"/>
      <c r="M175" s="172"/>
      <c r="N175" s="172" t="s">
        <v>186</v>
      </c>
      <c r="O175" s="23"/>
      <c r="P175" s="23"/>
      <c r="Q175" s="33"/>
      <c r="S175" s="170" t="s">
        <v>184</v>
      </c>
      <c r="T175" s="172" t="s">
        <v>185</v>
      </c>
      <c r="U175" s="172"/>
      <c r="V175" s="172"/>
      <c r="W175" s="172" t="s">
        <v>186</v>
      </c>
      <c r="X175" s="23"/>
      <c r="Y175" s="23"/>
      <c r="Z175" s="33"/>
      <c r="AB175" s="170" t="s">
        <v>184</v>
      </c>
      <c r="AC175" s="172" t="s">
        <v>185</v>
      </c>
      <c r="AD175" s="172"/>
      <c r="AE175" s="172"/>
      <c r="AF175" s="172" t="s">
        <v>186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84</v>
      </c>
      <c r="B178" s="130" t="s">
        <v>85</v>
      </c>
      <c r="C178" s="130"/>
      <c r="D178" s="23"/>
      <c r="E178" s="130" t="s">
        <v>187</v>
      </c>
      <c r="F178" s="23"/>
      <c r="G178" s="23"/>
      <c r="H178" s="33"/>
      <c r="J178" s="31" t="s">
        <v>84</v>
      </c>
      <c r="K178" s="32" t="s">
        <v>85</v>
      </c>
      <c r="L178" s="32"/>
      <c r="M178" s="23"/>
      <c r="N178" s="32" t="s">
        <v>187</v>
      </c>
      <c r="O178" s="23"/>
      <c r="P178" s="23"/>
      <c r="Q178" s="33"/>
      <c r="S178" s="31" t="s">
        <v>84</v>
      </c>
      <c r="T178" s="32" t="s">
        <v>85</v>
      </c>
      <c r="U178" s="32"/>
      <c r="V178" s="23"/>
      <c r="W178" s="32" t="s">
        <v>187</v>
      </c>
      <c r="X178" s="23"/>
      <c r="Y178" s="23"/>
      <c r="Z178" s="33"/>
      <c r="AB178" s="31" t="s">
        <v>84</v>
      </c>
      <c r="AC178" s="32" t="s">
        <v>85</v>
      </c>
      <c r="AD178" s="32"/>
      <c r="AE178" s="23"/>
      <c r="AF178" s="32" t="s">
        <v>187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30" t="s">
        <v>189</v>
      </c>
      <c r="C181" s="130"/>
      <c r="D181" s="23"/>
      <c r="E181" s="130" t="s">
        <v>190</v>
      </c>
      <c r="F181" s="23"/>
      <c r="G181" s="23"/>
      <c r="H181" s="33"/>
      <c r="J181" s="31" t="s">
        <v>188</v>
      </c>
      <c r="K181" s="32" t="s">
        <v>189</v>
      </c>
      <c r="L181" s="32"/>
      <c r="M181" s="23"/>
      <c r="N181" s="32" t="s">
        <v>190</v>
      </c>
      <c r="O181" s="23"/>
      <c r="P181" s="23"/>
      <c r="Q181" s="33"/>
      <c r="S181" s="31" t="s">
        <v>188</v>
      </c>
      <c r="T181" s="32" t="s">
        <v>189</v>
      </c>
      <c r="U181" s="32"/>
      <c r="V181" s="23"/>
      <c r="W181" s="32" t="s">
        <v>190</v>
      </c>
      <c r="X181" s="23"/>
      <c r="Y181" s="23"/>
      <c r="Z181" s="33"/>
      <c r="AB181" s="31" t="s">
        <v>188</v>
      </c>
      <c r="AC181" s="32" t="s">
        <v>189</v>
      </c>
      <c r="AD181" s="32"/>
      <c r="AE181" s="23"/>
      <c r="AF181" s="32" t="s">
        <v>190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191</v>
      </c>
      <c r="B184" s="130" t="s">
        <v>138</v>
      </c>
      <c r="C184" s="130"/>
      <c r="D184" s="23"/>
      <c r="E184" s="130" t="s">
        <v>139</v>
      </c>
      <c r="F184" s="23"/>
      <c r="G184" s="23"/>
      <c r="H184" s="33"/>
      <c r="J184" s="31" t="s">
        <v>191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191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191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130" t="s">
        <v>176</v>
      </c>
      <c r="C187" s="130"/>
      <c r="D187" s="23"/>
      <c r="E187" s="130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192</v>
      </c>
      <c r="B190" s="130" t="s">
        <v>53</v>
      </c>
      <c r="C190" s="130"/>
      <c r="D190" s="23"/>
      <c r="E190" s="130" t="s">
        <v>193</v>
      </c>
      <c r="F190" s="23"/>
      <c r="G190" s="23"/>
      <c r="H190" s="33"/>
      <c r="J190" s="31" t="s">
        <v>192</v>
      </c>
      <c r="K190" s="32" t="s">
        <v>53</v>
      </c>
      <c r="L190" s="32"/>
      <c r="M190" s="23"/>
      <c r="N190" s="32" t="s">
        <v>193</v>
      </c>
      <c r="O190" s="23"/>
      <c r="P190" s="23"/>
      <c r="Q190" s="33"/>
      <c r="S190" s="31" t="s">
        <v>192</v>
      </c>
      <c r="T190" s="32" t="s">
        <v>53</v>
      </c>
      <c r="U190" s="32"/>
      <c r="V190" s="23"/>
      <c r="W190" s="32" t="s">
        <v>193</v>
      </c>
      <c r="X190" s="23"/>
      <c r="Y190" s="23"/>
      <c r="Z190" s="33"/>
      <c r="AB190" s="31" t="s">
        <v>192</v>
      </c>
      <c r="AC190" s="32" t="s">
        <v>53</v>
      </c>
      <c r="AD190" s="32"/>
      <c r="AE190" s="23"/>
      <c r="AF190" s="32" t="s">
        <v>193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194</v>
      </c>
      <c r="B193" s="130" t="s">
        <v>195</v>
      </c>
      <c r="C193" s="130"/>
      <c r="D193" s="23"/>
      <c r="E193" s="130" t="s">
        <v>196</v>
      </c>
      <c r="F193" s="23"/>
      <c r="G193" s="23"/>
      <c r="H193" s="33"/>
      <c r="J193" s="31" t="s">
        <v>194</v>
      </c>
      <c r="K193" s="32" t="s">
        <v>195</v>
      </c>
      <c r="L193" s="32"/>
      <c r="M193" s="23"/>
      <c r="N193" s="32" t="s">
        <v>196</v>
      </c>
      <c r="O193" s="23"/>
      <c r="P193" s="23"/>
      <c r="Q193" s="33"/>
      <c r="S193" s="31" t="s">
        <v>194</v>
      </c>
      <c r="T193" s="32" t="s">
        <v>195</v>
      </c>
      <c r="U193" s="32"/>
      <c r="V193" s="23"/>
      <c r="W193" s="32" t="s">
        <v>196</v>
      </c>
      <c r="X193" s="23"/>
      <c r="Y193" s="23"/>
      <c r="Z193" s="33"/>
      <c r="AB193" s="31" t="s">
        <v>194</v>
      </c>
      <c r="AC193" s="32" t="s">
        <v>195</v>
      </c>
      <c r="AD193" s="32"/>
      <c r="AE193" s="23"/>
      <c r="AF193" s="32" t="s">
        <v>196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197</v>
      </c>
      <c r="B196" s="130" t="s">
        <v>198</v>
      </c>
      <c r="C196" s="130"/>
      <c r="D196" s="130"/>
      <c r="E196" s="163" t="s">
        <v>199</v>
      </c>
      <c r="F196" s="23"/>
      <c r="G196" s="23"/>
      <c r="H196" s="33"/>
      <c r="J196" s="31" t="s">
        <v>197</v>
      </c>
      <c r="K196" s="32" t="s">
        <v>198</v>
      </c>
      <c r="L196" s="32"/>
      <c r="M196" s="32"/>
      <c r="N196" s="39" t="s">
        <v>199</v>
      </c>
      <c r="O196" s="23"/>
      <c r="P196" s="23"/>
      <c r="Q196" s="33"/>
      <c r="S196" s="31" t="s">
        <v>197</v>
      </c>
      <c r="T196" s="32" t="s">
        <v>198</v>
      </c>
      <c r="U196" s="32"/>
      <c r="V196" s="32"/>
      <c r="W196" s="39" t="s">
        <v>199</v>
      </c>
      <c r="X196" s="32"/>
      <c r="Y196" s="32"/>
      <c r="Z196" s="33"/>
      <c r="AB196" s="31" t="s">
        <v>197</v>
      </c>
      <c r="AC196" s="32" t="s">
        <v>198</v>
      </c>
      <c r="AD196" s="32"/>
      <c r="AE196" s="32"/>
      <c r="AF196" s="39" t="s">
        <v>199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200</v>
      </c>
      <c r="B199" s="163" t="s">
        <v>201</v>
      </c>
      <c r="C199" s="130"/>
      <c r="D199" s="130"/>
      <c r="E199" s="163" t="s">
        <v>202</v>
      </c>
      <c r="F199" s="23"/>
      <c r="G199" s="23"/>
      <c r="H199" s="33"/>
      <c r="J199" s="60" t="s">
        <v>200</v>
      </c>
      <c r="K199" s="39" t="s">
        <v>201</v>
      </c>
      <c r="L199" s="32"/>
      <c r="M199" s="32"/>
      <c r="N199" s="39" t="s">
        <v>202</v>
      </c>
      <c r="O199" s="23"/>
      <c r="P199" s="23"/>
      <c r="Q199" s="33"/>
      <c r="S199" s="60" t="s">
        <v>200</v>
      </c>
      <c r="T199" s="39" t="s">
        <v>201</v>
      </c>
      <c r="U199" s="32"/>
      <c r="V199" s="32"/>
      <c r="W199" s="39" t="s">
        <v>202</v>
      </c>
      <c r="X199" s="32"/>
      <c r="Y199" s="32"/>
      <c r="Z199" s="33"/>
      <c r="AB199" s="60" t="s">
        <v>200</v>
      </c>
      <c r="AC199" s="39" t="s">
        <v>201</v>
      </c>
      <c r="AD199" s="32"/>
      <c r="AE199" s="32"/>
      <c r="AF199" s="39" t="s">
        <v>202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203</v>
      </c>
      <c r="B202" s="130"/>
      <c r="C202" s="130"/>
      <c r="D202" s="67"/>
      <c r="E202" s="67"/>
      <c r="F202" s="67"/>
      <c r="G202" s="67"/>
      <c r="H202" s="68"/>
      <c r="J202" s="66" t="s">
        <v>203</v>
      </c>
      <c r="K202" s="32"/>
      <c r="L202" s="32"/>
      <c r="M202" s="67"/>
      <c r="N202" s="67"/>
      <c r="O202" s="67"/>
      <c r="P202" s="67"/>
      <c r="Q202" s="68"/>
      <c r="S202" s="66" t="s">
        <v>203</v>
      </c>
      <c r="T202" s="32"/>
      <c r="U202" s="32"/>
      <c r="V202" s="67"/>
      <c r="W202" s="67"/>
      <c r="X202" s="67"/>
      <c r="Y202" s="67"/>
      <c r="Z202" s="68"/>
      <c r="AB202" s="66" t="s">
        <v>203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84</v>
      </c>
      <c r="B204" s="71" t="s">
        <v>85</v>
      </c>
      <c r="C204" s="71"/>
      <c r="D204" s="71"/>
      <c r="E204" s="23"/>
      <c r="F204" s="23"/>
      <c r="G204" s="23"/>
      <c r="H204" s="33"/>
      <c r="J204" s="184" t="s">
        <v>84</v>
      </c>
      <c r="K204" s="185" t="s">
        <v>85</v>
      </c>
      <c r="L204" s="185"/>
      <c r="M204" s="185"/>
      <c r="N204" s="23"/>
      <c r="O204" s="23"/>
      <c r="P204" s="23"/>
      <c r="Q204" s="33"/>
      <c r="S204" s="184" t="s">
        <v>84</v>
      </c>
      <c r="T204" s="71" t="s">
        <v>85</v>
      </c>
      <c r="U204" s="71"/>
      <c r="V204" s="71"/>
      <c r="W204" s="23"/>
      <c r="X204" s="23"/>
      <c r="Y204" s="23"/>
      <c r="Z204" s="33"/>
      <c r="AB204" s="184" t="s">
        <v>84</v>
      </c>
      <c r="AC204" s="71" t="s">
        <v>85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182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127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204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184</v>
      </c>
      <c r="B220" s="189" t="s">
        <v>185</v>
      </c>
      <c r="C220" s="189"/>
      <c r="D220" s="189"/>
      <c r="E220" s="189" t="s">
        <v>186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188</v>
      </c>
      <c r="B223" s="130" t="s">
        <v>189</v>
      </c>
      <c r="C223" s="130"/>
      <c r="D223" s="109"/>
      <c r="E223" s="130" t="s">
        <v>190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191</v>
      </c>
      <c r="B226" s="130" t="s">
        <v>138</v>
      </c>
      <c r="C226" s="130"/>
      <c r="D226" s="109"/>
      <c r="E226" s="130" t="s">
        <v>139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140</v>
      </c>
      <c r="B229" s="130" t="s">
        <v>176</v>
      </c>
      <c r="C229" s="130"/>
      <c r="D229" s="109"/>
      <c r="E229" s="130" t="s">
        <v>181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192</v>
      </c>
      <c r="B232" s="130" t="s">
        <v>53</v>
      </c>
      <c r="C232" s="130"/>
      <c r="D232" s="109"/>
      <c r="E232" s="130" t="s">
        <v>193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194</v>
      </c>
      <c r="B235" s="130" t="s">
        <v>195</v>
      </c>
      <c r="C235" s="130"/>
      <c r="D235" s="109"/>
      <c r="E235" s="130" t="s">
        <v>205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184</v>
      </c>
      <c r="B238" s="130" t="s">
        <v>185</v>
      </c>
      <c r="C238" s="130"/>
      <c r="D238" s="130"/>
      <c r="E238" s="130" t="s">
        <v>186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206</v>
      </c>
      <c r="B241" s="130" t="s">
        <v>207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208</v>
      </c>
      <c r="B244" s="163" t="s">
        <v>74</v>
      </c>
      <c r="C244" s="130"/>
      <c r="D244" s="130"/>
      <c r="E244" s="163" t="s">
        <v>132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209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210</v>
      </c>
      <c r="B248" s="130" t="s">
        <v>198</v>
      </c>
      <c r="C248" s="130"/>
      <c r="D248" s="130"/>
      <c r="E248" s="163" t="s">
        <v>199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200</v>
      </c>
      <c r="B251" s="163" t="s">
        <v>201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211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212</v>
      </c>
      <c r="B262" s="193" t="n">
        <f aca="false">B72</f>
        <v>0.065</v>
      </c>
      <c r="C262" s="194"/>
      <c r="D262" s="195" t="s">
        <v>213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214</v>
      </c>
      <c r="B263" s="196"/>
      <c r="C263" s="194"/>
      <c r="D263" s="195" t="s">
        <v>215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216</v>
      </c>
      <c r="B264" s="196" t="n">
        <f aca="false">F271+B272</f>
        <v>99.9916666666667</v>
      </c>
      <c r="C264" s="194"/>
      <c r="D264" s="195" t="s">
        <v>217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212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218</v>
      </c>
      <c r="B268" s="201" t="n">
        <f aca="false">B73</f>
        <v>0.072</v>
      </c>
      <c r="C268" s="32"/>
      <c r="D268" s="163" t="s">
        <v>219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213</v>
      </c>
      <c r="B269" s="205" t="n">
        <f aca="false">B92</f>
        <v>0.1475</v>
      </c>
      <c r="C269" s="43"/>
      <c r="D269" s="163" t="s">
        <v>214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220</v>
      </c>
      <c r="B270" s="205" t="n">
        <f aca="false">B76</f>
        <v>0.005</v>
      </c>
      <c r="C270" s="32"/>
      <c r="D270" s="163" t="s">
        <v>220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221</v>
      </c>
      <c r="B271" s="201" t="n">
        <f aca="false">A117</f>
        <v>0.2</v>
      </c>
      <c r="C271" s="32"/>
      <c r="D271" s="163" t="s">
        <v>221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222</v>
      </c>
      <c r="B272" s="143" t="n">
        <f aca="false">A252</f>
        <v>99.9916666666667</v>
      </c>
      <c r="C272" s="32"/>
      <c r="D272" s="39" t="s">
        <v>217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223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224</v>
      </c>
      <c r="B275" s="148" t="n">
        <v>0</v>
      </c>
      <c r="C275" s="32"/>
      <c r="D275" s="206" t="s">
        <v>225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226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227</v>
      </c>
      <c r="B277" s="207" t="s">
        <v>4</v>
      </c>
      <c r="C277" s="32"/>
      <c r="D277" s="163" t="s">
        <v>228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229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230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231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72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73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74</v>
      </c>
      <c r="B48" s="43"/>
      <c r="C48" s="43"/>
      <c r="D48" s="43"/>
      <c r="E48" s="43"/>
      <c r="F48" s="43"/>
      <c r="G48" s="43"/>
      <c r="H48" s="47"/>
      <c r="J48" s="55" t="s">
        <v>75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76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77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78</v>
      </c>
      <c r="B52" s="32"/>
      <c r="C52" s="32" t="s">
        <v>79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80</v>
      </c>
      <c r="K53" s="64" t="s">
        <v>232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82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83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84</v>
      </c>
      <c r="B58" s="71" t="s">
        <v>85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86</v>
      </c>
      <c r="B67" s="32" t="n">
        <v>1</v>
      </c>
      <c r="C67" s="32"/>
      <c r="D67" s="32"/>
      <c r="E67" s="23"/>
      <c r="F67" s="23"/>
      <c r="G67" s="23"/>
      <c r="H67" s="33"/>
      <c r="J67" s="31" t="s">
        <v>86</v>
      </c>
      <c r="K67" s="32" t="n">
        <v>1</v>
      </c>
      <c r="L67" s="32"/>
      <c r="M67" s="32"/>
      <c r="N67" s="23"/>
      <c r="O67" s="23"/>
      <c r="P67" s="23"/>
      <c r="Q67" s="33"/>
      <c r="S67" s="31" t="s">
        <v>86</v>
      </c>
      <c r="T67" s="32" t="n">
        <v>1</v>
      </c>
      <c r="U67" s="32"/>
      <c r="V67" s="32"/>
      <c r="W67" s="23"/>
      <c r="X67" s="23"/>
      <c r="Y67" s="23"/>
      <c r="Z67" s="33"/>
      <c r="AB67" s="31" t="s">
        <v>86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87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87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87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87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88</v>
      </c>
      <c r="B69" s="77" t="n">
        <v>10</v>
      </c>
      <c r="C69" s="32"/>
      <c r="D69" s="32"/>
      <c r="E69" s="23"/>
      <c r="F69" s="23"/>
      <c r="G69" s="23"/>
      <c r="H69" s="33"/>
      <c r="J69" s="76" t="s">
        <v>88</v>
      </c>
      <c r="K69" s="77" t="n">
        <v>20</v>
      </c>
      <c r="L69" s="32"/>
      <c r="M69" s="32"/>
      <c r="N69" s="23"/>
      <c r="O69" s="23"/>
      <c r="P69" s="23"/>
      <c r="Q69" s="33"/>
      <c r="S69" s="76" t="s">
        <v>88</v>
      </c>
      <c r="T69" s="77" t="n">
        <v>10</v>
      </c>
      <c r="U69" s="32"/>
      <c r="V69" s="32"/>
      <c r="W69" s="23"/>
      <c r="X69" s="23"/>
      <c r="Y69" s="23"/>
      <c r="Z69" s="33"/>
      <c r="AB69" s="76" t="s">
        <v>88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89</v>
      </c>
      <c r="B71" s="79" t="n">
        <v>0.0105</v>
      </c>
      <c r="C71" s="32"/>
      <c r="D71" s="32"/>
      <c r="E71" s="23"/>
      <c r="F71" s="23"/>
      <c r="G71" s="23"/>
      <c r="H71" s="33"/>
      <c r="J71" s="78" t="s">
        <v>89</v>
      </c>
      <c r="K71" s="79" t="n">
        <v>0.06</v>
      </c>
      <c r="L71" s="32"/>
      <c r="M71" s="32"/>
      <c r="N71" s="23"/>
      <c r="O71" s="23"/>
      <c r="P71" s="23"/>
      <c r="Q71" s="33"/>
      <c r="S71" s="78" t="s">
        <v>89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89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90</v>
      </c>
      <c r="B72" s="81" t="n">
        <v>0.065</v>
      </c>
      <c r="C72" s="32"/>
      <c r="D72" s="32"/>
      <c r="E72" s="23"/>
      <c r="F72" s="23"/>
      <c r="G72" s="23"/>
      <c r="H72" s="33"/>
      <c r="J72" s="80" t="s">
        <v>90</v>
      </c>
      <c r="K72" s="81" t="n">
        <v>0.08</v>
      </c>
      <c r="L72" s="32"/>
      <c r="M72" s="32"/>
      <c r="N72" s="23"/>
      <c r="O72" s="23"/>
      <c r="P72" s="23"/>
      <c r="Q72" s="33"/>
      <c r="S72" s="80" t="s">
        <v>90</v>
      </c>
      <c r="T72" s="81" t="n">
        <v>0.059</v>
      </c>
      <c r="U72" s="32"/>
      <c r="V72" s="32"/>
      <c r="W72" s="23"/>
      <c r="X72" s="23"/>
      <c r="Y72" s="23"/>
      <c r="Z72" s="33"/>
      <c r="AB72" s="80" t="s">
        <v>90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91</v>
      </c>
      <c r="B73" s="83" t="n">
        <v>0.072</v>
      </c>
      <c r="C73" s="32"/>
      <c r="D73" s="32"/>
      <c r="E73" s="23"/>
      <c r="F73" s="23"/>
      <c r="G73" s="23"/>
      <c r="H73" s="33"/>
      <c r="J73" s="82" t="s">
        <v>91</v>
      </c>
      <c r="K73" s="83" t="n">
        <v>0.1</v>
      </c>
      <c r="L73" s="32"/>
      <c r="M73" s="32"/>
      <c r="N73" s="23"/>
      <c r="O73" s="23"/>
      <c r="P73" s="23"/>
      <c r="Q73" s="33"/>
      <c r="S73" s="82" t="s">
        <v>91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91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92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92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92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92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93</v>
      </c>
      <c r="B75" s="79" t="n">
        <v>0.005</v>
      </c>
      <c r="C75" s="32"/>
      <c r="D75" s="32"/>
      <c r="E75" s="23"/>
      <c r="F75" s="23"/>
      <c r="G75" s="23"/>
      <c r="H75" s="33"/>
      <c r="J75" s="78" t="s">
        <v>93</v>
      </c>
      <c r="K75" s="79" t="n">
        <v>0.05</v>
      </c>
      <c r="L75" s="32"/>
      <c r="M75" s="32"/>
      <c r="N75" s="23"/>
      <c r="O75" s="23"/>
      <c r="P75" s="23"/>
      <c r="Q75" s="33"/>
      <c r="S75" s="78" t="s">
        <v>93</v>
      </c>
      <c r="T75" s="79" t="n">
        <v>0.005</v>
      </c>
      <c r="U75" s="32"/>
      <c r="V75" s="32"/>
      <c r="W75" s="23"/>
      <c r="X75" s="23"/>
      <c r="Y75" s="23"/>
      <c r="Z75" s="33"/>
      <c r="AB75" s="78" t="s">
        <v>93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94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94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94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94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95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95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95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95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96</v>
      </c>
      <c r="B78" s="79" t="n">
        <v>0</v>
      </c>
      <c r="C78" s="32"/>
      <c r="D78" s="32"/>
      <c r="E78" s="23"/>
      <c r="F78" s="23"/>
      <c r="G78" s="23"/>
      <c r="H78" s="33"/>
      <c r="J78" s="78" t="s">
        <v>96</v>
      </c>
      <c r="K78" s="79" t="n">
        <v>0</v>
      </c>
      <c r="L78" s="32"/>
      <c r="M78" s="32"/>
      <c r="N78" s="23"/>
      <c r="O78" s="23"/>
      <c r="P78" s="23"/>
      <c r="Q78" s="33"/>
      <c r="S78" s="78" t="s">
        <v>96</v>
      </c>
      <c r="T78" s="79" t="n">
        <v>0</v>
      </c>
      <c r="U78" s="32"/>
      <c r="V78" s="32"/>
      <c r="W78" s="23"/>
      <c r="X78" s="23"/>
      <c r="Y78" s="23"/>
      <c r="Z78" s="33"/>
      <c r="AB78" s="78" t="s">
        <v>96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97</v>
      </c>
      <c r="B79" s="81" t="n">
        <v>0</v>
      </c>
      <c r="C79" s="32"/>
      <c r="D79" s="32"/>
      <c r="E79" s="23"/>
      <c r="F79" s="23"/>
      <c r="G79" s="23"/>
      <c r="H79" s="33"/>
      <c r="J79" s="80" t="s">
        <v>97</v>
      </c>
      <c r="K79" s="81" t="n">
        <v>0</v>
      </c>
      <c r="L79" s="32"/>
      <c r="M79" s="32"/>
      <c r="N79" s="23"/>
      <c r="O79" s="23"/>
      <c r="P79" s="23"/>
      <c r="Q79" s="33"/>
      <c r="S79" s="80" t="s">
        <v>97</v>
      </c>
      <c r="T79" s="81" t="n">
        <v>0</v>
      </c>
      <c r="U79" s="32"/>
      <c r="V79" s="32"/>
      <c r="W79" s="23"/>
      <c r="X79" s="23"/>
      <c r="Y79" s="23"/>
      <c r="Z79" s="33"/>
      <c r="AB79" s="80" t="s">
        <v>97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98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98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98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98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99</v>
      </c>
      <c r="B81" s="86" t="n">
        <v>0</v>
      </c>
      <c r="C81" s="32"/>
      <c r="D81" s="32"/>
      <c r="E81" s="23"/>
      <c r="F81" s="23"/>
      <c r="G81" s="23"/>
      <c r="H81" s="33"/>
      <c r="J81" s="78" t="s">
        <v>99</v>
      </c>
      <c r="K81" s="86" t="n">
        <v>0</v>
      </c>
      <c r="L81" s="32"/>
      <c r="M81" s="32"/>
      <c r="N81" s="23"/>
      <c r="O81" s="23"/>
      <c r="P81" s="23"/>
      <c r="Q81" s="33"/>
      <c r="S81" s="78" t="s">
        <v>99</v>
      </c>
      <c r="T81" s="86" t="n">
        <v>0</v>
      </c>
      <c r="U81" s="32"/>
      <c r="V81" s="32"/>
      <c r="W81" s="23"/>
      <c r="X81" s="23"/>
      <c r="Y81" s="23"/>
      <c r="Z81" s="33"/>
      <c r="AB81" s="78" t="s">
        <v>99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100</v>
      </c>
      <c r="B82" s="77" t="n">
        <v>0</v>
      </c>
      <c r="C82" s="32"/>
      <c r="D82" s="32"/>
      <c r="E82" s="23"/>
      <c r="F82" s="23"/>
      <c r="G82" s="23"/>
      <c r="H82" s="33"/>
      <c r="J82" s="80" t="s">
        <v>100</v>
      </c>
      <c r="K82" s="77" t="n">
        <v>0</v>
      </c>
      <c r="L82" s="32"/>
      <c r="M82" s="32"/>
      <c r="N82" s="23"/>
      <c r="O82" s="23"/>
      <c r="P82" s="23"/>
      <c r="Q82" s="33"/>
      <c r="S82" s="80" t="s">
        <v>100</v>
      </c>
      <c r="T82" s="77" t="n">
        <v>0</v>
      </c>
      <c r="U82" s="32"/>
      <c r="V82" s="32"/>
      <c r="W82" s="23"/>
      <c r="X82" s="23"/>
      <c r="Y82" s="23"/>
      <c r="Z82" s="33"/>
      <c r="AB82" s="80" t="s">
        <v>100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101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101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101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101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102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102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102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102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103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103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103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103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104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104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104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104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105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105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105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105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106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106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106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106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107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107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107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107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108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108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108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108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109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109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109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109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110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110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110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110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111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111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111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111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112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112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112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112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113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113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113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113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114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114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114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114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115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115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115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115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116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116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116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116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117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117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117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117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118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118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118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118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119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119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119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119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120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120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120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120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121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121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121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121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122</v>
      </c>
      <c r="B109" s="96"/>
      <c r="C109" s="96"/>
      <c r="D109" s="96"/>
      <c r="E109" s="96"/>
      <c r="F109" s="96"/>
      <c r="G109" s="96"/>
      <c r="H109" s="96"/>
      <c r="J109" s="24" t="s">
        <v>123</v>
      </c>
      <c r="K109" s="24"/>
      <c r="L109" s="24"/>
      <c r="M109" s="24"/>
      <c r="N109" s="24"/>
      <c r="O109" s="24"/>
      <c r="P109" s="24"/>
      <c r="Q109" s="24"/>
      <c r="S109" s="96" t="s">
        <v>124</v>
      </c>
      <c r="T109" s="96"/>
      <c r="U109" s="96"/>
      <c r="V109" s="96"/>
      <c r="W109" s="96"/>
      <c r="X109" s="96"/>
      <c r="Y109" s="96"/>
      <c r="Z109" s="96"/>
      <c r="AB109" s="96" t="s">
        <v>125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129</v>
      </c>
      <c r="K114" s="101" t="s">
        <v>130</v>
      </c>
      <c r="L114" s="101"/>
      <c r="M114" s="101"/>
      <c r="N114" s="100" t="s">
        <v>18</v>
      </c>
      <c r="O114" s="100"/>
      <c r="P114" s="100"/>
      <c r="Q114" s="98"/>
      <c r="S114" s="36" t="s">
        <v>129</v>
      </c>
      <c r="T114" s="99" t="s">
        <v>130</v>
      </c>
      <c r="U114" s="99"/>
      <c r="V114" s="99"/>
      <c r="W114" s="100" t="s">
        <v>18</v>
      </c>
      <c r="X114" s="100"/>
      <c r="Y114" s="100"/>
      <c r="Z114" s="98"/>
      <c r="AB114" s="36" t="s">
        <v>129</v>
      </c>
      <c r="AC114" s="99" t="s">
        <v>130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98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98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98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134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134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135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135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98"/>
      <c r="J122" s="106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98"/>
      <c r="S122" s="106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98"/>
      <c r="AB122" s="106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145</v>
      </c>
      <c r="C128" s="110"/>
      <c r="D128" s="110" t="s">
        <v>146</v>
      </c>
      <c r="E128" s="110"/>
      <c r="F128" s="110" t="s">
        <v>147</v>
      </c>
      <c r="G128" s="110"/>
      <c r="H128" s="111" t="s">
        <v>148</v>
      </c>
      <c r="J128" s="78"/>
      <c r="K128" s="110" t="s">
        <v>145</v>
      </c>
      <c r="L128" s="110"/>
      <c r="M128" s="110" t="s">
        <v>146</v>
      </c>
      <c r="N128" s="110"/>
      <c r="O128" s="110" t="s">
        <v>147</v>
      </c>
      <c r="P128" s="110"/>
      <c r="Q128" s="111" t="s">
        <v>148</v>
      </c>
      <c r="S128" s="78"/>
      <c r="T128" s="110" t="s">
        <v>145</v>
      </c>
      <c r="U128" s="110"/>
      <c r="V128" s="110" t="s">
        <v>146</v>
      </c>
      <c r="W128" s="110"/>
      <c r="X128" s="110" t="s">
        <v>147</v>
      </c>
      <c r="Y128" s="110"/>
      <c r="Z128" s="111" t="s">
        <v>148</v>
      </c>
      <c r="AB128" s="78"/>
      <c r="AC128" s="110" t="s">
        <v>145</v>
      </c>
      <c r="AD128" s="110"/>
      <c r="AE128" s="110" t="s">
        <v>146</v>
      </c>
      <c r="AF128" s="110"/>
      <c r="AG128" s="110" t="s">
        <v>147</v>
      </c>
      <c r="AH128" s="110"/>
      <c r="AI128" s="111" t="s">
        <v>148</v>
      </c>
    </row>
    <row r="129" customFormat="false" ht="19.7" hidden="false" customHeight="false" outlineLevel="0" collapsed="false">
      <c r="A129" s="80"/>
      <c r="B129" s="112" t="s">
        <v>149</v>
      </c>
      <c r="C129" s="113" t="s">
        <v>150</v>
      </c>
      <c r="D129" s="112" t="s">
        <v>149</v>
      </c>
      <c r="E129" s="114" t="s">
        <v>150</v>
      </c>
      <c r="F129" s="112" t="s">
        <v>149</v>
      </c>
      <c r="G129" s="114" t="s">
        <v>150</v>
      </c>
      <c r="H129" s="115"/>
      <c r="J129" s="80"/>
      <c r="K129" s="112" t="s">
        <v>149</v>
      </c>
      <c r="L129" s="113" t="s">
        <v>150</v>
      </c>
      <c r="M129" s="112" t="s">
        <v>149</v>
      </c>
      <c r="N129" s="114" t="s">
        <v>150</v>
      </c>
      <c r="O129" s="112" t="s">
        <v>149</v>
      </c>
      <c r="P129" s="114" t="s">
        <v>150</v>
      </c>
      <c r="Q129" s="115"/>
      <c r="S129" s="80"/>
      <c r="T129" s="112" t="s">
        <v>149</v>
      </c>
      <c r="U129" s="113" t="s">
        <v>150</v>
      </c>
      <c r="V129" s="112" t="s">
        <v>149</v>
      </c>
      <c r="W129" s="114" t="s">
        <v>150</v>
      </c>
      <c r="X129" s="112" t="s">
        <v>149</v>
      </c>
      <c r="Y129" s="114" t="s">
        <v>150</v>
      </c>
      <c r="Z129" s="115"/>
      <c r="AB129" s="80"/>
      <c r="AC129" s="112" t="s">
        <v>149</v>
      </c>
      <c r="AD129" s="113" t="s">
        <v>150</v>
      </c>
      <c r="AE129" s="112" t="s">
        <v>149</v>
      </c>
      <c r="AF129" s="114" t="s">
        <v>150</v>
      </c>
      <c r="AG129" s="112" t="s">
        <v>149</v>
      </c>
      <c r="AH129" s="114" t="s">
        <v>150</v>
      </c>
      <c r="AI129" s="115"/>
    </row>
    <row r="130" customFormat="false" ht="17.35" hidden="false" customHeight="false" outlineLevel="0" collapsed="false">
      <c r="A130" s="25" t="s">
        <v>151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152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152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152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153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149</v>
      </c>
      <c r="H136" s="134" t="s">
        <v>150</v>
      </c>
      <c r="J136" s="131"/>
      <c r="K136" s="135"/>
      <c r="L136" s="135"/>
      <c r="M136" s="135"/>
      <c r="N136" s="135"/>
      <c r="O136" s="135"/>
      <c r="P136" s="136" t="s">
        <v>149</v>
      </c>
      <c r="Q136" s="134" t="s">
        <v>150</v>
      </c>
      <c r="S136" s="131"/>
      <c r="T136" s="135"/>
      <c r="U136" s="135"/>
      <c r="V136" s="135"/>
      <c r="W136" s="135"/>
      <c r="X136" s="135"/>
      <c r="Y136" s="136" t="s">
        <v>149</v>
      </c>
      <c r="Z136" s="134" t="s">
        <v>150</v>
      </c>
      <c r="AB136" s="131"/>
      <c r="AC136" s="135"/>
      <c r="AD136" s="135"/>
      <c r="AE136" s="135"/>
      <c r="AF136" s="135"/>
      <c r="AG136" s="135"/>
      <c r="AH136" s="136" t="s">
        <v>149</v>
      </c>
      <c r="AI136" s="134" t="s">
        <v>150</v>
      </c>
    </row>
    <row r="137" customFormat="false" ht="17.35" hidden="false" customHeight="false" outlineLevel="0" collapsed="false">
      <c r="A137" s="137" t="s">
        <v>156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156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156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156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157</v>
      </c>
      <c r="B139" s="141" t="s">
        <v>158</v>
      </c>
      <c r="C139" s="141"/>
      <c r="D139" s="141" t="s">
        <v>159</v>
      </c>
      <c r="E139" s="141"/>
      <c r="F139" s="141" t="s">
        <v>153</v>
      </c>
      <c r="G139" s="141"/>
      <c r="H139" s="142" t="s">
        <v>150</v>
      </c>
      <c r="J139" s="144" t="s">
        <v>157</v>
      </c>
      <c r="K139" s="145" t="s">
        <v>158</v>
      </c>
      <c r="L139" s="145"/>
      <c r="M139" s="141" t="s">
        <v>159</v>
      </c>
      <c r="N139" s="141"/>
      <c r="O139" s="141" t="s">
        <v>153</v>
      </c>
      <c r="P139" s="141"/>
      <c r="Q139" s="142" t="s">
        <v>150</v>
      </c>
      <c r="S139" s="144" t="s">
        <v>157</v>
      </c>
      <c r="T139" s="141" t="s">
        <v>158</v>
      </c>
      <c r="U139" s="141"/>
      <c r="V139" s="141" t="s">
        <v>159</v>
      </c>
      <c r="W139" s="141"/>
      <c r="X139" s="141" t="s">
        <v>153</v>
      </c>
      <c r="Y139" s="141"/>
      <c r="Z139" s="142" t="s">
        <v>150</v>
      </c>
      <c r="AB139" s="144" t="s">
        <v>157</v>
      </c>
      <c r="AC139" s="141" t="s">
        <v>158</v>
      </c>
      <c r="AD139" s="141"/>
      <c r="AE139" s="141" t="s">
        <v>159</v>
      </c>
      <c r="AF139" s="141"/>
      <c r="AG139" s="141" t="s">
        <v>153</v>
      </c>
      <c r="AH139" s="141"/>
      <c r="AI139" s="142" t="s">
        <v>150</v>
      </c>
    </row>
    <row r="140" customFormat="false" ht="17.35" hidden="false" customHeight="false" outlineLevel="0" collapsed="false">
      <c r="A140" s="31" t="s">
        <v>160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160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160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160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161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161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161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162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162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162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163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163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163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163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164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164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164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164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165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165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165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165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166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166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166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166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167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167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167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167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168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168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168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168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169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169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169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169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170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170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170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170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171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171</v>
      </c>
      <c r="K152" s="156"/>
      <c r="L152" s="156"/>
      <c r="M152" s="156"/>
      <c r="N152" s="156"/>
      <c r="O152" s="156"/>
      <c r="P152" s="38"/>
      <c r="Q152" s="33"/>
      <c r="S152" s="107" t="s">
        <v>171</v>
      </c>
      <c r="T152" s="107"/>
      <c r="U152" s="107"/>
      <c r="V152" s="107"/>
      <c r="W152" s="107"/>
      <c r="X152" s="107"/>
      <c r="Y152" s="38"/>
      <c r="Z152" s="33"/>
      <c r="AB152" s="107" t="s">
        <v>171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172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172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172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172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172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172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172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172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172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172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172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173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173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173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173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174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174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174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174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176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176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176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177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177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177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178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178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178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179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179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179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180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180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180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181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181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181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181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183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183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183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184</v>
      </c>
      <c r="B175" s="171" t="s">
        <v>185</v>
      </c>
      <c r="C175" s="171"/>
      <c r="D175" s="171"/>
      <c r="E175" s="171" t="s">
        <v>186</v>
      </c>
      <c r="F175" s="23"/>
      <c r="G175" s="23"/>
      <c r="H175" s="33"/>
      <c r="J175" s="170" t="s">
        <v>184</v>
      </c>
      <c r="K175" s="172" t="s">
        <v>185</v>
      </c>
      <c r="L175" s="172"/>
      <c r="M175" s="172"/>
      <c r="N175" s="172" t="s">
        <v>186</v>
      </c>
      <c r="O175" s="23"/>
      <c r="P175" s="23"/>
      <c r="Q175" s="33"/>
      <c r="S175" s="170" t="s">
        <v>184</v>
      </c>
      <c r="T175" s="172" t="s">
        <v>185</v>
      </c>
      <c r="U175" s="172"/>
      <c r="V175" s="172"/>
      <c r="W175" s="172" t="s">
        <v>186</v>
      </c>
      <c r="X175" s="23"/>
      <c r="Y175" s="23"/>
      <c r="Z175" s="33"/>
      <c r="AB175" s="170" t="s">
        <v>184</v>
      </c>
      <c r="AC175" s="172" t="s">
        <v>185</v>
      </c>
      <c r="AD175" s="172"/>
      <c r="AE175" s="172"/>
      <c r="AF175" s="172" t="s">
        <v>186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84</v>
      </c>
      <c r="B178" s="130" t="s">
        <v>85</v>
      </c>
      <c r="C178" s="130"/>
      <c r="D178" s="23"/>
      <c r="E178" s="130" t="s">
        <v>187</v>
      </c>
      <c r="F178" s="23"/>
      <c r="G178" s="23"/>
      <c r="H178" s="33"/>
      <c r="J178" s="31" t="s">
        <v>84</v>
      </c>
      <c r="K178" s="32" t="s">
        <v>85</v>
      </c>
      <c r="L178" s="32"/>
      <c r="M178" s="23"/>
      <c r="N178" s="32" t="s">
        <v>187</v>
      </c>
      <c r="O178" s="23"/>
      <c r="P178" s="23"/>
      <c r="Q178" s="33"/>
      <c r="S178" s="31" t="s">
        <v>84</v>
      </c>
      <c r="T178" s="32" t="s">
        <v>85</v>
      </c>
      <c r="U178" s="32"/>
      <c r="V178" s="23"/>
      <c r="W178" s="32" t="s">
        <v>187</v>
      </c>
      <c r="X178" s="23"/>
      <c r="Y178" s="23"/>
      <c r="Z178" s="33"/>
      <c r="AB178" s="31" t="s">
        <v>84</v>
      </c>
      <c r="AC178" s="32" t="s">
        <v>85</v>
      </c>
      <c r="AD178" s="32"/>
      <c r="AE178" s="23"/>
      <c r="AF178" s="32" t="s">
        <v>187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30" t="s">
        <v>189</v>
      </c>
      <c r="C181" s="130"/>
      <c r="D181" s="23"/>
      <c r="E181" s="130" t="s">
        <v>190</v>
      </c>
      <c r="F181" s="23"/>
      <c r="G181" s="23"/>
      <c r="H181" s="33"/>
      <c r="J181" s="31" t="s">
        <v>188</v>
      </c>
      <c r="K181" s="32" t="s">
        <v>189</v>
      </c>
      <c r="L181" s="32"/>
      <c r="M181" s="23"/>
      <c r="N181" s="32" t="s">
        <v>190</v>
      </c>
      <c r="O181" s="23"/>
      <c r="P181" s="23"/>
      <c r="Q181" s="33"/>
      <c r="S181" s="31" t="s">
        <v>188</v>
      </c>
      <c r="T181" s="32" t="s">
        <v>189</v>
      </c>
      <c r="U181" s="32"/>
      <c r="V181" s="23"/>
      <c r="W181" s="32" t="s">
        <v>190</v>
      </c>
      <c r="X181" s="23"/>
      <c r="Y181" s="23"/>
      <c r="Z181" s="33"/>
      <c r="AB181" s="31" t="s">
        <v>188</v>
      </c>
      <c r="AC181" s="32" t="s">
        <v>189</v>
      </c>
      <c r="AD181" s="32"/>
      <c r="AE181" s="23"/>
      <c r="AF181" s="32" t="s">
        <v>190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191</v>
      </c>
      <c r="B184" s="130" t="s">
        <v>138</v>
      </c>
      <c r="C184" s="130"/>
      <c r="D184" s="23"/>
      <c r="E184" s="130" t="s">
        <v>139</v>
      </c>
      <c r="F184" s="23"/>
      <c r="G184" s="23"/>
      <c r="H184" s="33"/>
      <c r="J184" s="31" t="s">
        <v>191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191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191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130" t="s">
        <v>176</v>
      </c>
      <c r="C187" s="130"/>
      <c r="D187" s="23"/>
      <c r="E187" s="130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192</v>
      </c>
      <c r="B190" s="130" t="s">
        <v>53</v>
      </c>
      <c r="C190" s="130"/>
      <c r="D190" s="23"/>
      <c r="E190" s="130" t="s">
        <v>193</v>
      </c>
      <c r="F190" s="23"/>
      <c r="G190" s="23"/>
      <c r="H190" s="33"/>
      <c r="J190" s="31" t="s">
        <v>192</v>
      </c>
      <c r="K190" s="32" t="s">
        <v>53</v>
      </c>
      <c r="L190" s="32"/>
      <c r="M190" s="23"/>
      <c r="N190" s="32" t="s">
        <v>193</v>
      </c>
      <c r="O190" s="23"/>
      <c r="P190" s="23"/>
      <c r="Q190" s="33"/>
      <c r="S190" s="31" t="s">
        <v>192</v>
      </c>
      <c r="T190" s="32" t="s">
        <v>53</v>
      </c>
      <c r="U190" s="32"/>
      <c r="V190" s="23"/>
      <c r="W190" s="32" t="s">
        <v>193</v>
      </c>
      <c r="X190" s="23"/>
      <c r="Y190" s="23"/>
      <c r="Z190" s="33"/>
      <c r="AB190" s="31" t="s">
        <v>192</v>
      </c>
      <c r="AC190" s="32" t="s">
        <v>53</v>
      </c>
      <c r="AD190" s="32"/>
      <c r="AE190" s="23"/>
      <c r="AF190" s="32" t="s">
        <v>193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194</v>
      </c>
      <c r="B193" s="130" t="s">
        <v>195</v>
      </c>
      <c r="C193" s="130"/>
      <c r="D193" s="23"/>
      <c r="E193" s="130" t="s">
        <v>196</v>
      </c>
      <c r="F193" s="23"/>
      <c r="G193" s="23"/>
      <c r="H193" s="33"/>
      <c r="J193" s="31" t="s">
        <v>194</v>
      </c>
      <c r="K193" s="32" t="s">
        <v>195</v>
      </c>
      <c r="L193" s="32"/>
      <c r="M193" s="23"/>
      <c r="N193" s="32" t="s">
        <v>196</v>
      </c>
      <c r="O193" s="23"/>
      <c r="P193" s="23"/>
      <c r="Q193" s="33"/>
      <c r="S193" s="31" t="s">
        <v>194</v>
      </c>
      <c r="T193" s="32" t="s">
        <v>195</v>
      </c>
      <c r="U193" s="32"/>
      <c r="V193" s="23"/>
      <c r="W193" s="32" t="s">
        <v>196</v>
      </c>
      <c r="X193" s="23"/>
      <c r="Y193" s="23"/>
      <c r="Z193" s="33"/>
      <c r="AB193" s="31" t="s">
        <v>194</v>
      </c>
      <c r="AC193" s="32" t="s">
        <v>195</v>
      </c>
      <c r="AD193" s="32"/>
      <c r="AE193" s="23"/>
      <c r="AF193" s="32" t="s">
        <v>196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197</v>
      </c>
      <c r="B196" s="130" t="s">
        <v>198</v>
      </c>
      <c r="C196" s="130"/>
      <c r="D196" s="130"/>
      <c r="E196" s="163" t="s">
        <v>199</v>
      </c>
      <c r="F196" s="23"/>
      <c r="G196" s="23"/>
      <c r="H196" s="33"/>
      <c r="J196" s="31" t="s">
        <v>197</v>
      </c>
      <c r="K196" s="32" t="s">
        <v>198</v>
      </c>
      <c r="L196" s="32"/>
      <c r="M196" s="32"/>
      <c r="N196" s="39" t="s">
        <v>199</v>
      </c>
      <c r="O196" s="23"/>
      <c r="P196" s="23"/>
      <c r="Q196" s="33"/>
      <c r="S196" s="31" t="s">
        <v>197</v>
      </c>
      <c r="T196" s="32" t="s">
        <v>198</v>
      </c>
      <c r="U196" s="32"/>
      <c r="V196" s="32"/>
      <c r="W196" s="39" t="s">
        <v>199</v>
      </c>
      <c r="X196" s="32"/>
      <c r="Y196" s="32"/>
      <c r="Z196" s="33"/>
      <c r="AB196" s="31" t="s">
        <v>197</v>
      </c>
      <c r="AC196" s="32" t="s">
        <v>198</v>
      </c>
      <c r="AD196" s="32"/>
      <c r="AE196" s="32"/>
      <c r="AF196" s="39" t="s">
        <v>199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200</v>
      </c>
      <c r="B199" s="163" t="s">
        <v>201</v>
      </c>
      <c r="C199" s="130"/>
      <c r="D199" s="130"/>
      <c r="E199" s="163" t="s">
        <v>202</v>
      </c>
      <c r="F199" s="23"/>
      <c r="G199" s="23"/>
      <c r="H199" s="33"/>
      <c r="J199" s="60" t="s">
        <v>200</v>
      </c>
      <c r="K199" s="39" t="s">
        <v>201</v>
      </c>
      <c r="L199" s="32"/>
      <c r="M199" s="32"/>
      <c r="N199" s="39" t="s">
        <v>202</v>
      </c>
      <c r="O199" s="23"/>
      <c r="P199" s="23"/>
      <c r="Q199" s="33"/>
      <c r="S199" s="60" t="s">
        <v>200</v>
      </c>
      <c r="T199" s="39" t="s">
        <v>201</v>
      </c>
      <c r="U199" s="32"/>
      <c r="V199" s="32"/>
      <c r="W199" s="39" t="s">
        <v>202</v>
      </c>
      <c r="X199" s="32"/>
      <c r="Y199" s="32"/>
      <c r="Z199" s="33"/>
      <c r="AB199" s="60" t="s">
        <v>200</v>
      </c>
      <c r="AC199" s="39" t="s">
        <v>201</v>
      </c>
      <c r="AD199" s="32"/>
      <c r="AE199" s="32"/>
      <c r="AF199" s="39" t="s">
        <v>202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203</v>
      </c>
      <c r="B202" s="130"/>
      <c r="C202" s="130"/>
      <c r="D202" s="67"/>
      <c r="E202" s="67"/>
      <c r="F202" s="67"/>
      <c r="G202" s="67"/>
      <c r="H202" s="68"/>
      <c r="J202" s="66" t="s">
        <v>203</v>
      </c>
      <c r="K202" s="32"/>
      <c r="L202" s="32"/>
      <c r="M202" s="67"/>
      <c r="N202" s="67"/>
      <c r="O202" s="67"/>
      <c r="P202" s="67"/>
      <c r="Q202" s="68"/>
      <c r="S202" s="66" t="s">
        <v>203</v>
      </c>
      <c r="T202" s="32"/>
      <c r="U202" s="32"/>
      <c r="V202" s="67"/>
      <c r="W202" s="67"/>
      <c r="X202" s="67"/>
      <c r="Y202" s="67"/>
      <c r="Z202" s="68"/>
      <c r="AB202" s="66" t="s">
        <v>203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84</v>
      </c>
      <c r="B204" s="71" t="s">
        <v>85</v>
      </c>
      <c r="C204" s="71"/>
      <c r="D204" s="71"/>
      <c r="E204" s="23"/>
      <c r="F204" s="23"/>
      <c r="G204" s="23"/>
      <c r="H204" s="33"/>
      <c r="J204" s="184" t="s">
        <v>84</v>
      </c>
      <c r="K204" s="185" t="s">
        <v>85</v>
      </c>
      <c r="L204" s="185"/>
      <c r="M204" s="185"/>
      <c r="N204" s="23"/>
      <c r="O204" s="23"/>
      <c r="P204" s="23"/>
      <c r="Q204" s="33"/>
      <c r="S204" s="184" t="s">
        <v>84</v>
      </c>
      <c r="T204" s="71" t="s">
        <v>85</v>
      </c>
      <c r="U204" s="71"/>
      <c r="V204" s="71"/>
      <c r="W204" s="23"/>
      <c r="X204" s="23"/>
      <c r="Y204" s="23"/>
      <c r="Z204" s="33"/>
      <c r="AB204" s="184" t="s">
        <v>84</v>
      </c>
      <c r="AC204" s="71" t="s">
        <v>85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182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127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204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184</v>
      </c>
      <c r="B220" s="189" t="s">
        <v>185</v>
      </c>
      <c r="C220" s="189"/>
      <c r="D220" s="189"/>
      <c r="E220" s="189" t="s">
        <v>186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188</v>
      </c>
      <c r="B223" s="130" t="s">
        <v>189</v>
      </c>
      <c r="C223" s="130"/>
      <c r="D223" s="109"/>
      <c r="E223" s="130" t="s">
        <v>190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191</v>
      </c>
      <c r="B226" s="130" t="s">
        <v>138</v>
      </c>
      <c r="C226" s="130"/>
      <c r="D226" s="109"/>
      <c r="E226" s="130" t="s">
        <v>139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140</v>
      </c>
      <c r="B229" s="130" t="s">
        <v>176</v>
      </c>
      <c r="C229" s="130"/>
      <c r="D229" s="109"/>
      <c r="E229" s="130" t="s">
        <v>181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192</v>
      </c>
      <c r="B232" s="130" t="s">
        <v>53</v>
      </c>
      <c r="C232" s="130"/>
      <c r="D232" s="109"/>
      <c r="E232" s="130" t="s">
        <v>193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194</v>
      </c>
      <c r="B235" s="130" t="s">
        <v>195</v>
      </c>
      <c r="C235" s="130"/>
      <c r="D235" s="109"/>
      <c r="E235" s="130" t="s">
        <v>205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184</v>
      </c>
      <c r="B238" s="130" t="s">
        <v>185</v>
      </c>
      <c r="C238" s="130"/>
      <c r="D238" s="130"/>
      <c r="E238" s="130" t="s">
        <v>186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206</v>
      </c>
      <c r="B241" s="130" t="s">
        <v>207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208</v>
      </c>
      <c r="B244" s="163" t="s">
        <v>74</v>
      </c>
      <c r="C244" s="130"/>
      <c r="D244" s="130"/>
      <c r="E244" s="163" t="s">
        <v>132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209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210</v>
      </c>
      <c r="B248" s="130" t="s">
        <v>198</v>
      </c>
      <c r="C248" s="130"/>
      <c r="D248" s="130"/>
      <c r="E248" s="163" t="s">
        <v>199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200</v>
      </c>
      <c r="B251" s="163" t="s">
        <v>201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211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212</v>
      </c>
      <c r="B262" s="193" t="n">
        <f aca="false">B72</f>
        <v>0.065</v>
      </c>
      <c r="C262" s="194"/>
      <c r="D262" s="195" t="s">
        <v>213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214</v>
      </c>
      <c r="B263" s="196"/>
      <c r="C263" s="194"/>
      <c r="D263" s="195" t="s">
        <v>215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216</v>
      </c>
      <c r="B264" s="196" t="n">
        <f aca="false">F271+B272</f>
        <v>99.99</v>
      </c>
      <c r="C264" s="194"/>
      <c r="D264" s="195" t="s">
        <v>217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212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218</v>
      </c>
      <c r="B268" s="201" t="n">
        <f aca="false">B73</f>
        <v>0.072</v>
      </c>
      <c r="C268" s="32"/>
      <c r="D268" s="163" t="s">
        <v>219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213</v>
      </c>
      <c r="B269" s="205" t="n">
        <f aca="false">B92</f>
        <v>0.1475</v>
      </c>
      <c r="C269" s="43"/>
      <c r="D269" s="163" t="s">
        <v>214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220</v>
      </c>
      <c r="B270" s="205" t="n">
        <f aca="false">B76</f>
        <v>0.005</v>
      </c>
      <c r="C270" s="32"/>
      <c r="D270" s="163" t="s">
        <v>220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221</v>
      </c>
      <c r="B271" s="201" t="n">
        <f aca="false">A117</f>
        <v>0.2</v>
      </c>
      <c r="C271" s="32"/>
      <c r="D271" s="163" t="s">
        <v>221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222</v>
      </c>
      <c r="B272" s="143" t="n">
        <f aca="false">A252</f>
        <v>99.99</v>
      </c>
      <c r="C272" s="32"/>
      <c r="D272" s="39" t="s">
        <v>217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223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224</v>
      </c>
      <c r="B275" s="148" t="n">
        <v>0</v>
      </c>
      <c r="C275" s="32"/>
      <c r="D275" s="206" t="s">
        <v>225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226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227</v>
      </c>
      <c r="B277" s="207" t="s">
        <v>4</v>
      </c>
      <c r="C277" s="32"/>
      <c r="D277" s="163" t="s">
        <v>228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229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230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231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80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84</v>
      </c>
      <c r="B51" s="247" t="s">
        <v>85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86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87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88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89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90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91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92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94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95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96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97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99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100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101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102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103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105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106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107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108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110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114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115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118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119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120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121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204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206</v>
      </c>
      <c r="B232" s="130" t="s">
        <v>207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208</v>
      </c>
      <c r="B235" s="163" t="s">
        <v>74</v>
      </c>
      <c r="C235" s="130"/>
      <c r="D235" s="130"/>
      <c r="E235" s="163" t="s">
        <v>132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B63</f>
        <v>0.065</v>
      </c>
      <c r="C253" s="194"/>
      <c r="D253" s="195" t="s">
        <v>213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99.9916666666667</v>
      </c>
      <c r="C255" s="194"/>
      <c r="D255" s="195" t="s">
        <v>217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0.072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0.1475</v>
      </c>
      <c r="C260" s="43"/>
      <c r="D260" s="163" t="s">
        <v>214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0.009375</v>
      </c>
      <c r="C261" s="32"/>
      <c r="D261" s="163" t="s">
        <v>220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99.9916666666667</v>
      </c>
      <c r="C263" s="32"/>
      <c r="D263" s="39" t="s">
        <v>217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80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84</v>
      </c>
      <c r="B51" s="247" t="s">
        <v>85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86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87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88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89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90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91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92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94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95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96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97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99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100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101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102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103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105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106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107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108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110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114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115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118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119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120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121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204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206</v>
      </c>
      <c r="B232" s="130" t="s">
        <v>207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208</v>
      </c>
      <c r="B235" s="163" t="s">
        <v>74</v>
      </c>
      <c r="C235" s="130"/>
      <c r="D235" s="130"/>
      <c r="E235" s="163" t="s">
        <v>132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B63</f>
        <v>0.065</v>
      </c>
      <c r="C253" s="194"/>
      <c r="D253" s="195" t="s">
        <v>213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99.99</v>
      </c>
      <c r="C255" s="194"/>
      <c r="D255" s="195" t="s">
        <v>217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0.072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0.1475</v>
      </c>
      <c r="C260" s="43"/>
      <c r="D260" s="163" t="s">
        <v>214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0.005</v>
      </c>
      <c r="C261" s="32"/>
      <c r="D261" s="163" t="s">
        <v>220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</v>
      </c>
      <c r="C263" s="32"/>
      <c r="D263" s="39" t="s">
        <v>217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80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84</v>
      </c>
      <c r="B51" s="247" t="s">
        <v>85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86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87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88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89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90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91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92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94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95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96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97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99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100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101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102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103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105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106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107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108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110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114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115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118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119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120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121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187</v>
      </c>
      <c r="B232" s="130" t="s">
        <v>207</v>
      </c>
      <c r="C232" s="130"/>
      <c r="D232" s="130"/>
      <c r="E232" s="130" t="s">
        <v>208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132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B63</f>
        <v>0.065</v>
      </c>
      <c r="C253" s="194"/>
      <c r="D253" s="195" t="s">
        <v>213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66.6583333333334</v>
      </c>
      <c r="C255" s="194"/>
      <c r="D255" s="195" t="s">
        <v>217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0.024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0.0995</v>
      </c>
      <c r="C260" s="43"/>
      <c r="D260" s="163" t="s">
        <v>214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0.005</v>
      </c>
      <c r="C261" s="32"/>
      <c r="D261" s="163" t="s">
        <v>220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66.6583333333334</v>
      </c>
      <c r="C263" s="32"/>
      <c r="D263" s="39" t="s">
        <v>217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80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84</v>
      </c>
      <c r="B51" s="247" t="s">
        <v>85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86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87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88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89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90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91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92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94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95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96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97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99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100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101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102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103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105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106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107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108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110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114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115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118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119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120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121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187</v>
      </c>
      <c r="B232" s="130" t="s">
        <v>207</v>
      </c>
      <c r="C232" s="130"/>
      <c r="D232" s="130"/>
      <c r="E232" s="130" t="s">
        <v>208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132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B63</f>
        <v>0.065</v>
      </c>
      <c r="C253" s="194"/>
      <c r="D253" s="195" t="s">
        <v>213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99.99</v>
      </c>
      <c r="C255" s="194"/>
      <c r="D255" s="195" t="s">
        <v>217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0.072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0.1475</v>
      </c>
      <c r="C260" s="43"/>
      <c r="D260" s="163" t="s">
        <v>214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0.005</v>
      </c>
      <c r="C261" s="32"/>
      <c r="D261" s="163" t="s">
        <v>220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</v>
      </c>
      <c r="C263" s="32"/>
      <c r="D263" s="39" t="s">
        <v>217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45011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119</v>
      </c>
      <c r="B43" s="236" t="s">
        <v>69</v>
      </c>
      <c r="C43" s="226" t="s">
        <v>65</v>
      </c>
      <c r="D43" s="236" t="s">
        <v>208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271</v>
      </c>
      <c r="B44" s="100" t="s">
        <v>272</v>
      </c>
      <c r="C44" s="100"/>
      <c r="D44" s="100" t="s">
        <v>272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247.916666666667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273</v>
      </c>
      <c r="B46" s="226" t="s">
        <v>274</v>
      </c>
      <c r="C46" s="226" t="s">
        <v>4</v>
      </c>
      <c r="D46" s="226"/>
      <c r="E46" s="239"/>
      <c r="F46" s="265" t="n">
        <v>0</v>
      </c>
      <c r="G46" s="2" t="s">
        <v>72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273</v>
      </c>
      <c r="B47" s="226"/>
      <c r="C47" s="226"/>
      <c r="D47" s="226"/>
      <c r="E47" s="239"/>
      <c r="F47" s="265"/>
      <c r="G47" s="2" t="s">
        <v>73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75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76</v>
      </c>
      <c r="H49" s="2" t="n">
        <f aca="false">H45+H48+H47</f>
        <v>250.583333333333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26"/>
      <c r="E50" s="239"/>
      <c r="F50" s="265"/>
      <c r="G50" s="2" t="s">
        <v>275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250.583333333333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273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250.583333333333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86</v>
      </c>
      <c r="B63" s="280" t="n">
        <f aca="false">IF(B105=Z103,1,IF(B105=Z104,1,IF(B105=Z105,3,IF(B105=Z106,6,IF(B105=Z107,9,IF(B105=Z108,12,IF(B105=Z109,3,IF(B105=Z110,6,IF(B105=Z111,9,0)))))))))</f>
        <v>1</v>
      </c>
      <c r="C63" s="280"/>
      <c r="D63" s="280"/>
      <c r="E63" s="283"/>
      <c r="F63" s="265"/>
      <c r="G63" s="281" t="s">
        <v>86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86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87</v>
      </c>
      <c r="B64" s="280" t="n">
        <f aca="false">IF(B105=Z103,H29-B63,IF(B105=Z104,H29-B63,IF(B105=Z105,H29-1,IF(B105=Z106,H29-1,IF(B105=Z107,H29-1,IF(B105=Z108,H29-1,IF(B105=Z109,H29-B63,IF(B105=Z110,H29-B63,IF(B105=Z111,H29-B63,0)))))))))</f>
        <v>11</v>
      </c>
      <c r="C64" s="280"/>
      <c r="D64" s="280"/>
      <c r="E64" s="283"/>
      <c r="F64" s="265"/>
      <c r="G64" s="281" t="s">
        <v>87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87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80"/>
      <c r="D68" s="280"/>
      <c r="E68" s="283"/>
      <c r="F68" s="265"/>
      <c r="G68" s="306" t="s">
        <v>277</v>
      </c>
      <c r="H68" s="307" t="n">
        <v>0.07</v>
      </c>
      <c r="I68" s="280"/>
      <c r="J68" s="280"/>
      <c r="K68" s="283"/>
      <c r="L68" s="265"/>
      <c r="M68" s="306" t="s">
        <v>277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278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278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92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92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92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93</v>
      </c>
      <c r="B71" s="305" t="n">
        <v>0.01</v>
      </c>
      <c r="C71" s="280"/>
      <c r="D71" s="280"/>
      <c r="E71" s="283"/>
      <c r="F71" s="265"/>
      <c r="G71" s="306" t="s">
        <v>93</v>
      </c>
      <c r="H71" s="307" t="n">
        <v>0.005</v>
      </c>
      <c r="I71" s="280"/>
      <c r="J71" s="280"/>
      <c r="K71" s="283"/>
      <c r="L71" s="265"/>
      <c r="M71" s="306" t="s">
        <v>93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94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94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95</v>
      </c>
      <c r="B73" s="129" t="n">
        <f aca="false">B67*B72</f>
        <v>374.04</v>
      </c>
      <c r="C73" s="280"/>
      <c r="D73" s="32"/>
      <c r="E73" s="283"/>
      <c r="F73" s="265"/>
      <c r="G73" s="298" t="s">
        <v>95</v>
      </c>
      <c r="H73" s="65" t="n">
        <f aca="false">H67*H72</f>
        <v>187.02</v>
      </c>
      <c r="I73" s="280"/>
      <c r="J73" s="32"/>
      <c r="K73" s="283"/>
      <c r="L73" s="265"/>
      <c r="M73" s="298" t="s">
        <v>95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96</v>
      </c>
      <c r="B74" s="307" t="n">
        <v>0.0075</v>
      </c>
      <c r="C74" s="280"/>
      <c r="D74" s="280"/>
      <c r="E74" s="283"/>
      <c r="F74" s="265"/>
      <c r="G74" s="306" t="s">
        <v>96</v>
      </c>
      <c r="H74" s="307" t="n">
        <v>0.0075</v>
      </c>
      <c r="I74" s="280"/>
      <c r="J74" s="280"/>
      <c r="K74" s="283"/>
      <c r="L74" s="265"/>
      <c r="M74" s="306" t="s">
        <v>96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97</v>
      </c>
      <c r="B75" s="312" t="n">
        <v>0.12</v>
      </c>
      <c r="C75" s="280"/>
      <c r="D75" s="280"/>
      <c r="E75" s="283"/>
      <c r="F75" s="265"/>
      <c r="G75" s="311" t="s">
        <v>97</v>
      </c>
      <c r="H75" s="312" t="n">
        <v>0.12</v>
      </c>
      <c r="I75" s="280"/>
      <c r="J75" s="280"/>
      <c r="K75" s="283"/>
      <c r="L75" s="265"/>
      <c r="M75" s="311" t="s">
        <v>97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98</v>
      </c>
      <c r="B76" s="313" t="n">
        <f aca="false">B74*(1+B75)</f>
        <v>0.0084</v>
      </c>
      <c r="C76" s="280"/>
      <c r="D76" s="280"/>
      <c r="E76" s="283"/>
      <c r="F76" s="265"/>
      <c r="G76" s="298" t="s">
        <v>98</v>
      </c>
      <c r="H76" s="313" t="n">
        <f aca="false">H74*(1+H75)</f>
        <v>0.0084</v>
      </c>
      <c r="I76" s="280"/>
      <c r="J76" s="280"/>
      <c r="K76" s="283"/>
      <c r="L76" s="265"/>
      <c r="M76" s="298" t="s">
        <v>98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99</v>
      </c>
      <c r="B77" s="86" t="n">
        <v>200</v>
      </c>
      <c r="C77" s="280"/>
      <c r="D77" s="280"/>
      <c r="E77" s="283"/>
      <c r="F77" s="265"/>
      <c r="G77" s="306" t="s">
        <v>99</v>
      </c>
      <c r="H77" s="86" t="n">
        <v>160</v>
      </c>
      <c r="I77" s="280"/>
      <c r="J77" s="280"/>
      <c r="K77" s="283"/>
      <c r="L77" s="265"/>
      <c r="M77" s="306" t="s">
        <v>99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100</v>
      </c>
      <c r="B78" s="77" t="n">
        <v>5</v>
      </c>
      <c r="C78" s="280"/>
      <c r="D78" s="280"/>
      <c r="E78" s="283"/>
      <c r="F78" s="265"/>
      <c r="G78" s="311" t="s">
        <v>100</v>
      </c>
      <c r="H78" s="77" t="n">
        <v>4.5</v>
      </c>
      <c r="I78" s="280"/>
      <c r="J78" s="280"/>
      <c r="K78" s="283"/>
      <c r="L78" s="265"/>
      <c r="M78" s="311" t="s">
        <v>100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101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101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101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279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279</v>
      </c>
      <c r="H80" s="86" t="n">
        <v>150</v>
      </c>
      <c r="I80" s="280"/>
      <c r="J80" s="280"/>
      <c r="K80" s="283"/>
      <c r="L80" s="265"/>
      <c r="M80" s="315" t="s">
        <v>279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280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280</v>
      </c>
      <c r="H81" s="77" t="n">
        <f aca="false">IF(G18&gt;40000, 325, 0)</f>
        <v>0</v>
      </c>
      <c r="I81" s="280"/>
      <c r="J81" s="280"/>
      <c r="K81" s="283"/>
      <c r="L81" s="265"/>
      <c r="M81" s="317" t="s">
        <v>280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281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281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281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282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282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282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283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284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284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102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102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102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103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103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103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104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104</v>
      </c>
      <c r="H87" s="323" t="n">
        <f aca="false">SUM(J70:J86)</f>
        <v>5744.78</v>
      </c>
      <c r="I87" s="280"/>
      <c r="J87" s="280"/>
      <c r="K87" s="283"/>
      <c r="L87" s="265"/>
      <c r="M87" s="322" t="s">
        <v>104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105</v>
      </c>
      <c r="B88" s="33" t="n">
        <f aca="false">B87/H29</f>
        <v>343.641388888889</v>
      </c>
      <c r="C88" s="280"/>
      <c r="D88" s="280"/>
      <c r="E88" s="283"/>
      <c r="F88" s="265"/>
      <c r="G88" s="281" t="s">
        <v>105</v>
      </c>
      <c r="H88" s="33" t="n">
        <f aca="false">H87/H29</f>
        <v>478.731666666667</v>
      </c>
      <c r="I88" s="280"/>
      <c r="J88" s="280"/>
      <c r="K88" s="283"/>
      <c r="L88" s="265"/>
      <c r="M88" s="281" t="s">
        <v>105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106</v>
      </c>
      <c r="B89" s="59" t="n">
        <f aca="false">H50</f>
        <v>200.583333333333</v>
      </c>
      <c r="C89" s="280"/>
      <c r="D89" s="280"/>
      <c r="E89" s="283"/>
      <c r="F89" s="265"/>
      <c r="G89" s="324" t="s">
        <v>106</v>
      </c>
      <c r="H89" s="59" t="n">
        <f aca="false">H46</f>
        <v>0</v>
      </c>
      <c r="I89" s="280"/>
      <c r="J89" s="280"/>
      <c r="K89" s="283"/>
      <c r="L89" s="265"/>
      <c r="M89" s="324" t="s">
        <v>106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116</v>
      </c>
      <c r="B91" s="27" t="n">
        <f aca="false">((B89*H29)+B87)*1.2</f>
        <v>7836.836</v>
      </c>
      <c r="C91" s="280"/>
      <c r="D91" s="280"/>
      <c r="E91" s="283"/>
      <c r="F91" s="265"/>
      <c r="G91" s="301" t="s">
        <v>116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116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117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117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117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118</v>
      </c>
      <c r="B93" s="65" t="n">
        <f aca="false">IF(B116="YES",((B91+B92)-E120),(B91+B92))</f>
        <v>3892.15856151674</v>
      </c>
      <c r="C93" s="280"/>
      <c r="D93" s="280"/>
      <c r="E93" s="283"/>
      <c r="F93" s="265"/>
      <c r="G93" s="298" t="s">
        <v>118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118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119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119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119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120</v>
      </c>
      <c r="B96" s="327" t="n">
        <f aca="false">IF(B105=Z104, (B93-D111)/(B64), B93/(B63+B64))</f>
        <v>324.346546793062</v>
      </c>
      <c r="C96" s="280"/>
      <c r="D96" s="280"/>
      <c r="E96" s="283"/>
      <c r="F96" s="265"/>
      <c r="G96" s="326" t="s">
        <v>120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120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121</v>
      </c>
      <c r="B97" s="329" t="n">
        <f aca="false">IF(A111="YES", B96+B95, B96)</f>
        <v>402.346546793062</v>
      </c>
      <c r="C97" s="280"/>
      <c r="D97" s="330"/>
      <c r="E97" s="283"/>
      <c r="F97" s="265"/>
      <c r="G97" s="328" t="s">
        <v>121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121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265"/>
      <c r="G100" s="209" t="s">
        <v>286</v>
      </c>
      <c r="H100" s="209"/>
      <c r="I100" s="209"/>
      <c r="J100" s="209"/>
      <c r="K100" s="209"/>
      <c r="L100" s="265"/>
      <c r="M100" s="209" t="s">
        <v>287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265"/>
      <c r="G102" s="213" t="s">
        <v>126</v>
      </c>
      <c r="H102" s="213"/>
      <c r="I102" s="213"/>
      <c r="J102" s="213"/>
      <c r="K102" s="213"/>
      <c r="L102" s="265"/>
      <c r="M102" s="213" t="s">
        <v>126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130</v>
      </c>
    </row>
    <row r="104" customFormat="false" ht="18.75" hidden="false" customHeight="true" outlineLevel="0" collapsed="false">
      <c r="A104" s="281" t="s">
        <v>127</v>
      </c>
      <c r="B104" s="280" t="s">
        <v>23</v>
      </c>
      <c r="C104" s="280"/>
      <c r="D104" s="280" t="s">
        <v>288</v>
      </c>
      <c r="E104" s="283"/>
      <c r="F104" s="265"/>
      <c r="G104" s="281" t="s">
        <v>127</v>
      </c>
      <c r="H104" s="280" t="s">
        <v>23</v>
      </c>
      <c r="I104" s="280"/>
      <c r="J104" s="280" t="s">
        <v>288</v>
      </c>
      <c r="K104" s="283"/>
      <c r="L104" s="265"/>
      <c r="M104" s="281" t="s">
        <v>127</v>
      </c>
      <c r="N104" s="280" t="s">
        <v>23</v>
      </c>
      <c r="O104" s="280"/>
      <c r="P104" s="280" t="s">
        <v>288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130</v>
      </c>
      <c r="C105" s="331"/>
      <c r="D105" s="332" t="n">
        <v>1000</v>
      </c>
      <c r="E105" s="332"/>
      <c r="F105" s="265"/>
      <c r="G105" s="284" t="s">
        <v>289</v>
      </c>
      <c r="H105" s="331" t="s">
        <v>265</v>
      </c>
      <c r="I105" s="331"/>
      <c r="J105" s="332" t="n">
        <v>5000</v>
      </c>
      <c r="K105" s="332"/>
      <c r="L105" s="265"/>
      <c r="M105" s="284" t="s">
        <v>289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290</v>
      </c>
      <c r="B107" s="280" t="s">
        <v>291</v>
      </c>
      <c r="C107" s="280"/>
      <c r="D107" s="280" t="s">
        <v>292</v>
      </c>
      <c r="E107" s="283"/>
      <c r="F107" s="265"/>
      <c r="G107" s="281" t="s">
        <v>290</v>
      </c>
      <c r="H107" s="280" t="s">
        <v>291</v>
      </c>
      <c r="I107" s="280"/>
      <c r="J107" s="280" t="s">
        <v>292</v>
      </c>
      <c r="K107" s="283"/>
      <c r="L107" s="265"/>
      <c r="M107" s="281" t="s">
        <v>290</v>
      </c>
      <c r="N107" s="280" t="s">
        <v>291</v>
      </c>
      <c r="O107" s="280"/>
      <c r="P107" s="280" t="s">
        <v>292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128</v>
      </c>
      <c r="B110" s="265" t="s">
        <v>131</v>
      </c>
      <c r="C110" s="280"/>
      <c r="D110" s="280" t="s">
        <v>142</v>
      </c>
      <c r="E110" s="283"/>
      <c r="F110" s="265"/>
      <c r="G110" s="284" t="s">
        <v>128</v>
      </c>
      <c r="H110" s="265" t="s">
        <v>131</v>
      </c>
      <c r="I110" s="280"/>
      <c r="J110" s="280" t="s">
        <v>142</v>
      </c>
      <c r="K110" s="283"/>
      <c r="L110" s="265"/>
      <c r="M110" s="284" t="s">
        <v>128</v>
      </c>
      <c r="N110" s="265" t="s">
        <v>131</v>
      </c>
      <c r="O110" s="280"/>
      <c r="P110" s="280" t="s">
        <v>142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n">
        <v>200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293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265"/>
      <c r="G114" s="213" t="s">
        <v>294</v>
      </c>
      <c r="H114" s="213"/>
      <c r="I114" s="213"/>
      <c r="J114" s="213"/>
      <c r="K114" s="213"/>
      <c r="L114" s="265"/>
      <c r="M114" s="213" t="s">
        <v>294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295</v>
      </c>
      <c r="B116" s="286" t="s">
        <v>18</v>
      </c>
      <c r="C116" s="280"/>
      <c r="D116" s="280"/>
      <c r="E116" s="283"/>
      <c r="F116" s="265"/>
      <c r="G116" s="281" t="s">
        <v>295</v>
      </c>
      <c r="H116" s="286" t="s">
        <v>18</v>
      </c>
      <c r="I116" s="280"/>
      <c r="J116" s="280"/>
      <c r="K116" s="283"/>
      <c r="L116" s="265"/>
      <c r="M116" s="281" t="s">
        <v>295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176</v>
      </c>
      <c r="B118" s="280"/>
      <c r="C118" s="280"/>
      <c r="D118" s="333" t="n">
        <v>10000</v>
      </c>
      <c r="E118" s="103" t="n">
        <v>6000</v>
      </c>
      <c r="F118" s="265"/>
      <c r="G118" s="281" t="s">
        <v>176</v>
      </c>
      <c r="H118" s="280"/>
      <c r="I118" s="280"/>
      <c r="J118" s="333" t="n">
        <v>10000</v>
      </c>
      <c r="K118" s="103" t="n">
        <v>5000</v>
      </c>
      <c r="L118" s="265"/>
      <c r="M118" s="281" t="s">
        <v>176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177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177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177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178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178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178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179</v>
      </c>
      <c r="B121" s="280"/>
      <c r="C121" s="280"/>
      <c r="D121" s="39" t="n">
        <f aca="false">D120-E120</f>
        <v>4000</v>
      </c>
      <c r="E121" s="283"/>
      <c r="F121" s="265"/>
      <c r="G121" s="281" t="s">
        <v>179</v>
      </c>
      <c r="H121" s="280"/>
      <c r="I121" s="280"/>
      <c r="J121" s="39" t="n">
        <f aca="false">J120-K120</f>
        <v>5000</v>
      </c>
      <c r="K121" s="283"/>
      <c r="L121" s="265"/>
      <c r="M121" s="281" t="s">
        <v>179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138</v>
      </c>
      <c r="B123" s="302"/>
      <c r="C123" s="302"/>
      <c r="D123" s="302"/>
      <c r="E123" s="27" t="n">
        <f aca="false">D105</f>
        <v>1000</v>
      </c>
      <c r="F123" s="265"/>
      <c r="G123" s="301" t="s">
        <v>138</v>
      </c>
      <c r="H123" s="302"/>
      <c r="I123" s="302"/>
      <c r="J123" s="302"/>
      <c r="K123" s="27" t="n">
        <f aca="false">J105</f>
        <v>5000</v>
      </c>
      <c r="L123" s="265"/>
      <c r="M123" s="301" t="s">
        <v>138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296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296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296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265"/>
      <c r="G128" s="213" t="s">
        <v>297</v>
      </c>
      <c r="H128" s="213"/>
      <c r="I128" s="213"/>
      <c r="J128" s="213"/>
      <c r="K128" s="213"/>
      <c r="L128" s="265"/>
      <c r="M128" s="213" t="s">
        <v>297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265"/>
      <c r="G130" s="281" t="s">
        <v>183</v>
      </c>
      <c r="H130" s="169" t="n">
        <v>0</v>
      </c>
      <c r="I130" s="169"/>
      <c r="J130" s="280"/>
      <c r="K130" s="283"/>
      <c r="L130" s="265"/>
      <c r="M130" s="281" t="s">
        <v>183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84</v>
      </c>
      <c r="H132" s="280" t="s">
        <v>85</v>
      </c>
      <c r="I132" s="280"/>
      <c r="J132" s="280" t="s">
        <v>87</v>
      </c>
      <c r="K132" s="283"/>
      <c r="L132" s="265"/>
      <c r="M132" s="281" t="s">
        <v>84</v>
      </c>
      <c r="N132" s="280" t="s">
        <v>85</v>
      </c>
      <c r="O132" s="280"/>
      <c r="P132" s="280" t="s">
        <v>87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11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11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324.346546793062</v>
      </c>
      <c r="B134" s="338" t="n">
        <f aca="false">IF(A111="YES", B95, 0)</f>
        <v>78</v>
      </c>
      <c r="C134" s="342"/>
      <c r="D134" s="338" t="n">
        <f aca="false">B97</f>
        <v>402.346546793062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300</v>
      </c>
      <c r="H135" s="345" t="s">
        <v>301</v>
      </c>
      <c r="I135" s="345"/>
      <c r="J135" s="345" t="s">
        <v>302</v>
      </c>
      <c r="K135" s="283"/>
      <c r="L135" s="265"/>
      <c r="M135" s="344" t="s">
        <v>303</v>
      </c>
      <c r="N135" s="345" t="s">
        <v>248</v>
      </c>
      <c r="O135" s="345"/>
      <c r="P135" s="345" t="s">
        <v>121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324.346546793062</v>
      </c>
      <c r="C137" s="280"/>
      <c r="D137" s="38" t="n">
        <f aca="false">IF(A111="YES", B95*B63, 0)</f>
        <v>78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306</v>
      </c>
      <c r="H138" s="280" t="s">
        <v>307</v>
      </c>
      <c r="I138" s="280"/>
      <c r="J138" s="280" t="s">
        <v>308</v>
      </c>
      <c r="K138" s="283"/>
      <c r="L138" s="265"/>
      <c r="M138" s="281" t="s">
        <v>309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402.346546793062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312</v>
      </c>
      <c r="H141" s="280" t="s">
        <v>313</v>
      </c>
      <c r="I141" s="280"/>
      <c r="J141" s="280" t="s">
        <v>314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324.346546793062</v>
      </c>
      <c r="B143" s="38" t="n">
        <f aca="false">IF(A111="YES", B95, 0)</f>
        <v>78</v>
      </c>
      <c r="C143" s="280"/>
      <c r="D143" s="38" t="n">
        <f aca="false">B97</f>
        <v>402.346546793062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315</v>
      </c>
      <c r="H144" s="280" t="s">
        <v>316</v>
      </c>
      <c r="I144" s="280"/>
      <c r="J144" s="280" t="s">
        <v>317</v>
      </c>
      <c r="K144" s="283"/>
      <c r="L144" s="265"/>
      <c r="M144" s="281" t="s">
        <v>141</v>
      </c>
      <c r="N144" s="280" t="s">
        <v>316</v>
      </c>
      <c r="O144" s="280"/>
      <c r="P144" s="280" t="s">
        <v>317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319</v>
      </c>
      <c r="H147" s="280" t="s">
        <v>320</v>
      </c>
      <c r="I147" s="280"/>
      <c r="J147" s="280" t="s">
        <v>321</v>
      </c>
      <c r="K147" s="283"/>
      <c r="L147" s="265"/>
      <c r="M147" s="281" t="s">
        <v>319</v>
      </c>
      <c r="N147" s="280" t="s">
        <v>320</v>
      </c>
      <c r="O147" s="280"/>
      <c r="P147" s="280" t="s">
        <v>321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323</v>
      </c>
      <c r="H150" s="280" t="s">
        <v>324</v>
      </c>
      <c r="I150" s="280"/>
      <c r="J150" s="280"/>
      <c r="K150" s="283"/>
      <c r="L150" s="265"/>
      <c r="M150" s="281" t="s">
        <v>323</v>
      </c>
      <c r="N150" s="280" t="s">
        <v>324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329</v>
      </c>
      <c r="N153" s="39" t="s">
        <v>330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331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265"/>
      <c r="G156" s="246" t="s">
        <v>84</v>
      </c>
      <c r="H156" s="247" t="s">
        <v>85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331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84</v>
      </c>
      <c r="N159" s="247" t="s">
        <v>85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402.346546793062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324.346546793062</v>
      </c>
      <c r="B177" s="367" t="n">
        <f aca="false">IF(A111="YES", B95, 0)</f>
        <v>78</v>
      </c>
      <c r="C177" s="369"/>
      <c r="D177" s="367" t="n">
        <f aca="false">A177+B177</f>
        <v>402.346546793062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324.346546793062</v>
      </c>
      <c r="C180" s="282"/>
      <c r="D180" s="99" t="n">
        <f aca="false">IF(A111="YES", B95*B63, 0)</f>
        <v>78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402.346546793062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324.346546793062</v>
      </c>
      <c r="B186" s="99" t="n">
        <f aca="false">IF(A111="YES", B95, 0)</f>
        <v>78</v>
      </c>
      <c r="C186" s="282"/>
      <c r="D186" s="99" t="n">
        <f aca="false">B97</f>
        <v>402.346546793062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D70</f>
        <v>2618.28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217</v>
      </c>
      <c r="B213" s="338" t="n">
        <f aca="false">E223</f>
        <v>2764.23166666667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214</v>
      </c>
      <c r="B217" s="100" t="n">
        <f aca="false">D70</f>
        <v>2618.28</v>
      </c>
      <c r="C217" s="381" t="s">
        <v>220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220</v>
      </c>
      <c r="B219" s="100" t="n">
        <f aca="false">B73</f>
        <v>374.04</v>
      </c>
      <c r="C219" s="351" t="s">
        <v>334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2764.23166666667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336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55.3225615167406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45011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273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119</v>
      </c>
      <c r="B43" s="236" t="s">
        <v>69</v>
      </c>
      <c r="C43" s="226" t="s">
        <v>4</v>
      </c>
      <c r="D43" s="236" t="s">
        <v>208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272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197.916666666667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273</v>
      </c>
      <c r="B46" s="226" t="s">
        <v>274</v>
      </c>
      <c r="C46" s="226" t="s">
        <v>4</v>
      </c>
      <c r="D46" s="226"/>
      <c r="E46" s="239"/>
      <c r="F46" s="265" t="n">
        <v>0</v>
      </c>
      <c r="G46" s="2" t="s">
        <v>72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273</v>
      </c>
      <c r="B47" s="226"/>
      <c r="C47" s="226"/>
      <c r="D47" s="226"/>
      <c r="E47" s="239"/>
      <c r="F47" s="265"/>
      <c r="G47" s="2" t="s">
        <v>73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75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76</v>
      </c>
      <c r="H49" s="2" t="n">
        <f aca="false">H45+H48+H47</f>
        <v>200.583333333333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275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273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86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86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86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87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87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87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80"/>
      <c r="D68" s="280"/>
      <c r="E68" s="283"/>
      <c r="F68" s="265"/>
      <c r="G68" s="306" t="s">
        <v>277</v>
      </c>
      <c r="H68" s="307" t="n">
        <v>0.07</v>
      </c>
      <c r="I68" s="280"/>
      <c r="J68" s="280"/>
      <c r="K68" s="283"/>
      <c r="L68" s="265"/>
      <c r="M68" s="306" t="s">
        <v>277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278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278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92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92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92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93</v>
      </c>
      <c r="B71" s="305" t="n">
        <v>0.01</v>
      </c>
      <c r="C71" s="280"/>
      <c r="D71" s="280"/>
      <c r="E71" s="283"/>
      <c r="F71" s="265"/>
      <c r="G71" s="306" t="s">
        <v>93</v>
      </c>
      <c r="H71" s="307" t="n">
        <v>0.005</v>
      </c>
      <c r="I71" s="280"/>
      <c r="J71" s="280"/>
      <c r="K71" s="283"/>
      <c r="L71" s="265"/>
      <c r="M71" s="306" t="s">
        <v>93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94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94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95</v>
      </c>
      <c r="B73" s="129" t="n">
        <f aca="false">B67*B72</f>
        <v>374.04</v>
      </c>
      <c r="C73" s="280"/>
      <c r="D73" s="32"/>
      <c r="E73" s="283"/>
      <c r="F73" s="265"/>
      <c r="G73" s="298" t="s">
        <v>95</v>
      </c>
      <c r="H73" s="65" t="n">
        <f aca="false">H67*H72</f>
        <v>187.02</v>
      </c>
      <c r="I73" s="280"/>
      <c r="J73" s="32"/>
      <c r="K73" s="283"/>
      <c r="L73" s="265"/>
      <c r="M73" s="298" t="s">
        <v>95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96</v>
      </c>
      <c r="B74" s="307" t="n">
        <v>0.0075</v>
      </c>
      <c r="C74" s="280"/>
      <c r="D74" s="280"/>
      <c r="E74" s="283"/>
      <c r="F74" s="265"/>
      <c r="G74" s="306" t="s">
        <v>96</v>
      </c>
      <c r="H74" s="307" t="n">
        <v>0.0075</v>
      </c>
      <c r="I74" s="280"/>
      <c r="J74" s="280"/>
      <c r="K74" s="283"/>
      <c r="L74" s="265"/>
      <c r="M74" s="306" t="s">
        <v>96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97</v>
      </c>
      <c r="B75" s="312" t="n">
        <v>0.12</v>
      </c>
      <c r="C75" s="280"/>
      <c r="D75" s="280"/>
      <c r="E75" s="283"/>
      <c r="F75" s="265"/>
      <c r="G75" s="311" t="s">
        <v>97</v>
      </c>
      <c r="H75" s="312" t="n">
        <v>0.12</v>
      </c>
      <c r="I75" s="280"/>
      <c r="J75" s="280"/>
      <c r="K75" s="283"/>
      <c r="L75" s="265"/>
      <c r="M75" s="311" t="s">
        <v>97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98</v>
      </c>
      <c r="B76" s="313" t="n">
        <f aca="false">B74*(1+B75)</f>
        <v>0.0084</v>
      </c>
      <c r="C76" s="280"/>
      <c r="D76" s="280"/>
      <c r="E76" s="283"/>
      <c r="F76" s="265"/>
      <c r="G76" s="298" t="s">
        <v>98</v>
      </c>
      <c r="H76" s="313" t="n">
        <f aca="false">H74*(1+H75)</f>
        <v>0.0084</v>
      </c>
      <c r="I76" s="280"/>
      <c r="J76" s="280"/>
      <c r="K76" s="283"/>
      <c r="L76" s="265"/>
      <c r="M76" s="298" t="s">
        <v>98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99</v>
      </c>
      <c r="B77" s="86" t="n">
        <v>200</v>
      </c>
      <c r="C77" s="280"/>
      <c r="D77" s="280"/>
      <c r="E77" s="283"/>
      <c r="F77" s="265"/>
      <c r="G77" s="306" t="s">
        <v>99</v>
      </c>
      <c r="H77" s="86" t="n">
        <v>160</v>
      </c>
      <c r="I77" s="280"/>
      <c r="J77" s="280"/>
      <c r="K77" s="283"/>
      <c r="L77" s="265"/>
      <c r="M77" s="306" t="s">
        <v>99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100</v>
      </c>
      <c r="B78" s="77" t="n">
        <v>5</v>
      </c>
      <c r="C78" s="280"/>
      <c r="D78" s="280"/>
      <c r="E78" s="283"/>
      <c r="F78" s="265"/>
      <c r="G78" s="311" t="s">
        <v>100</v>
      </c>
      <c r="H78" s="77" t="n">
        <v>4.5</v>
      </c>
      <c r="I78" s="280"/>
      <c r="J78" s="280"/>
      <c r="K78" s="283"/>
      <c r="L78" s="265"/>
      <c r="M78" s="311" t="s">
        <v>100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101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101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101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279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279</v>
      </c>
      <c r="H80" s="86" t="n">
        <v>150</v>
      </c>
      <c r="I80" s="280"/>
      <c r="J80" s="280"/>
      <c r="K80" s="283"/>
      <c r="L80" s="265"/>
      <c r="M80" s="315" t="s">
        <v>279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280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280</v>
      </c>
      <c r="H81" s="77" t="n">
        <f aca="false">IF(G18&gt;40000, 325, 0)</f>
        <v>0</v>
      </c>
      <c r="I81" s="280"/>
      <c r="J81" s="280"/>
      <c r="K81" s="283"/>
      <c r="L81" s="265"/>
      <c r="M81" s="317" t="s">
        <v>280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281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281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281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282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282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282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283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284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284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102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102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102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103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103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103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104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104</v>
      </c>
      <c r="H87" s="323" t="n">
        <f aca="false">SUM(J70:J86)</f>
        <v>5744.78</v>
      </c>
      <c r="I87" s="280"/>
      <c r="J87" s="280"/>
      <c r="K87" s="283"/>
      <c r="L87" s="265"/>
      <c r="M87" s="322" t="s">
        <v>104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105</v>
      </c>
      <c r="B88" s="33" t="n">
        <f aca="false">B87/H29</f>
        <v>343.641388888889</v>
      </c>
      <c r="C88" s="280"/>
      <c r="D88" s="280"/>
      <c r="E88" s="283"/>
      <c r="F88" s="265"/>
      <c r="G88" s="281" t="s">
        <v>105</v>
      </c>
      <c r="H88" s="33" t="n">
        <f aca="false">H87/H29</f>
        <v>478.731666666667</v>
      </c>
      <c r="I88" s="280"/>
      <c r="J88" s="280"/>
      <c r="K88" s="283"/>
      <c r="L88" s="265"/>
      <c r="M88" s="281" t="s">
        <v>105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106</v>
      </c>
      <c r="B89" s="59" t="n">
        <f aca="false">H50</f>
        <v>200.583333333333</v>
      </c>
      <c r="C89" s="280"/>
      <c r="D89" s="280"/>
      <c r="E89" s="283"/>
      <c r="F89" s="265"/>
      <c r="G89" s="324" t="s">
        <v>106</v>
      </c>
      <c r="H89" s="59" t="n">
        <f aca="false">H46</f>
        <v>0</v>
      </c>
      <c r="I89" s="280"/>
      <c r="J89" s="280"/>
      <c r="K89" s="283"/>
      <c r="L89" s="265"/>
      <c r="M89" s="324" t="s">
        <v>106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116</v>
      </c>
      <c r="B91" s="27" t="n">
        <f aca="false">((B89*H29)+B87)</f>
        <v>6530.69666666667</v>
      </c>
      <c r="C91" s="280"/>
      <c r="D91" s="280"/>
      <c r="E91" s="283"/>
      <c r="F91" s="265"/>
      <c r="G91" s="301" t="s">
        <v>116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116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117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117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117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118</v>
      </c>
      <c r="B93" s="65" t="n">
        <f aca="false">IF(B116="YES",((B91+B92)-E120),(B91+B92))</f>
        <v>2586.01922818341</v>
      </c>
      <c r="C93" s="280"/>
      <c r="D93" s="280"/>
      <c r="E93" s="283"/>
      <c r="F93" s="265"/>
      <c r="G93" s="298" t="s">
        <v>118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118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119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119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119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120</v>
      </c>
      <c r="B96" s="327" t="n">
        <f aca="false">IF(B105=Z104, (B93-D111)/(B64), B93/(B63+B64))</f>
        <v>215.501602348617</v>
      </c>
      <c r="C96" s="280" t="s">
        <v>4</v>
      </c>
      <c r="D96" s="280"/>
      <c r="E96" s="283"/>
      <c r="F96" s="265"/>
      <c r="G96" s="326" t="s">
        <v>120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120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121</v>
      </c>
      <c r="B97" s="329" t="n">
        <f aca="false">IF(A111="YES", B96+B95, B96)</f>
        <v>215.501602348617</v>
      </c>
      <c r="C97" s="280"/>
      <c r="D97" s="330"/>
      <c r="E97" s="283"/>
      <c r="F97" s="265"/>
      <c r="G97" s="328" t="s">
        <v>121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121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265"/>
      <c r="G100" s="209" t="s">
        <v>286</v>
      </c>
      <c r="H100" s="209"/>
      <c r="I100" s="209"/>
      <c r="J100" s="209"/>
      <c r="K100" s="209"/>
      <c r="L100" s="265"/>
      <c r="M100" s="209" t="s">
        <v>287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265"/>
      <c r="G102" s="213" t="s">
        <v>126</v>
      </c>
      <c r="H102" s="213"/>
      <c r="I102" s="213"/>
      <c r="J102" s="213"/>
      <c r="K102" s="213"/>
      <c r="L102" s="265"/>
      <c r="M102" s="213" t="s">
        <v>126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130</v>
      </c>
    </row>
    <row r="104" customFormat="false" ht="18.75" hidden="false" customHeight="true" outlineLevel="0" collapsed="false">
      <c r="A104" s="281" t="s">
        <v>127</v>
      </c>
      <c r="B104" s="280" t="s">
        <v>23</v>
      </c>
      <c r="C104" s="280"/>
      <c r="D104" s="280" t="s">
        <v>288</v>
      </c>
      <c r="E104" s="283"/>
      <c r="F104" s="265"/>
      <c r="G104" s="281" t="s">
        <v>127</v>
      </c>
      <c r="H104" s="280" t="s">
        <v>23</v>
      </c>
      <c r="I104" s="280"/>
      <c r="J104" s="280" t="s">
        <v>288</v>
      </c>
      <c r="K104" s="283"/>
      <c r="L104" s="265"/>
      <c r="M104" s="281" t="s">
        <v>127</v>
      </c>
      <c r="N104" s="280" t="s">
        <v>23</v>
      </c>
      <c r="O104" s="280"/>
      <c r="P104" s="280" t="s">
        <v>288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340</v>
      </c>
      <c r="C105" s="331"/>
      <c r="D105" s="332" t="n">
        <v>1000</v>
      </c>
      <c r="E105" s="332"/>
      <c r="F105" s="265"/>
      <c r="G105" s="284" t="s">
        <v>289</v>
      </c>
      <c r="H105" s="331" t="s">
        <v>265</v>
      </c>
      <c r="I105" s="331"/>
      <c r="J105" s="332" t="n">
        <v>5000</v>
      </c>
      <c r="K105" s="332"/>
      <c r="L105" s="265"/>
      <c r="M105" s="284" t="s">
        <v>289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290</v>
      </c>
      <c r="B107" s="280" t="s">
        <v>291</v>
      </c>
      <c r="C107" s="280"/>
      <c r="D107" s="280" t="s">
        <v>292</v>
      </c>
      <c r="E107" s="283"/>
      <c r="F107" s="265"/>
      <c r="G107" s="281" t="s">
        <v>290</v>
      </c>
      <c r="H107" s="280" t="s">
        <v>291</v>
      </c>
      <c r="I107" s="280"/>
      <c r="J107" s="280" t="s">
        <v>292</v>
      </c>
      <c r="K107" s="283"/>
      <c r="L107" s="265"/>
      <c r="M107" s="281" t="s">
        <v>290</v>
      </c>
      <c r="N107" s="280" t="s">
        <v>291</v>
      </c>
      <c r="O107" s="280"/>
      <c r="P107" s="280" t="s">
        <v>292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128</v>
      </c>
      <c r="B110" s="265" t="s">
        <v>131</v>
      </c>
      <c r="C110" s="280"/>
      <c r="D110" s="280" t="s">
        <v>142</v>
      </c>
      <c r="E110" s="283"/>
      <c r="F110" s="265"/>
      <c r="G110" s="284" t="s">
        <v>128</v>
      </c>
      <c r="H110" s="265" t="s">
        <v>131</v>
      </c>
      <c r="I110" s="280"/>
      <c r="J110" s="280" t="s">
        <v>142</v>
      </c>
      <c r="K110" s="283"/>
      <c r="L110" s="265"/>
      <c r="M110" s="284" t="s">
        <v>128</v>
      </c>
      <c r="N110" s="265" t="s">
        <v>131</v>
      </c>
      <c r="O110" s="280"/>
      <c r="P110" s="280" t="s">
        <v>142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341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293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265"/>
      <c r="G114" s="213" t="s">
        <v>294</v>
      </c>
      <c r="H114" s="213"/>
      <c r="I114" s="213"/>
      <c r="J114" s="213"/>
      <c r="K114" s="213"/>
      <c r="L114" s="265"/>
      <c r="M114" s="213" t="s">
        <v>294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295</v>
      </c>
      <c r="B116" s="286" t="s">
        <v>18</v>
      </c>
      <c r="C116" s="280"/>
      <c r="D116" s="280"/>
      <c r="E116" s="283"/>
      <c r="F116" s="265"/>
      <c r="G116" s="281" t="s">
        <v>295</v>
      </c>
      <c r="H116" s="286" t="s">
        <v>18</v>
      </c>
      <c r="I116" s="280"/>
      <c r="J116" s="280"/>
      <c r="K116" s="283"/>
      <c r="L116" s="265"/>
      <c r="M116" s="281" t="s">
        <v>295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176</v>
      </c>
      <c r="B118" s="280"/>
      <c r="C118" s="280"/>
      <c r="D118" s="333" t="n">
        <v>10000</v>
      </c>
      <c r="E118" s="103" t="n">
        <v>6000</v>
      </c>
      <c r="F118" s="265"/>
      <c r="G118" s="281" t="s">
        <v>176</v>
      </c>
      <c r="H118" s="280"/>
      <c r="I118" s="280"/>
      <c r="J118" s="333" t="n">
        <v>10000</v>
      </c>
      <c r="K118" s="103" t="n">
        <v>5000</v>
      </c>
      <c r="L118" s="265"/>
      <c r="M118" s="281" t="s">
        <v>176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177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177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177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178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178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178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179</v>
      </c>
      <c r="B121" s="280"/>
      <c r="C121" s="280"/>
      <c r="D121" s="39" t="n">
        <f aca="false">D120-E120</f>
        <v>4000</v>
      </c>
      <c r="E121" s="283"/>
      <c r="F121" s="265"/>
      <c r="G121" s="281" t="s">
        <v>179</v>
      </c>
      <c r="H121" s="280"/>
      <c r="I121" s="280"/>
      <c r="J121" s="39" t="n">
        <f aca="false">J120-K120</f>
        <v>5000</v>
      </c>
      <c r="K121" s="283"/>
      <c r="L121" s="265"/>
      <c r="M121" s="281" t="s">
        <v>179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138</v>
      </c>
      <c r="B123" s="302"/>
      <c r="C123" s="302"/>
      <c r="D123" s="302"/>
      <c r="E123" s="27" t="n">
        <f aca="false">D105</f>
        <v>1000</v>
      </c>
      <c r="F123" s="265"/>
      <c r="G123" s="301" t="s">
        <v>138</v>
      </c>
      <c r="H123" s="302"/>
      <c r="I123" s="302"/>
      <c r="J123" s="302"/>
      <c r="K123" s="27" t="n">
        <f aca="false">J105</f>
        <v>5000</v>
      </c>
      <c r="L123" s="265"/>
      <c r="M123" s="301" t="s">
        <v>138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296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296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296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265"/>
      <c r="G128" s="213" t="s">
        <v>297</v>
      </c>
      <c r="H128" s="213"/>
      <c r="I128" s="213"/>
      <c r="J128" s="213"/>
      <c r="K128" s="213"/>
      <c r="L128" s="265"/>
      <c r="M128" s="213" t="s">
        <v>297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265"/>
      <c r="G130" s="281" t="s">
        <v>183</v>
      </c>
      <c r="H130" s="169" t="n">
        <v>0</v>
      </c>
      <c r="I130" s="169"/>
      <c r="J130" s="280"/>
      <c r="K130" s="283"/>
      <c r="L130" s="265"/>
      <c r="M130" s="281" t="s">
        <v>183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84</v>
      </c>
      <c r="H132" s="280" t="s">
        <v>85</v>
      </c>
      <c r="I132" s="280"/>
      <c r="J132" s="280" t="s">
        <v>87</v>
      </c>
      <c r="K132" s="283"/>
      <c r="L132" s="265"/>
      <c r="M132" s="281" t="s">
        <v>84</v>
      </c>
      <c r="N132" s="280" t="s">
        <v>85</v>
      </c>
      <c r="O132" s="280"/>
      <c r="P132" s="280" t="s">
        <v>87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215.501602348617</v>
      </c>
      <c r="B134" s="338" t="n">
        <f aca="false">IF(A111="YES", B95, 0)</f>
        <v>0</v>
      </c>
      <c r="C134" s="394"/>
      <c r="D134" s="338" t="n">
        <f aca="false">B97</f>
        <v>215.501602348617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300</v>
      </c>
      <c r="H135" s="345" t="s">
        <v>301</v>
      </c>
      <c r="I135" s="345"/>
      <c r="J135" s="345" t="s">
        <v>302</v>
      </c>
      <c r="K135" s="283"/>
      <c r="L135" s="265"/>
      <c r="M135" s="344" t="s">
        <v>303</v>
      </c>
      <c r="N135" s="345" t="s">
        <v>248</v>
      </c>
      <c r="O135" s="345"/>
      <c r="P135" s="345" t="s">
        <v>121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1939.51442113756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306</v>
      </c>
      <c r="H138" s="280" t="s">
        <v>307</v>
      </c>
      <c r="I138" s="280"/>
      <c r="J138" s="280" t="s">
        <v>308</v>
      </c>
      <c r="K138" s="283"/>
      <c r="L138" s="265"/>
      <c r="M138" s="281" t="s">
        <v>309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1939.51442113756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312</v>
      </c>
      <c r="H141" s="280" t="s">
        <v>313</v>
      </c>
      <c r="I141" s="280"/>
      <c r="J141" s="280" t="s">
        <v>314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215.501602348617</v>
      </c>
      <c r="B143" s="38" t="n">
        <f aca="false">IF(A111="YES", B95, 0)</f>
        <v>0</v>
      </c>
      <c r="C143" s="280"/>
      <c r="D143" s="38" t="n">
        <f aca="false">B97</f>
        <v>215.501602348617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315</v>
      </c>
      <c r="H144" s="280" t="s">
        <v>316</v>
      </c>
      <c r="I144" s="280"/>
      <c r="J144" s="280" t="s">
        <v>317</v>
      </c>
      <c r="K144" s="283"/>
      <c r="L144" s="265"/>
      <c r="M144" s="281" t="s">
        <v>141</v>
      </c>
      <c r="N144" s="280" t="s">
        <v>316</v>
      </c>
      <c r="O144" s="280"/>
      <c r="P144" s="280" t="s">
        <v>317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319</v>
      </c>
      <c r="H147" s="280" t="s">
        <v>320</v>
      </c>
      <c r="I147" s="280"/>
      <c r="J147" s="280" t="s">
        <v>321</v>
      </c>
      <c r="K147" s="283"/>
      <c r="L147" s="265"/>
      <c r="M147" s="281" t="s">
        <v>319</v>
      </c>
      <c r="N147" s="280" t="s">
        <v>320</v>
      </c>
      <c r="O147" s="280"/>
      <c r="P147" s="280" t="s">
        <v>321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323</v>
      </c>
      <c r="H150" s="280" t="s">
        <v>324</v>
      </c>
      <c r="I150" s="280"/>
      <c r="J150" s="280"/>
      <c r="K150" s="283"/>
      <c r="L150" s="265"/>
      <c r="M150" s="281" t="s">
        <v>323</v>
      </c>
      <c r="N150" s="280" t="s">
        <v>324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329</v>
      </c>
      <c r="N153" s="39" t="s">
        <v>330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331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265"/>
      <c r="G156" s="246" t="s">
        <v>84</v>
      </c>
      <c r="H156" s="247" t="s">
        <v>85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331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84</v>
      </c>
      <c r="N159" s="247" t="s">
        <v>85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215.501602348617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215.501602348617</v>
      </c>
      <c r="B177" s="367" t="n">
        <f aca="false">IF(A111="YES", B95, 0)</f>
        <v>0</v>
      </c>
      <c r="C177" s="395"/>
      <c r="D177" s="367" t="n">
        <f aca="false">B91</f>
        <v>6530.69666666667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1939.51442113756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1939.51442113756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215.501602348617</v>
      </c>
      <c r="B186" s="99" t="n">
        <f aca="false">IF(A111="YES", B95, 0)</f>
        <v>0</v>
      </c>
      <c r="C186" s="282"/>
      <c r="D186" s="99" t="n">
        <f aca="false">B97</f>
        <v>215.501602348617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D70</f>
        <v>2618.28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217</v>
      </c>
      <c r="B213" s="338" t="n">
        <f aca="false">E223</f>
        <v>2584.23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214</v>
      </c>
      <c r="B217" s="100" t="n">
        <f aca="false">D70</f>
        <v>2618.28</v>
      </c>
      <c r="C217" s="381" t="s">
        <v>220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220</v>
      </c>
      <c r="B219" s="100" t="n">
        <f aca="false">B73</f>
        <v>374.04</v>
      </c>
      <c r="C219" s="351" t="s">
        <v>334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2584.23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55.3225615167406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342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272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344</v>
      </c>
      <c r="C47" s="396"/>
      <c r="D47" s="100" t="s">
        <v>344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92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92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374.04</v>
      </c>
      <c r="C73" s="211"/>
      <c r="D73" s="277"/>
      <c r="E73" s="212"/>
      <c r="F73" s="63"/>
      <c r="G73" s="310" t="s">
        <v>95</v>
      </c>
      <c r="H73" s="129" t="n">
        <f aca="false">H67*H72</f>
        <v>187.02</v>
      </c>
      <c r="I73" s="211"/>
      <c r="J73" s="277"/>
      <c r="K73" s="212"/>
      <c r="L73" s="63"/>
      <c r="M73" s="310" t="s">
        <v>95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279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280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280</v>
      </c>
      <c r="H81" s="411" t="n">
        <f aca="false">IF(G18&gt;40000, 325, 0)</f>
        <v>0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((B80+B81)/12)*(H29+1)</f>
        <v>0</v>
      </c>
      <c r="C82" s="211"/>
      <c r="D82" s="277" t="n">
        <f aca="false">IF(A50="YES", 0, B82)</f>
        <v>0</v>
      </c>
      <c r="E82" s="212"/>
      <c r="F82" s="63"/>
      <c r="G82" s="310" t="s">
        <v>281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2602.5</v>
      </c>
      <c r="C87" s="211"/>
      <c r="D87" s="211"/>
      <c r="E87" s="212"/>
      <c r="F87" s="63"/>
      <c r="G87" s="422" t="s">
        <v>104</v>
      </c>
      <c r="H87" s="423" t="n">
        <f aca="false">SUM(J70:J86)</f>
        <v>5744.78</v>
      </c>
      <c r="I87" s="211"/>
      <c r="J87" s="211"/>
      <c r="K87" s="212"/>
      <c r="L87" s="63"/>
      <c r="M87" s="422" t="s">
        <v>104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216.875</v>
      </c>
      <c r="C88" s="211"/>
      <c r="D88" s="211"/>
      <c r="E88" s="212"/>
      <c r="F88" s="63"/>
      <c r="G88" s="210" t="s">
        <v>105</v>
      </c>
      <c r="H88" s="419" t="n">
        <f aca="false">H87/H29</f>
        <v>478.731666666667</v>
      </c>
      <c r="I88" s="211"/>
      <c r="J88" s="211"/>
      <c r="K88" s="212"/>
      <c r="L88" s="63"/>
      <c r="M88" s="210" t="s">
        <v>105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8614.5</v>
      </c>
      <c r="C91" s="211"/>
      <c r="D91" s="211"/>
      <c r="E91" s="212"/>
      <c r="F91" s="63"/>
      <c r="G91" s="404" t="s">
        <v>116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116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117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4687.47478822106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390.622899018421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468.622899018422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345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30</v>
      </c>
      <c r="C111" s="334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390.622899018421</v>
      </c>
      <c r="B134" s="338" t="n">
        <f aca="false">IF(A111="YES", B95, 0)</f>
        <v>78</v>
      </c>
      <c r="C134" s="394"/>
      <c r="D134" s="338" t="n">
        <f aca="false">B97</f>
        <v>468.622899018422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3515.60609116579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4217.60609116579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390.622899018421</v>
      </c>
      <c r="B143" s="38" t="n">
        <f aca="false">IF(A111="YES", B95, 0)</f>
        <v>78</v>
      </c>
      <c r="C143" s="280"/>
      <c r="D143" s="38" t="n">
        <f aca="false">B97</f>
        <v>468.622899018422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0</v>
      </c>
      <c r="C154" s="38"/>
      <c r="D154" s="38" t="n">
        <f aca="false">IF(A111="YES", (A41/100*B111)*B131, 0)*0.1</f>
        <v>21.6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495.63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468.622899018422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390.622899018421</v>
      </c>
      <c r="B177" s="367" t="n">
        <f aca="false">IF(A111="YES", B95, 0)</f>
        <v>78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3515.60609116579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4217.60609116579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390.622899018421</v>
      </c>
      <c r="B186" s="99" t="n">
        <f aca="false">IF(A111="YES", B95, 0)</f>
        <v>78</v>
      </c>
      <c r="C186" s="282"/>
      <c r="D186" s="99" t="n">
        <f aca="false">B97</f>
        <v>468.622899018422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495.63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315.99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1884.45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1942.5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374.04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0</v>
      </c>
      <c r="C223" s="351" t="s">
        <v>217</v>
      </c>
      <c r="D223" s="280"/>
      <c r="E223" s="33" t="n">
        <f aca="false">(B217-B211+D211)</f>
        <v>1884.45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271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272</v>
      </c>
      <c r="C44" s="100"/>
      <c r="D44" s="100" t="s">
        <v>344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344</v>
      </c>
      <c r="C47" s="396"/>
      <c r="D47" s="100" t="s">
        <v>344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92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92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374.04</v>
      </c>
      <c r="C73" s="211"/>
      <c r="D73" s="277"/>
      <c r="E73" s="212"/>
      <c r="F73" s="63"/>
      <c r="G73" s="310" t="s">
        <v>95</v>
      </c>
      <c r="H73" s="129" t="n">
        <f aca="false">H67*H72</f>
        <v>187.02</v>
      </c>
      <c r="I73" s="211"/>
      <c r="J73" s="277"/>
      <c r="K73" s="212"/>
      <c r="L73" s="63"/>
      <c r="M73" s="310" t="s">
        <v>95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280</v>
      </c>
      <c r="H81" s="411" t="n">
        <f aca="false">IF(G18&gt;40000, 325, 0)</f>
        <v>0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281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3832.5</v>
      </c>
      <c r="C87" s="211"/>
      <c r="D87" s="211"/>
      <c r="E87" s="212"/>
      <c r="F87" s="63"/>
      <c r="G87" s="422" t="s">
        <v>104</v>
      </c>
      <c r="H87" s="423" t="n">
        <f aca="false">SUM(J70:J86)</f>
        <v>5744.78</v>
      </c>
      <c r="I87" s="211"/>
      <c r="J87" s="211"/>
      <c r="K87" s="212"/>
      <c r="L87" s="63"/>
      <c r="M87" s="422" t="s">
        <v>104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319.375</v>
      </c>
      <c r="C88" s="211"/>
      <c r="D88" s="211"/>
      <c r="E88" s="212"/>
      <c r="F88" s="63"/>
      <c r="G88" s="210" t="s">
        <v>105</v>
      </c>
      <c r="H88" s="419" t="n">
        <f aca="false">H87/H29</f>
        <v>478.731666666667</v>
      </c>
      <c r="I88" s="211"/>
      <c r="J88" s="211"/>
      <c r="K88" s="212"/>
      <c r="L88" s="63"/>
      <c r="M88" s="210" t="s">
        <v>105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((B89*H29)+B87)*1.2</f>
        <v>11813.4</v>
      </c>
      <c r="C91" s="211"/>
      <c r="D91" s="211"/>
      <c r="E91" s="212"/>
      <c r="F91" s="63"/>
      <c r="G91" s="404" t="s">
        <v>116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116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83.3943122226704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117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658.066192685223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736.066192685223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658.066192685223</v>
      </c>
      <c r="B134" s="338" t="n">
        <f aca="false">IF(A111="YES", B95, 0)</f>
        <v>78</v>
      </c>
      <c r="C134" s="394"/>
      <c r="D134" s="338" t="n">
        <f aca="false">B97</f>
        <v>736.066192685223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5922.595734167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280"/>
      <c r="D143" s="38" t="n">
        <f aca="false">B97</f>
        <v>736.066192685223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658.066192685223</v>
      </c>
      <c r="B177" s="367" t="n">
        <f aca="false">IF(A111="YES", B95, 0)</f>
        <v>78</v>
      </c>
      <c r="C177" s="395"/>
      <c r="D177" s="367" t="n">
        <f aca="false">B97</f>
        <v>736.066192685223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5922.595734167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282"/>
      <c r="D186" s="99" t="n">
        <f aca="false">B97</f>
        <v>736.066192685223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519.991666666667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2088.45166666667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1942.5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374.04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271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272</v>
      </c>
      <c r="C44" s="100"/>
      <c r="D44" s="100" t="s">
        <v>344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344</v>
      </c>
      <c r="C47" s="396"/>
      <c r="D47" s="100" t="s">
        <v>344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92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92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374.04</v>
      </c>
      <c r="C73" s="211"/>
      <c r="D73" s="277"/>
      <c r="E73" s="212"/>
      <c r="F73" s="63"/>
      <c r="G73" s="310" t="s">
        <v>95</v>
      </c>
      <c r="H73" s="129" t="n">
        <f aca="false">H67*H72</f>
        <v>187.02</v>
      </c>
      <c r="I73" s="211"/>
      <c r="J73" s="277"/>
      <c r="K73" s="212"/>
      <c r="L73" s="63"/>
      <c r="M73" s="310" t="s">
        <v>95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280</v>
      </c>
      <c r="H81" s="411" t="n">
        <f aca="false">IF(G18&gt;40000, 325, 0)</f>
        <v>0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281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3165.83333333333</v>
      </c>
      <c r="C87" s="211"/>
      <c r="D87" s="211"/>
      <c r="E87" s="212"/>
      <c r="F87" s="63"/>
      <c r="G87" s="422" t="s">
        <v>104</v>
      </c>
      <c r="H87" s="423" t="n">
        <f aca="false">SUM(J70:J86)</f>
        <v>5744.78</v>
      </c>
      <c r="I87" s="211"/>
      <c r="J87" s="211"/>
      <c r="K87" s="212"/>
      <c r="L87" s="63"/>
      <c r="M87" s="422" t="s">
        <v>104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263.819444444445</v>
      </c>
      <c r="C88" s="211"/>
      <c r="D88" s="211"/>
      <c r="E88" s="212"/>
      <c r="F88" s="63"/>
      <c r="G88" s="210" t="s">
        <v>105</v>
      </c>
      <c r="H88" s="419" t="n">
        <f aca="false">H87/H29</f>
        <v>478.731666666667</v>
      </c>
      <c r="I88" s="211"/>
      <c r="J88" s="211"/>
      <c r="K88" s="212"/>
      <c r="L88" s="63"/>
      <c r="M88" s="210" t="s">
        <v>105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9177.83333333333</v>
      </c>
      <c r="C91" s="211"/>
      <c r="D91" s="211"/>
      <c r="E91" s="212"/>
      <c r="F91" s="63"/>
      <c r="G91" s="404" t="s">
        <v>116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116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77.7468737394111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117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437.965017256062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502.965017256062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437.965017256062</v>
      </c>
      <c r="B134" s="338" t="n">
        <f aca="false">IF(A111="YES", B95, 0)</f>
        <v>65</v>
      </c>
      <c r="C134" s="394"/>
      <c r="D134" s="338" t="n">
        <f aca="false">B97</f>
        <v>502.965017256062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3941.68515530456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280"/>
      <c r="D143" s="38" t="n">
        <f aca="false">B97</f>
        <v>502.965017256062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437.965017256062</v>
      </c>
      <c r="B177" s="367" t="n">
        <f aca="false">IF(A111="YES", B95, 0)</f>
        <v>65</v>
      </c>
      <c r="C177" s="395"/>
      <c r="D177" s="367" t="n">
        <f aca="false">B91</f>
        <v>9177.83333333333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3941.68515530456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282"/>
      <c r="D186" s="99" t="n">
        <f aca="false">B97</f>
        <v>502.965017256062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279.99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1848.45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1942.5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374.04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0</v>
      </c>
      <c r="C223" s="351" t="s">
        <v>217</v>
      </c>
      <c r="D223" s="280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92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92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374.04</v>
      </c>
      <c r="C73" s="211"/>
      <c r="D73" s="277"/>
      <c r="E73" s="212"/>
      <c r="F73" s="63"/>
      <c r="G73" s="310" t="s">
        <v>95</v>
      </c>
      <c r="H73" s="129" t="n">
        <f aca="false">H67*H72</f>
        <v>187.02</v>
      </c>
      <c r="I73" s="211"/>
      <c r="J73" s="277"/>
      <c r="K73" s="212"/>
      <c r="L73" s="63"/>
      <c r="M73" s="310" t="s">
        <v>95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279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280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280</v>
      </c>
      <c r="H81" s="411" t="n">
        <f aca="false">IF(G18&gt;40000, 325, 0)</f>
        <v>0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281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2602.5</v>
      </c>
      <c r="C87" s="211"/>
      <c r="D87" s="211"/>
      <c r="E87" s="212"/>
      <c r="F87" s="63"/>
      <c r="G87" s="422" t="s">
        <v>104</v>
      </c>
      <c r="H87" s="423" t="n">
        <f aca="false">SUM(J70:J86)</f>
        <v>5744.78</v>
      </c>
      <c r="I87" s="211"/>
      <c r="J87" s="211"/>
      <c r="K87" s="212"/>
      <c r="L87" s="63"/>
      <c r="M87" s="422" t="s">
        <v>104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216.875</v>
      </c>
      <c r="C88" s="211"/>
      <c r="D88" s="211"/>
      <c r="E88" s="212"/>
      <c r="F88" s="63"/>
      <c r="G88" s="210" t="s">
        <v>105</v>
      </c>
      <c r="H88" s="419" t="n">
        <f aca="false">H87/H29</f>
        <v>478.731666666667</v>
      </c>
      <c r="I88" s="211"/>
      <c r="J88" s="211"/>
      <c r="K88" s="212"/>
      <c r="L88" s="63"/>
      <c r="M88" s="210" t="s">
        <v>105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8614.5</v>
      </c>
      <c r="C91" s="211"/>
      <c r="D91" s="211"/>
      <c r="E91" s="212"/>
      <c r="F91" s="63"/>
      <c r="G91" s="404" t="s">
        <v>116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116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117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723.956232351755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723.956232351755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287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19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723.956232351755</v>
      </c>
      <c r="B134" s="338" t="n">
        <f aca="false">IF(A111="YES", B95, 0)</f>
        <v>0</v>
      </c>
      <c r="C134" s="394"/>
      <c r="D134" s="338" t="n">
        <f aca="false">B97</f>
        <v>723.956232351755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723.956232351755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280"/>
      <c r="D143" s="38" t="n">
        <f aca="false">B97</f>
        <v>723.956232351755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723.956232351755</v>
      </c>
      <c r="B177" s="367" t="n">
        <f aca="false">IF(A111="YES", B95, 0)</f>
        <v>0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723.956232351755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282"/>
      <c r="D186" s="99" t="n">
        <f aca="false">B97</f>
        <v>723.956232351755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1942.5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374.04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0</v>
      </c>
      <c r="C223" s="351" t="s">
        <v>217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241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30.35</v>
      </c>
      <c r="I44" s="292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92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92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374.04</v>
      </c>
      <c r="C73" s="211"/>
      <c r="D73" s="277"/>
      <c r="E73" s="212"/>
      <c r="F73" s="63"/>
      <c r="G73" s="310" t="s">
        <v>95</v>
      </c>
      <c r="H73" s="129" t="n">
        <f aca="false">H67*H72</f>
        <v>187.02</v>
      </c>
      <c r="I73" s="211"/>
      <c r="J73" s="277"/>
      <c r="K73" s="212"/>
      <c r="L73" s="63"/>
      <c r="M73" s="310" t="s">
        <v>95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280</v>
      </c>
      <c r="H81" s="411" t="n">
        <f aca="false">IF(G18&gt;40000, 325, 0)</f>
        <v>0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281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3447.91666666667</v>
      </c>
      <c r="C87" s="211"/>
      <c r="D87" s="211"/>
      <c r="E87" s="212"/>
      <c r="F87" s="63"/>
      <c r="G87" s="422" t="s">
        <v>104</v>
      </c>
      <c r="H87" s="423" t="n">
        <f aca="false">SUM(J70:J86)</f>
        <v>5744.78</v>
      </c>
      <c r="I87" s="211"/>
      <c r="J87" s="211"/>
      <c r="K87" s="212"/>
      <c r="L87" s="63"/>
      <c r="M87" s="422" t="s">
        <v>104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287.326388888889</v>
      </c>
      <c r="C88" s="211"/>
      <c r="D88" s="211"/>
      <c r="E88" s="212"/>
      <c r="F88" s="63"/>
      <c r="G88" s="210" t="s">
        <v>105</v>
      </c>
      <c r="H88" s="419" t="n">
        <f aca="false">H87/H29</f>
        <v>478.731666666667</v>
      </c>
      <c r="I88" s="211"/>
      <c r="J88" s="211"/>
      <c r="K88" s="212"/>
      <c r="L88" s="63"/>
      <c r="M88" s="210" t="s">
        <v>105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((B89*H29)+B87)*1.2</f>
        <v>11351.9</v>
      </c>
      <c r="C91" s="211"/>
      <c r="D91" s="211"/>
      <c r="E91" s="212"/>
      <c r="F91" s="63"/>
      <c r="G91" s="404" t="s">
        <v>116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116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80.1364461476402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117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619.336370512303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666.682370512303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619.336370512303</v>
      </c>
      <c r="B134" s="338" t="n">
        <f aca="false">IF(A111="YES", B95, 0)</f>
        <v>47.346</v>
      </c>
      <c r="C134" s="394"/>
      <c r="D134" s="338" t="n">
        <f aca="false">B97</f>
        <v>666.682370512303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619.336370512303</v>
      </c>
      <c r="C137" s="280"/>
      <c r="D137" s="38" t="n">
        <f aca="false">IF(A111="YES", B95*B63, 0)</f>
        <v>47.346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280"/>
      <c r="D143" s="38" t="n">
        <f aca="false">B97</f>
        <v>666.682370512303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619.336370512303</v>
      </c>
      <c r="B177" s="367" t="n">
        <f aca="false">IF(A111="YES", B95, 0)</f>
        <v>47.346</v>
      </c>
      <c r="C177" s="395"/>
      <c r="D177" s="367" t="n">
        <f aca="false">B91</f>
        <v>11351.9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619.336370512303</v>
      </c>
      <c r="C180" s="282"/>
      <c r="D180" s="99" t="n">
        <f aca="false">IF(A111="YES", B95*B63, 0)</f>
        <v>47.346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282"/>
      <c r="D186" s="99" t="n">
        <f aca="false">B97</f>
        <v>666.682370512303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449.251666666667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2017.71166666667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1942.5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374.04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109.26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92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92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374.04</v>
      </c>
      <c r="C73" s="211"/>
      <c r="D73" s="277"/>
      <c r="E73" s="212"/>
      <c r="F73" s="63"/>
      <c r="G73" s="310" t="s">
        <v>95</v>
      </c>
      <c r="H73" s="129" t="n">
        <f aca="false">H67*H72</f>
        <v>187.02</v>
      </c>
      <c r="I73" s="211"/>
      <c r="J73" s="277"/>
      <c r="K73" s="212"/>
      <c r="L73" s="63"/>
      <c r="M73" s="310" t="s">
        <v>95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280</v>
      </c>
      <c r="H81" s="411" t="n">
        <f aca="false">IF(G18&gt;40000, 325, 0)</f>
        <v>0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281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2781.25</v>
      </c>
      <c r="C87" s="211"/>
      <c r="D87" s="211"/>
      <c r="E87" s="212"/>
      <c r="F87" s="63"/>
      <c r="G87" s="422" t="s">
        <v>104</v>
      </c>
      <c r="H87" s="423" t="n">
        <f aca="false">SUM(J70:J86)</f>
        <v>5744.78</v>
      </c>
      <c r="I87" s="211"/>
      <c r="J87" s="211"/>
      <c r="K87" s="212"/>
      <c r="L87" s="63"/>
      <c r="M87" s="422" t="s">
        <v>104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231.770833333333</v>
      </c>
      <c r="C88" s="211"/>
      <c r="D88" s="211"/>
      <c r="E88" s="212"/>
      <c r="F88" s="63"/>
      <c r="G88" s="210" t="s">
        <v>105</v>
      </c>
      <c r="H88" s="419" t="n">
        <f aca="false">H87/H29</f>
        <v>478.731666666667</v>
      </c>
      <c r="I88" s="211"/>
      <c r="J88" s="211"/>
      <c r="K88" s="212"/>
      <c r="L88" s="63"/>
      <c r="M88" s="210" t="s">
        <v>105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8793.25</v>
      </c>
      <c r="C91" s="211"/>
      <c r="D91" s="211"/>
      <c r="E91" s="212"/>
      <c r="F91" s="63"/>
      <c r="G91" s="404" t="s">
        <v>116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116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74.4890076643808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117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405.644917305365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405.644917305365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405.644917305365</v>
      </c>
      <c r="B134" s="338" t="n">
        <f aca="false">IF(A111="YES", B95, 0)</f>
        <v>0</v>
      </c>
      <c r="C134" s="394"/>
      <c r="D134" s="338" t="n">
        <f aca="false">B97</f>
        <v>405.644917305365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3650.80425574829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280"/>
      <c r="D143" s="38" t="n">
        <f aca="false">B97</f>
        <v>405.644917305365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405.644917305365</v>
      </c>
      <c r="B177" s="367" t="n">
        <f aca="false">IF(A111="YES", B95, 0)</f>
        <v>0</v>
      </c>
      <c r="C177" s="395"/>
      <c r="D177" s="367" t="n">
        <f aca="false">B91</f>
        <v>8793.25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3650.80425574829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282"/>
      <c r="D186" s="99" t="n">
        <f aca="false">B97</f>
        <v>405.644917305365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1942.5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374.04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0</v>
      </c>
      <c r="C223" s="351" t="s">
        <v>217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347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128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84</v>
      </c>
      <c r="K29" s="444" t="n">
        <v>12</v>
      </c>
      <c r="P29" s="208"/>
    </row>
    <row r="30" customFormat="false" ht="17.9" hidden="false" customHeight="false" outlineLevel="0" collapsed="false">
      <c r="A30" s="31" t="s">
        <v>183</v>
      </c>
      <c r="B30" s="100" t="s">
        <v>348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84</v>
      </c>
      <c r="B32" s="130" t="s">
        <v>85</v>
      </c>
      <c r="C32" s="130"/>
      <c r="D32" s="130"/>
      <c r="E32" s="130" t="s">
        <v>349</v>
      </c>
      <c r="F32" s="130"/>
      <c r="G32" s="130"/>
      <c r="H32" s="33"/>
      <c r="I32" s="2"/>
      <c r="J32" s="29" t="s">
        <v>36</v>
      </c>
      <c r="K32" s="445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350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351</v>
      </c>
      <c r="B35" s="130" t="s">
        <v>352</v>
      </c>
      <c r="C35" s="130"/>
      <c r="D35" s="208"/>
      <c r="E35" s="130" t="s">
        <v>353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354</v>
      </c>
      <c r="B39" s="130" t="s">
        <v>355</v>
      </c>
      <c r="C39" s="130"/>
      <c r="D39" s="208"/>
      <c r="E39" s="130" t="s">
        <v>356</v>
      </c>
      <c r="F39" s="183"/>
      <c r="G39" s="183"/>
      <c r="H39" s="47"/>
      <c r="J39" s="2" t="s">
        <v>86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108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357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358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359</v>
      </c>
      <c r="K43" s="2"/>
      <c r="L43" s="2"/>
      <c r="P43" s="208"/>
    </row>
    <row r="44" customFormat="false" ht="17.35" hidden="false" customHeight="false" outlineLevel="0" collapsed="false">
      <c r="A44" s="60" t="s">
        <v>78</v>
      </c>
      <c r="B44" s="130"/>
      <c r="C44" s="277" t="s">
        <v>79</v>
      </c>
      <c r="D44" s="277"/>
      <c r="E44" s="130"/>
      <c r="F44" s="130"/>
      <c r="G44" s="130"/>
      <c r="H44" s="33"/>
      <c r="J44" s="2" t="s">
        <v>360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361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362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363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83</v>
      </c>
      <c r="B48" s="130"/>
      <c r="C48" s="130"/>
      <c r="D48" s="67"/>
      <c r="E48" s="67"/>
      <c r="F48" s="67"/>
      <c r="G48" s="67"/>
      <c r="H48" s="68"/>
      <c r="J48" s="55" t="s">
        <v>364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365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84</v>
      </c>
      <c r="B50" s="71" t="s">
        <v>85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86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86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86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86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87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87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87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87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88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88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88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88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89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89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89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89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90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90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90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90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91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91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91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91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92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92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92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92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93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93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93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94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94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94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94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95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95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95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95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96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96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96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96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97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97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97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97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98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98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98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99</v>
      </c>
      <c r="B72" s="86" t="n">
        <v>0</v>
      </c>
      <c r="C72" s="130"/>
      <c r="D72" s="130"/>
      <c r="E72" s="109"/>
      <c r="F72" s="109"/>
      <c r="G72" s="109"/>
      <c r="H72" s="33"/>
      <c r="J72" s="78" t="s">
        <v>99</v>
      </c>
      <c r="K72" s="86" t="n">
        <v>0</v>
      </c>
      <c r="L72" s="130"/>
      <c r="M72" s="130"/>
      <c r="N72" s="109"/>
      <c r="O72" s="109"/>
      <c r="P72" s="109"/>
      <c r="Q72" s="33"/>
      <c r="S72" s="78" t="s">
        <v>99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99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100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100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100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100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101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101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101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101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102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102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102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102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103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103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103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103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104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104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104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105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105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105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105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106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106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106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106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107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107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107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107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108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108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108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108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109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109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109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110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110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110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110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111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111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111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111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112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112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112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113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113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113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114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114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114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114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115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115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115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115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116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116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116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117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117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117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118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118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118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118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119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119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119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119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120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120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120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120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121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121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121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121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123</v>
      </c>
      <c r="K100" s="96"/>
      <c r="L100" s="96"/>
      <c r="M100" s="96"/>
      <c r="N100" s="96"/>
      <c r="O100" s="96"/>
      <c r="P100" s="96"/>
      <c r="Q100" s="96"/>
      <c r="S100" s="96" t="s">
        <v>124</v>
      </c>
      <c r="T100" s="96"/>
      <c r="U100" s="96"/>
      <c r="V100" s="96"/>
      <c r="W100" s="96"/>
      <c r="X100" s="96"/>
      <c r="Y100" s="96"/>
      <c r="Z100" s="96"/>
      <c r="AB100" s="96" t="s">
        <v>125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31" t="s">
        <v>127</v>
      </c>
      <c r="K104" s="130" t="s">
        <v>23</v>
      </c>
      <c r="L104" s="130"/>
      <c r="M104" s="130"/>
      <c r="N104" s="130" t="s">
        <v>128</v>
      </c>
      <c r="O104" s="130"/>
      <c r="P104" s="130"/>
      <c r="Q104" s="33"/>
      <c r="S104" s="31" t="s">
        <v>127</v>
      </c>
      <c r="T104" s="130" t="s">
        <v>23</v>
      </c>
      <c r="U104" s="130"/>
      <c r="V104" s="130"/>
      <c r="W104" s="130" t="s">
        <v>128</v>
      </c>
      <c r="X104" s="130"/>
      <c r="Y104" s="130"/>
      <c r="Z104" s="33"/>
      <c r="AB104" s="31" t="s">
        <v>127</v>
      </c>
      <c r="AC104" s="130" t="s">
        <v>23</v>
      </c>
      <c r="AD104" s="130"/>
      <c r="AE104" s="130"/>
      <c r="AF104" s="130" t="s">
        <v>128</v>
      </c>
      <c r="AG104" s="130"/>
      <c r="AH104" s="130"/>
      <c r="AI104" s="33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447" t="s">
        <v>18</v>
      </c>
      <c r="F105" s="447"/>
      <c r="G105" s="447"/>
      <c r="H105" s="98"/>
      <c r="J105" s="36" t="s">
        <v>129</v>
      </c>
      <c r="K105" s="99" t="s">
        <v>130</v>
      </c>
      <c r="L105" s="99"/>
      <c r="M105" s="99"/>
      <c r="N105" s="100" t="s">
        <v>18</v>
      </c>
      <c r="O105" s="100"/>
      <c r="P105" s="100"/>
      <c r="Q105" s="98"/>
      <c r="S105" s="36" t="s">
        <v>129</v>
      </c>
      <c r="T105" s="99" t="s">
        <v>130</v>
      </c>
      <c r="U105" s="99"/>
      <c r="V105" s="99"/>
      <c r="W105" s="100" t="s">
        <v>18</v>
      </c>
      <c r="X105" s="100"/>
      <c r="Y105" s="100"/>
      <c r="Z105" s="98"/>
      <c r="AB105" s="36" t="s">
        <v>129</v>
      </c>
      <c r="AC105" s="99" t="s">
        <v>130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31" t="s">
        <v>131</v>
      </c>
      <c r="K107" s="130" t="s">
        <v>132</v>
      </c>
      <c r="L107" s="130"/>
      <c r="M107" s="109"/>
      <c r="N107" s="130" t="s">
        <v>133</v>
      </c>
      <c r="O107" s="130"/>
      <c r="P107" s="109"/>
      <c r="Q107" s="98"/>
      <c r="S107" s="31" t="s">
        <v>131</v>
      </c>
      <c r="T107" s="130" t="s">
        <v>132</v>
      </c>
      <c r="U107" s="130"/>
      <c r="V107" s="109"/>
      <c r="W107" s="130" t="s">
        <v>133</v>
      </c>
      <c r="X107" s="130"/>
      <c r="Y107" s="109"/>
      <c r="Z107" s="98"/>
      <c r="AB107" s="31" t="s">
        <v>131</v>
      </c>
      <c r="AC107" s="130" t="s">
        <v>132</v>
      </c>
      <c r="AD107" s="130"/>
      <c r="AE107" s="109"/>
      <c r="AF107" s="130" t="s">
        <v>133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134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135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135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31" t="s">
        <v>137</v>
      </c>
      <c r="K110" s="130" t="s">
        <v>138</v>
      </c>
      <c r="L110" s="130"/>
      <c r="M110" s="130"/>
      <c r="N110" s="130" t="s">
        <v>139</v>
      </c>
      <c r="O110" s="130"/>
      <c r="P110" s="130"/>
      <c r="Q110" s="33"/>
      <c r="S110" s="31" t="s">
        <v>137</v>
      </c>
      <c r="T110" s="130" t="s">
        <v>138</v>
      </c>
      <c r="U110" s="130"/>
      <c r="V110" s="130"/>
      <c r="W110" s="130" t="s">
        <v>139</v>
      </c>
      <c r="X110" s="130"/>
      <c r="Y110" s="130"/>
      <c r="Z110" s="33"/>
      <c r="AB110" s="31" t="s">
        <v>137</v>
      </c>
      <c r="AC110" s="130" t="s">
        <v>138</v>
      </c>
      <c r="AD110" s="130"/>
      <c r="AE110" s="130"/>
      <c r="AF110" s="130" t="s">
        <v>139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106" t="s">
        <v>140</v>
      </c>
      <c r="K113" s="130" t="s">
        <v>141</v>
      </c>
      <c r="L113" s="130"/>
      <c r="M113" s="130"/>
      <c r="N113" s="130" t="s">
        <v>142</v>
      </c>
      <c r="O113" s="130"/>
      <c r="P113" s="109"/>
      <c r="Q113" s="98"/>
      <c r="S113" s="106" t="s">
        <v>140</v>
      </c>
      <c r="T113" s="130" t="s">
        <v>141</v>
      </c>
      <c r="U113" s="130"/>
      <c r="V113" s="130"/>
      <c r="W113" s="130" t="s">
        <v>142</v>
      </c>
      <c r="X113" s="130"/>
      <c r="Y113" s="109"/>
      <c r="Z113" s="98"/>
      <c r="AB113" s="106" t="s">
        <v>140</v>
      </c>
      <c r="AC113" s="130" t="s">
        <v>141</v>
      </c>
      <c r="AD113" s="130"/>
      <c r="AE113" s="130"/>
      <c r="AF113" s="130" t="s">
        <v>142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78"/>
      <c r="K119" s="110" t="s">
        <v>145</v>
      </c>
      <c r="L119" s="110"/>
      <c r="M119" s="110" t="s">
        <v>146</v>
      </c>
      <c r="N119" s="110"/>
      <c r="O119" s="110" t="s">
        <v>147</v>
      </c>
      <c r="P119" s="110"/>
      <c r="Q119" s="111" t="s">
        <v>148</v>
      </c>
      <c r="S119" s="78"/>
      <c r="T119" s="110" t="s">
        <v>145</v>
      </c>
      <c r="U119" s="110"/>
      <c r="V119" s="110" t="s">
        <v>146</v>
      </c>
      <c r="W119" s="110"/>
      <c r="X119" s="110" t="s">
        <v>147</v>
      </c>
      <c r="Y119" s="110"/>
      <c r="Z119" s="111" t="s">
        <v>148</v>
      </c>
      <c r="AB119" s="78"/>
      <c r="AC119" s="110" t="s">
        <v>145</v>
      </c>
      <c r="AD119" s="110"/>
      <c r="AE119" s="110" t="s">
        <v>146</v>
      </c>
      <c r="AF119" s="110"/>
      <c r="AG119" s="110" t="s">
        <v>147</v>
      </c>
      <c r="AH119" s="110"/>
      <c r="AI119" s="111" t="s">
        <v>148</v>
      </c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80"/>
      <c r="K120" s="112" t="s">
        <v>149</v>
      </c>
      <c r="L120" s="113" t="s">
        <v>150</v>
      </c>
      <c r="M120" s="112" t="s">
        <v>149</v>
      </c>
      <c r="N120" s="114" t="s">
        <v>150</v>
      </c>
      <c r="O120" s="112" t="s">
        <v>149</v>
      </c>
      <c r="P120" s="114" t="s">
        <v>150</v>
      </c>
      <c r="Q120" s="115"/>
      <c r="S120" s="80"/>
      <c r="T120" s="112" t="s">
        <v>149</v>
      </c>
      <c r="U120" s="113" t="s">
        <v>150</v>
      </c>
      <c r="V120" s="112" t="s">
        <v>149</v>
      </c>
      <c r="W120" s="114" t="s">
        <v>150</v>
      </c>
      <c r="X120" s="112" t="s">
        <v>149</v>
      </c>
      <c r="Y120" s="114" t="s">
        <v>150</v>
      </c>
      <c r="Z120" s="115"/>
      <c r="AB120" s="80"/>
      <c r="AC120" s="112" t="s">
        <v>149</v>
      </c>
      <c r="AD120" s="113" t="s">
        <v>150</v>
      </c>
      <c r="AE120" s="112" t="s">
        <v>149</v>
      </c>
      <c r="AF120" s="114" t="s">
        <v>150</v>
      </c>
      <c r="AG120" s="112" t="s">
        <v>149</v>
      </c>
      <c r="AH120" s="114" t="s">
        <v>150</v>
      </c>
      <c r="AI120" s="115"/>
    </row>
    <row r="121" customFormat="false" ht="17.35" hidden="false" customHeight="false" outlineLevel="0" collapsed="false">
      <c r="A121" s="25" t="s">
        <v>151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151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151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151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152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152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152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153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153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153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153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154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154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154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155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155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155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131"/>
      <c r="K127" s="132"/>
      <c r="L127" s="132"/>
      <c r="M127" s="132"/>
      <c r="N127" s="132"/>
      <c r="O127" s="132"/>
      <c r="P127" s="133" t="s">
        <v>149</v>
      </c>
      <c r="Q127" s="134" t="s">
        <v>150</v>
      </c>
      <c r="S127" s="131"/>
      <c r="T127" s="132"/>
      <c r="U127" s="132"/>
      <c r="V127" s="132"/>
      <c r="W127" s="132"/>
      <c r="X127" s="132"/>
      <c r="Y127" s="133" t="s">
        <v>149</v>
      </c>
      <c r="Z127" s="134" t="s">
        <v>150</v>
      </c>
      <c r="AB127" s="131"/>
      <c r="AC127" s="132"/>
      <c r="AD127" s="132"/>
      <c r="AE127" s="132"/>
      <c r="AF127" s="132"/>
      <c r="AG127" s="132"/>
      <c r="AH127" s="133" t="s">
        <v>149</v>
      </c>
      <c r="AI127" s="134" t="s">
        <v>150</v>
      </c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156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156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156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144" t="s">
        <v>157</v>
      </c>
      <c r="K130" s="141" t="s">
        <v>158</v>
      </c>
      <c r="L130" s="141"/>
      <c r="M130" s="141" t="s">
        <v>159</v>
      </c>
      <c r="N130" s="141"/>
      <c r="O130" s="141" t="s">
        <v>153</v>
      </c>
      <c r="P130" s="141"/>
      <c r="Q130" s="142" t="s">
        <v>150</v>
      </c>
      <c r="S130" s="144" t="s">
        <v>157</v>
      </c>
      <c r="T130" s="141" t="s">
        <v>158</v>
      </c>
      <c r="U130" s="141"/>
      <c r="V130" s="141" t="s">
        <v>159</v>
      </c>
      <c r="W130" s="141"/>
      <c r="X130" s="141" t="s">
        <v>153</v>
      </c>
      <c r="Y130" s="141"/>
      <c r="Z130" s="142" t="s">
        <v>150</v>
      </c>
      <c r="AB130" s="144" t="s">
        <v>157</v>
      </c>
      <c r="AC130" s="141" t="s">
        <v>158</v>
      </c>
      <c r="AD130" s="141"/>
      <c r="AE130" s="141" t="s">
        <v>159</v>
      </c>
      <c r="AF130" s="141"/>
      <c r="AG130" s="141" t="s">
        <v>153</v>
      </c>
      <c r="AH130" s="141"/>
      <c r="AI130" s="142" t="s">
        <v>150</v>
      </c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160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160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160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161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161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161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162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162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162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163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163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163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164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164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164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165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165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165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166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166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166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167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167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167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168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168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168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169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169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169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170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170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170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107" t="s">
        <v>171</v>
      </c>
      <c r="K143" s="107"/>
      <c r="L143" s="107"/>
      <c r="M143" s="107"/>
      <c r="N143" s="107"/>
      <c r="O143" s="107"/>
      <c r="P143" s="99"/>
      <c r="Q143" s="33"/>
      <c r="S143" s="107" t="s">
        <v>171</v>
      </c>
      <c r="T143" s="107"/>
      <c r="U143" s="107"/>
      <c r="V143" s="107"/>
      <c r="W143" s="107"/>
      <c r="X143" s="107"/>
      <c r="Y143" s="99"/>
      <c r="Z143" s="33"/>
      <c r="AB143" s="107" t="s">
        <v>171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172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172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172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172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172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172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172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172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172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173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173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173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174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174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174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176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176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176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177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177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177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178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178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178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179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179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179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180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180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180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181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181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181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183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183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183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170" t="s">
        <v>184</v>
      </c>
      <c r="K166" s="171" t="s">
        <v>185</v>
      </c>
      <c r="L166" s="171"/>
      <c r="M166" s="171"/>
      <c r="N166" s="171" t="s">
        <v>186</v>
      </c>
      <c r="O166" s="23"/>
      <c r="P166" s="23"/>
      <c r="Q166" s="33"/>
      <c r="S166" s="170" t="s">
        <v>184</v>
      </c>
      <c r="T166" s="171" t="s">
        <v>185</v>
      </c>
      <c r="U166" s="171"/>
      <c r="V166" s="171"/>
      <c r="W166" s="171" t="s">
        <v>186</v>
      </c>
      <c r="X166" s="23"/>
      <c r="Y166" s="23"/>
      <c r="Z166" s="33"/>
      <c r="AB166" s="170" t="s">
        <v>184</v>
      </c>
      <c r="AC166" s="171" t="s">
        <v>185</v>
      </c>
      <c r="AD166" s="171"/>
      <c r="AE166" s="171"/>
      <c r="AF166" s="171" t="s">
        <v>186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31" t="s">
        <v>84</v>
      </c>
      <c r="K169" s="130" t="s">
        <v>85</v>
      </c>
      <c r="L169" s="130"/>
      <c r="M169" s="23"/>
      <c r="N169" s="130" t="s">
        <v>187</v>
      </c>
      <c r="O169" s="23"/>
      <c r="P169" s="23"/>
      <c r="Q169" s="33"/>
      <c r="S169" s="31" t="s">
        <v>84</v>
      </c>
      <c r="T169" s="130" t="s">
        <v>85</v>
      </c>
      <c r="U169" s="130"/>
      <c r="V169" s="23"/>
      <c r="W169" s="130" t="s">
        <v>187</v>
      </c>
      <c r="X169" s="23"/>
      <c r="Y169" s="23"/>
      <c r="Z169" s="33"/>
      <c r="AB169" s="31" t="s">
        <v>84</v>
      </c>
      <c r="AC169" s="130" t="s">
        <v>85</v>
      </c>
      <c r="AD169" s="130"/>
      <c r="AE169" s="23"/>
      <c r="AF169" s="130" t="s">
        <v>187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31" t="s">
        <v>188</v>
      </c>
      <c r="K172" s="130" t="s">
        <v>189</v>
      </c>
      <c r="L172" s="130"/>
      <c r="M172" s="23"/>
      <c r="N172" s="130" t="s">
        <v>190</v>
      </c>
      <c r="O172" s="23"/>
      <c r="P172" s="23"/>
      <c r="Q172" s="33"/>
      <c r="S172" s="31" t="s">
        <v>188</v>
      </c>
      <c r="T172" s="130" t="s">
        <v>189</v>
      </c>
      <c r="U172" s="130"/>
      <c r="V172" s="23"/>
      <c r="W172" s="130" t="s">
        <v>190</v>
      </c>
      <c r="X172" s="23"/>
      <c r="Y172" s="23"/>
      <c r="Z172" s="33"/>
      <c r="AB172" s="31" t="s">
        <v>188</v>
      </c>
      <c r="AC172" s="130" t="s">
        <v>189</v>
      </c>
      <c r="AD172" s="130"/>
      <c r="AE172" s="23"/>
      <c r="AF172" s="130" t="s">
        <v>190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31" t="s">
        <v>191</v>
      </c>
      <c r="K175" s="130" t="s">
        <v>138</v>
      </c>
      <c r="L175" s="130"/>
      <c r="M175" s="23"/>
      <c r="N175" s="130" t="s">
        <v>139</v>
      </c>
      <c r="O175" s="23"/>
      <c r="P175" s="23"/>
      <c r="Q175" s="33"/>
      <c r="S175" s="31" t="s">
        <v>191</v>
      </c>
      <c r="T175" s="130" t="s">
        <v>138</v>
      </c>
      <c r="U175" s="130"/>
      <c r="V175" s="23"/>
      <c r="W175" s="130" t="s">
        <v>139</v>
      </c>
      <c r="X175" s="23"/>
      <c r="Y175" s="23"/>
      <c r="Z175" s="33"/>
      <c r="AB175" s="31" t="s">
        <v>191</v>
      </c>
      <c r="AC175" s="130" t="s">
        <v>138</v>
      </c>
      <c r="AD175" s="130"/>
      <c r="AE175" s="23"/>
      <c r="AF175" s="130" t="s">
        <v>139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31" t="s">
        <v>140</v>
      </c>
      <c r="K178" s="130" t="s">
        <v>176</v>
      </c>
      <c r="L178" s="130"/>
      <c r="M178" s="23"/>
      <c r="N178" s="130" t="s">
        <v>181</v>
      </c>
      <c r="O178" s="23"/>
      <c r="P178" s="23"/>
      <c r="Q178" s="33"/>
      <c r="S178" s="31" t="s">
        <v>140</v>
      </c>
      <c r="T178" s="130" t="s">
        <v>176</v>
      </c>
      <c r="U178" s="130"/>
      <c r="V178" s="23"/>
      <c r="W178" s="130" t="s">
        <v>181</v>
      </c>
      <c r="X178" s="23"/>
      <c r="Y178" s="23"/>
      <c r="Z178" s="33"/>
      <c r="AB178" s="31" t="s">
        <v>140</v>
      </c>
      <c r="AC178" s="130" t="s">
        <v>176</v>
      </c>
      <c r="AD178" s="130"/>
      <c r="AE178" s="23"/>
      <c r="AF178" s="130" t="s">
        <v>181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31" t="s">
        <v>192</v>
      </c>
      <c r="K181" s="130" t="s">
        <v>53</v>
      </c>
      <c r="L181" s="130"/>
      <c r="M181" s="23"/>
      <c r="N181" s="130" t="s">
        <v>193</v>
      </c>
      <c r="O181" s="23"/>
      <c r="P181" s="23"/>
      <c r="Q181" s="33"/>
      <c r="S181" s="31" t="s">
        <v>192</v>
      </c>
      <c r="T181" s="130" t="s">
        <v>53</v>
      </c>
      <c r="U181" s="130"/>
      <c r="V181" s="23"/>
      <c r="W181" s="130" t="s">
        <v>193</v>
      </c>
      <c r="X181" s="23"/>
      <c r="Y181" s="23"/>
      <c r="Z181" s="33"/>
      <c r="AB181" s="31" t="s">
        <v>192</v>
      </c>
      <c r="AC181" s="130" t="s">
        <v>53</v>
      </c>
      <c r="AD181" s="130"/>
      <c r="AE181" s="23"/>
      <c r="AF181" s="130" t="s">
        <v>193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31" t="s">
        <v>194</v>
      </c>
      <c r="K184" s="130" t="s">
        <v>195</v>
      </c>
      <c r="L184" s="130"/>
      <c r="M184" s="23"/>
      <c r="N184" s="130" t="s">
        <v>196</v>
      </c>
      <c r="O184" s="23"/>
      <c r="P184" s="23"/>
      <c r="Q184" s="33"/>
      <c r="S184" s="31" t="s">
        <v>194</v>
      </c>
      <c r="T184" s="130" t="s">
        <v>195</v>
      </c>
      <c r="U184" s="130"/>
      <c r="V184" s="23"/>
      <c r="W184" s="130" t="s">
        <v>196</v>
      </c>
      <c r="X184" s="23"/>
      <c r="Y184" s="23"/>
      <c r="Z184" s="33"/>
      <c r="AB184" s="31" t="s">
        <v>194</v>
      </c>
      <c r="AC184" s="130" t="s">
        <v>195</v>
      </c>
      <c r="AD184" s="130"/>
      <c r="AE184" s="23"/>
      <c r="AF184" s="130" t="s">
        <v>196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31" t="s">
        <v>197</v>
      </c>
      <c r="K187" s="130" t="s">
        <v>198</v>
      </c>
      <c r="L187" s="130"/>
      <c r="M187" s="130"/>
      <c r="N187" s="163" t="s">
        <v>199</v>
      </c>
      <c r="O187" s="23"/>
      <c r="P187" s="23"/>
      <c r="Q187" s="33"/>
      <c r="S187" s="31" t="s">
        <v>197</v>
      </c>
      <c r="T187" s="130" t="s">
        <v>198</v>
      </c>
      <c r="U187" s="130"/>
      <c r="V187" s="130"/>
      <c r="W187" s="163" t="s">
        <v>199</v>
      </c>
      <c r="X187" s="32"/>
      <c r="Y187" s="32"/>
      <c r="Z187" s="33"/>
      <c r="AB187" s="31" t="s">
        <v>197</v>
      </c>
      <c r="AC187" s="130" t="s">
        <v>198</v>
      </c>
      <c r="AD187" s="130"/>
      <c r="AE187" s="130"/>
      <c r="AF187" s="163" t="s">
        <v>199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60" t="s">
        <v>200</v>
      </c>
      <c r="K190" s="163" t="s">
        <v>201</v>
      </c>
      <c r="L190" s="130"/>
      <c r="M190" s="130"/>
      <c r="N190" s="163" t="s">
        <v>202</v>
      </c>
      <c r="O190" s="23"/>
      <c r="P190" s="23"/>
      <c r="Q190" s="33"/>
      <c r="S190" s="60" t="s">
        <v>200</v>
      </c>
      <c r="T190" s="163" t="s">
        <v>201</v>
      </c>
      <c r="U190" s="130"/>
      <c r="V190" s="130"/>
      <c r="W190" s="163" t="s">
        <v>202</v>
      </c>
      <c r="X190" s="32"/>
      <c r="Y190" s="32"/>
      <c r="Z190" s="33"/>
      <c r="AB190" s="60" t="s">
        <v>200</v>
      </c>
      <c r="AC190" s="163" t="s">
        <v>201</v>
      </c>
      <c r="AD190" s="130"/>
      <c r="AE190" s="130"/>
      <c r="AF190" s="163" t="s">
        <v>202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66" t="s">
        <v>203</v>
      </c>
      <c r="K193" s="130"/>
      <c r="L193" s="130"/>
      <c r="M193" s="67"/>
      <c r="N193" s="67"/>
      <c r="O193" s="67"/>
      <c r="P193" s="67"/>
      <c r="Q193" s="68"/>
      <c r="S193" s="66" t="s">
        <v>203</v>
      </c>
      <c r="T193" s="130"/>
      <c r="U193" s="130"/>
      <c r="V193" s="67"/>
      <c r="W193" s="67"/>
      <c r="X193" s="67"/>
      <c r="Y193" s="67"/>
      <c r="Z193" s="68"/>
      <c r="AB193" s="66" t="s">
        <v>203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184" t="s">
        <v>84</v>
      </c>
      <c r="K195" s="71" t="s">
        <v>85</v>
      </c>
      <c r="L195" s="71"/>
      <c r="M195" s="71"/>
      <c r="N195" s="23"/>
      <c r="O195" s="23"/>
      <c r="P195" s="23"/>
      <c r="Q195" s="33"/>
      <c r="S195" s="184" t="s">
        <v>84</v>
      </c>
      <c r="T195" s="71" t="s">
        <v>85</v>
      </c>
      <c r="U195" s="71"/>
      <c r="V195" s="71"/>
      <c r="W195" s="23"/>
      <c r="X195" s="23"/>
      <c r="Y195" s="23"/>
      <c r="Z195" s="33"/>
      <c r="AB195" s="184" t="s">
        <v>84</v>
      </c>
      <c r="AC195" s="71" t="s">
        <v>85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204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206</v>
      </c>
      <c r="B232" s="130" t="s">
        <v>207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208</v>
      </c>
      <c r="B235" s="163" t="s">
        <v>74</v>
      </c>
      <c r="C235" s="130"/>
      <c r="D235" s="130"/>
      <c r="E235" s="163" t="s">
        <v>132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K35</f>
        <v>0.065</v>
      </c>
      <c r="C253" s="194"/>
      <c r="D253" s="195" t="s">
        <v>213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242.491666666667</v>
      </c>
      <c r="C255" s="194"/>
      <c r="D255" s="195" t="s">
        <v>217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0.05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0.1255</v>
      </c>
      <c r="C260" s="43"/>
      <c r="D260" s="163" t="s">
        <v>214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0.005</v>
      </c>
      <c r="C261" s="32"/>
      <c r="D261" s="163" t="s">
        <v>220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0.3</v>
      </c>
      <c r="C262" s="32"/>
      <c r="D262" s="163" t="s">
        <v>221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99.9916666666667</v>
      </c>
      <c r="C263" s="32"/>
      <c r="D263" s="39" t="s">
        <v>217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347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128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84</v>
      </c>
      <c r="K29" s="444" t="n">
        <v>36</v>
      </c>
      <c r="P29" s="208"/>
    </row>
    <row r="30" customFormat="false" ht="17.9" hidden="false" customHeight="false" outlineLevel="0" collapsed="false">
      <c r="A30" s="31" t="s">
        <v>183</v>
      </c>
      <c r="B30" s="100" t="s">
        <v>348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84</v>
      </c>
      <c r="B32" s="130" t="s">
        <v>85</v>
      </c>
      <c r="C32" s="130"/>
      <c r="D32" s="130"/>
      <c r="E32" s="130" t="s">
        <v>349</v>
      </c>
      <c r="F32" s="130"/>
      <c r="G32" s="130"/>
      <c r="H32" s="33"/>
      <c r="I32" s="2"/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714.032865011724</v>
      </c>
      <c r="F33" s="228"/>
      <c r="G33" s="228"/>
      <c r="H33" s="47"/>
      <c r="I33" s="2"/>
      <c r="J33" s="34" t="s">
        <v>350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351</v>
      </c>
      <c r="B35" s="130" t="s">
        <v>352</v>
      </c>
      <c r="C35" s="130"/>
      <c r="D35" s="208"/>
      <c r="E35" s="130" t="s">
        <v>353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714.032865011724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354</v>
      </c>
      <c r="B39" s="130" t="s">
        <v>355</v>
      </c>
      <c r="C39" s="130"/>
      <c r="D39" s="208"/>
      <c r="E39" s="130" t="s">
        <v>356</v>
      </c>
      <c r="F39" s="183"/>
      <c r="G39" s="183"/>
      <c r="H39" s="47"/>
      <c r="J39" s="2" t="s">
        <v>86</v>
      </c>
      <c r="K39" s="2" t="n">
        <f aca="false">K33</f>
        <v>23125</v>
      </c>
      <c r="L39" s="2" t="n">
        <f aca="false">(L47*K46)+K44</f>
        <v>25909.1715613066</v>
      </c>
      <c r="N39" s="1" t="n">
        <f aca="false">K39-L39</f>
        <v>-2784.17156130656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108</v>
      </c>
      <c r="K40" s="2" t="n">
        <f aca="false">(A40)/1.2</f>
        <v>0</v>
      </c>
      <c r="L40" s="2" t="n">
        <f aca="false">K39-L39</f>
        <v>-2784.17156130656</v>
      </c>
      <c r="N40" s="1" t="n">
        <f aca="false">N38-N39</f>
        <v>5695.85156130656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357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358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359</v>
      </c>
      <c r="K43" s="2"/>
      <c r="L43" s="2"/>
      <c r="P43" s="208"/>
    </row>
    <row r="44" customFormat="false" ht="17.35" hidden="false" customHeight="false" outlineLevel="0" collapsed="false">
      <c r="A44" s="60" t="s">
        <v>78</v>
      </c>
      <c r="B44" s="130"/>
      <c r="C44" s="277" t="s">
        <v>79</v>
      </c>
      <c r="D44" s="277"/>
      <c r="E44" s="130"/>
      <c r="F44" s="130"/>
      <c r="G44" s="130"/>
      <c r="H44" s="33"/>
      <c r="J44" s="2" t="s">
        <v>360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361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362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363</v>
      </c>
      <c r="K47" s="2" t="n">
        <f aca="false">K45/K46</f>
        <v>714.032865011724</v>
      </c>
      <c r="L47" s="2" t="n">
        <f aca="false">L49-K42</f>
        <v>800</v>
      </c>
      <c r="M47" s="1" t="n">
        <f aca="false">K47-L47</f>
        <v>-85.9671349882763</v>
      </c>
      <c r="P47" s="208"/>
    </row>
    <row r="48" customFormat="false" ht="31.8" hidden="false" customHeight="false" outlineLevel="0" collapsed="false">
      <c r="A48" s="66" t="s">
        <v>83</v>
      </c>
      <c r="B48" s="130"/>
      <c r="C48" s="130"/>
      <c r="D48" s="67"/>
      <c r="E48" s="67"/>
      <c r="F48" s="67"/>
      <c r="G48" s="67"/>
      <c r="H48" s="68"/>
      <c r="J48" s="55" t="s">
        <v>364</v>
      </c>
      <c r="K48" s="2" t="n">
        <f aca="false">IF(B26="YES", K47+K42, K47)</f>
        <v>714.032865011724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365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84</v>
      </c>
      <c r="B50" s="71" t="s">
        <v>85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714.032865011724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86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86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86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86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87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87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87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87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88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88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88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88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89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89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89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89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90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90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90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90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91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91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91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91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92</v>
      </c>
      <c r="B65" s="65" t="n">
        <f aca="false">(B89*B59)-(K47*K29)</f>
        <v>8041.68929665607</v>
      </c>
      <c r="C65" s="130"/>
      <c r="D65" s="130"/>
      <c r="E65" s="109"/>
      <c r="F65" s="109"/>
      <c r="G65" s="109"/>
      <c r="H65" s="33"/>
      <c r="J65" s="56" t="s">
        <v>92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92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92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93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93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93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94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94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94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94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95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95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95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95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96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96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96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96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97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97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97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97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98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98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98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99</v>
      </c>
      <c r="B72" s="86" t="n">
        <v>0</v>
      </c>
      <c r="C72" s="130"/>
      <c r="D72" s="130"/>
      <c r="E72" s="109"/>
      <c r="F72" s="109"/>
      <c r="G72" s="109"/>
      <c r="H72" s="33"/>
      <c r="J72" s="78" t="s">
        <v>99</v>
      </c>
      <c r="K72" s="86" t="n">
        <v>0</v>
      </c>
      <c r="L72" s="130"/>
      <c r="M72" s="130"/>
      <c r="N72" s="109"/>
      <c r="O72" s="109"/>
      <c r="P72" s="109"/>
      <c r="Q72" s="33"/>
      <c r="S72" s="78" t="s">
        <v>99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99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100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100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100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100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101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101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101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101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102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102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102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102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103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103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103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103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104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104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104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105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105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105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105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106</v>
      </c>
      <c r="B79" s="59" t="n">
        <f aca="false">K47</f>
        <v>714.032865011724</v>
      </c>
      <c r="C79" s="130"/>
      <c r="D79" s="130"/>
      <c r="E79" s="109"/>
      <c r="F79" s="109"/>
      <c r="G79" s="109"/>
      <c r="H79" s="33"/>
      <c r="J79" s="90" t="s">
        <v>106</v>
      </c>
      <c r="K79" s="59" t="n">
        <f aca="false">K47</f>
        <v>714.032865011724</v>
      </c>
      <c r="L79" s="130"/>
      <c r="M79" s="130"/>
      <c r="N79" s="109"/>
      <c r="O79" s="109"/>
      <c r="P79" s="109"/>
      <c r="Q79" s="33"/>
      <c r="S79" s="90" t="s">
        <v>106</v>
      </c>
      <c r="T79" s="59" t="n">
        <f aca="false">B52</f>
        <v>714.032865011724</v>
      </c>
      <c r="U79" s="130"/>
      <c r="V79" s="130"/>
      <c r="W79" s="109"/>
      <c r="X79" s="109"/>
      <c r="Y79" s="109"/>
      <c r="Z79" s="33"/>
      <c r="AB79" s="90" t="s">
        <v>106</v>
      </c>
      <c r="AC79" s="59" t="n">
        <f aca="false">B52</f>
        <v>714.032865011724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107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107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107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107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108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108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108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108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109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109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109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110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110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110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110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111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111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111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111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112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112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112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113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113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113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114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114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114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114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115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115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115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115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116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116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116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117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117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117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118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118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118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118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119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119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119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119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120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120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120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120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121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121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121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121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123</v>
      </c>
      <c r="K100" s="96"/>
      <c r="L100" s="96"/>
      <c r="M100" s="96"/>
      <c r="N100" s="96"/>
      <c r="O100" s="96"/>
      <c r="P100" s="96"/>
      <c r="Q100" s="96"/>
      <c r="S100" s="96" t="s">
        <v>124</v>
      </c>
      <c r="T100" s="96"/>
      <c r="U100" s="96"/>
      <c r="V100" s="96"/>
      <c r="W100" s="96"/>
      <c r="X100" s="96"/>
      <c r="Y100" s="96"/>
      <c r="Z100" s="96"/>
      <c r="AB100" s="96" t="s">
        <v>125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31" t="s">
        <v>127</v>
      </c>
      <c r="K104" s="130" t="s">
        <v>23</v>
      </c>
      <c r="L104" s="130"/>
      <c r="M104" s="130"/>
      <c r="N104" s="130" t="s">
        <v>128</v>
      </c>
      <c r="O104" s="130"/>
      <c r="P104" s="130"/>
      <c r="Q104" s="33"/>
      <c r="S104" s="31" t="s">
        <v>127</v>
      </c>
      <c r="T104" s="130" t="s">
        <v>23</v>
      </c>
      <c r="U104" s="130"/>
      <c r="V104" s="130"/>
      <c r="W104" s="130" t="s">
        <v>128</v>
      </c>
      <c r="X104" s="130"/>
      <c r="Y104" s="130"/>
      <c r="Z104" s="33"/>
      <c r="AB104" s="31" t="s">
        <v>127</v>
      </c>
      <c r="AC104" s="130" t="s">
        <v>23</v>
      </c>
      <c r="AD104" s="130"/>
      <c r="AE104" s="130"/>
      <c r="AF104" s="130" t="s">
        <v>128</v>
      </c>
      <c r="AG104" s="130"/>
      <c r="AH104" s="130"/>
      <c r="AI104" s="33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447" t="s">
        <v>19</v>
      </c>
      <c r="F105" s="447"/>
      <c r="G105" s="447"/>
      <c r="H105" s="98"/>
      <c r="J105" s="36" t="s">
        <v>129</v>
      </c>
      <c r="K105" s="99" t="s">
        <v>130</v>
      </c>
      <c r="L105" s="99"/>
      <c r="M105" s="99"/>
      <c r="N105" s="100" t="s">
        <v>18</v>
      </c>
      <c r="O105" s="100"/>
      <c r="P105" s="100"/>
      <c r="Q105" s="98"/>
      <c r="S105" s="36" t="s">
        <v>129</v>
      </c>
      <c r="T105" s="99" t="s">
        <v>130</v>
      </c>
      <c r="U105" s="99"/>
      <c r="V105" s="99"/>
      <c r="W105" s="100" t="s">
        <v>18</v>
      </c>
      <c r="X105" s="100"/>
      <c r="Y105" s="100"/>
      <c r="Z105" s="98"/>
      <c r="AB105" s="36" t="s">
        <v>129</v>
      </c>
      <c r="AC105" s="99" t="s">
        <v>130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31" t="s">
        <v>131</v>
      </c>
      <c r="K107" s="130" t="s">
        <v>132</v>
      </c>
      <c r="L107" s="130"/>
      <c r="M107" s="109"/>
      <c r="N107" s="130" t="s">
        <v>133</v>
      </c>
      <c r="O107" s="130"/>
      <c r="P107" s="109"/>
      <c r="Q107" s="98"/>
      <c r="S107" s="31" t="s">
        <v>131</v>
      </c>
      <c r="T107" s="130" t="s">
        <v>132</v>
      </c>
      <c r="U107" s="130"/>
      <c r="V107" s="109"/>
      <c r="W107" s="130" t="s">
        <v>133</v>
      </c>
      <c r="X107" s="130"/>
      <c r="Y107" s="109"/>
      <c r="Z107" s="98"/>
      <c r="AB107" s="31" t="s">
        <v>131</v>
      </c>
      <c r="AC107" s="130" t="s">
        <v>132</v>
      </c>
      <c r="AD107" s="130"/>
      <c r="AE107" s="109"/>
      <c r="AF107" s="130" t="s">
        <v>133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134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135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135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31" t="s">
        <v>137</v>
      </c>
      <c r="K110" s="130" t="s">
        <v>138</v>
      </c>
      <c r="L110" s="130"/>
      <c r="M110" s="130"/>
      <c r="N110" s="130" t="s">
        <v>139</v>
      </c>
      <c r="O110" s="130"/>
      <c r="P110" s="130"/>
      <c r="Q110" s="33"/>
      <c r="S110" s="31" t="s">
        <v>137</v>
      </c>
      <c r="T110" s="130" t="s">
        <v>138</v>
      </c>
      <c r="U110" s="130"/>
      <c r="V110" s="130"/>
      <c r="W110" s="130" t="s">
        <v>139</v>
      </c>
      <c r="X110" s="130"/>
      <c r="Y110" s="130"/>
      <c r="Z110" s="33"/>
      <c r="AB110" s="31" t="s">
        <v>137</v>
      </c>
      <c r="AC110" s="130" t="s">
        <v>138</v>
      </c>
      <c r="AD110" s="130"/>
      <c r="AE110" s="130"/>
      <c r="AF110" s="130" t="s">
        <v>139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106" t="s">
        <v>140</v>
      </c>
      <c r="K113" s="130" t="s">
        <v>141</v>
      </c>
      <c r="L113" s="130"/>
      <c r="M113" s="130"/>
      <c r="N113" s="130" t="s">
        <v>142</v>
      </c>
      <c r="O113" s="130"/>
      <c r="P113" s="109"/>
      <c r="Q113" s="98"/>
      <c r="S113" s="106" t="s">
        <v>140</v>
      </c>
      <c r="T113" s="130" t="s">
        <v>141</v>
      </c>
      <c r="U113" s="130"/>
      <c r="V113" s="130"/>
      <c r="W113" s="130" t="s">
        <v>142</v>
      </c>
      <c r="X113" s="130"/>
      <c r="Y113" s="109"/>
      <c r="Z113" s="98"/>
      <c r="AB113" s="106" t="s">
        <v>140</v>
      </c>
      <c r="AC113" s="130" t="s">
        <v>141</v>
      </c>
      <c r="AD113" s="130"/>
      <c r="AE113" s="130"/>
      <c r="AF113" s="130" t="s">
        <v>142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78"/>
      <c r="K119" s="110" t="s">
        <v>145</v>
      </c>
      <c r="L119" s="110"/>
      <c r="M119" s="110" t="s">
        <v>146</v>
      </c>
      <c r="N119" s="110"/>
      <c r="O119" s="110" t="s">
        <v>147</v>
      </c>
      <c r="P119" s="110"/>
      <c r="Q119" s="111" t="s">
        <v>148</v>
      </c>
      <c r="S119" s="78"/>
      <c r="T119" s="110" t="s">
        <v>145</v>
      </c>
      <c r="U119" s="110"/>
      <c r="V119" s="110" t="s">
        <v>146</v>
      </c>
      <c r="W119" s="110"/>
      <c r="X119" s="110" t="s">
        <v>147</v>
      </c>
      <c r="Y119" s="110"/>
      <c r="Z119" s="111" t="s">
        <v>148</v>
      </c>
      <c r="AB119" s="78"/>
      <c r="AC119" s="110" t="s">
        <v>145</v>
      </c>
      <c r="AD119" s="110"/>
      <c r="AE119" s="110" t="s">
        <v>146</v>
      </c>
      <c r="AF119" s="110"/>
      <c r="AG119" s="110" t="s">
        <v>147</v>
      </c>
      <c r="AH119" s="110"/>
      <c r="AI119" s="111" t="s">
        <v>148</v>
      </c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80"/>
      <c r="K120" s="112" t="s">
        <v>149</v>
      </c>
      <c r="L120" s="113" t="s">
        <v>150</v>
      </c>
      <c r="M120" s="112" t="s">
        <v>149</v>
      </c>
      <c r="N120" s="114" t="s">
        <v>150</v>
      </c>
      <c r="O120" s="112" t="s">
        <v>149</v>
      </c>
      <c r="P120" s="114" t="s">
        <v>150</v>
      </c>
      <c r="Q120" s="115"/>
      <c r="S120" s="80"/>
      <c r="T120" s="112" t="s">
        <v>149</v>
      </c>
      <c r="U120" s="113" t="s">
        <v>150</v>
      </c>
      <c r="V120" s="112" t="s">
        <v>149</v>
      </c>
      <c r="W120" s="114" t="s">
        <v>150</v>
      </c>
      <c r="X120" s="112" t="s">
        <v>149</v>
      </c>
      <c r="Y120" s="114" t="s">
        <v>150</v>
      </c>
      <c r="Z120" s="115"/>
      <c r="AB120" s="80"/>
      <c r="AC120" s="112" t="s">
        <v>149</v>
      </c>
      <c r="AD120" s="113" t="s">
        <v>150</v>
      </c>
      <c r="AE120" s="112" t="s">
        <v>149</v>
      </c>
      <c r="AF120" s="114" t="s">
        <v>150</v>
      </c>
      <c r="AG120" s="112" t="s">
        <v>149</v>
      </c>
      <c r="AH120" s="114" t="s">
        <v>150</v>
      </c>
      <c r="AI120" s="115"/>
    </row>
    <row r="121" customFormat="false" ht="17.35" hidden="false" customHeight="false" outlineLevel="0" collapsed="false">
      <c r="A121" s="25" t="s">
        <v>151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151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151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151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152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152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152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153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153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153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153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154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154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154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155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155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155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131"/>
      <c r="K127" s="132"/>
      <c r="L127" s="132"/>
      <c r="M127" s="132"/>
      <c r="N127" s="132"/>
      <c r="O127" s="132"/>
      <c r="P127" s="133" t="s">
        <v>149</v>
      </c>
      <c r="Q127" s="134" t="s">
        <v>150</v>
      </c>
      <c r="S127" s="131"/>
      <c r="T127" s="132"/>
      <c r="U127" s="132"/>
      <c r="V127" s="132"/>
      <c r="W127" s="132"/>
      <c r="X127" s="132"/>
      <c r="Y127" s="133" t="s">
        <v>149</v>
      </c>
      <c r="Z127" s="134" t="s">
        <v>150</v>
      </c>
      <c r="AB127" s="131"/>
      <c r="AC127" s="132"/>
      <c r="AD127" s="132"/>
      <c r="AE127" s="132"/>
      <c r="AF127" s="132"/>
      <c r="AG127" s="132"/>
      <c r="AH127" s="133" t="s">
        <v>149</v>
      </c>
      <c r="AI127" s="134" t="s">
        <v>150</v>
      </c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156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156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156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144" t="s">
        <v>157</v>
      </c>
      <c r="K130" s="141" t="s">
        <v>158</v>
      </c>
      <c r="L130" s="141"/>
      <c r="M130" s="141" t="s">
        <v>159</v>
      </c>
      <c r="N130" s="141"/>
      <c r="O130" s="141" t="s">
        <v>153</v>
      </c>
      <c r="P130" s="141"/>
      <c r="Q130" s="142" t="s">
        <v>150</v>
      </c>
      <c r="S130" s="144" t="s">
        <v>157</v>
      </c>
      <c r="T130" s="141" t="s">
        <v>158</v>
      </c>
      <c r="U130" s="141"/>
      <c r="V130" s="141" t="s">
        <v>159</v>
      </c>
      <c r="W130" s="141"/>
      <c r="X130" s="141" t="s">
        <v>153</v>
      </c>
      <c r="Y130" s="141"/>
      <c r="Z130" s="142" t="s">
        <v>150</v>
      </c>
      <c r="AB130" s="144" t="s">
        <v>157</v>
      </c>
      <c r="AC130" s="141" t="s">
        <v>158</v>
      </c>
      <c r="AD130" s="141"/>
      <c r="AE130" s="141" t="s">
        <v>159</v>
      </c>
      <c r="AF130" s="141"/>
      <c r="AG130" s="141" t="s">
        <v>153</v>
      </c>
      <c r="AH130" s="141"/>
      <c r="AI130" s="142" t="s">
        <v>150</v>
      </c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160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160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160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161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161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161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162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162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162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163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163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163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164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164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164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165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165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165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166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166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166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167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167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167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168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168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168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169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169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169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170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170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170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107" t="s">
        <v>171</v>
      </c>
      <c r="K143" s="107"/>
      <c r="L143" s="107"/>
      <c r="M143" s="107"/>
      <c r="N143" s="107"/>
      <c r="O143" s="107"/>
      <c r="P143" s="99"/>
      <c r="Q143" s="33"/>
      <c r="S143" s="107" t="s">
        <v>171</v>
      </c>
      <c r="T143" s="107"/>
      <c r="U143" s="107"/>
      <c r="V143" s="107"/>
      <c r="W143" s="107"/>
      <c r="X143" s="107"/>
      <c r="Y143" s="99"/>
      <c r="Z143" s="33"/>
      <c r="AB143" s="107" t="s">
        <v>171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172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172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172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172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172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172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172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172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172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173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173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173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174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174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174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176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176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176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177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177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177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178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178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178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179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179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179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180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180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180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181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181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181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183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183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183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170" t="s">
        <v>184</v>
      </c>
      <c r="K166" s="171" t="s">
        <v>185</v>
      </c>
      <c r="L166" s="171"/>
      <c r="M166" s="171"/>
      <c r="N166" s="171" t="s">
        <v>186</v>
      </c>
      <c r="O166" s="23"/>
      <c r="P166" s="23"/>
      <c r="Q166" s="33"/>
      <c r="S166" s="170" t="s">
        <v>184</v>
      </c>
      <c r="T166" s="171" t="s">
        <v>185</v>
      </c>
      <c r="U166" s="171"/>
      <c r="V166" s="171"/>
      <c r="W166" s="171" t="s">
        <v>186</v>
      </c>
      <c r="X166" s="23"/>
      <c r="Y166" s="23"/>
      <c r="Z166" s="33"/>
      <c r="AB166" s="170" t="s">
        <v>184</v>
      </c>
      <c r="AC166" s="171" t="s">
        <v>185</v>
      </c>
      <c r="AD166" s="171"/>
      <c r="AE166" s="171"/>
      <c r="AF166" s="171" t="s">
        <v>186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str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31" t="s">
        <v>84</v>
      </c>
      <c r="K169" s="130" t="s">
        <v>85</v>
      </c>
      <c r="L169" s="130"/>
      <c r="M169" s="23"/>
      <c r="N169" s="130" t="s">
        <v>187</v>
      </c>
      <c r="O169" s="23"/>
      <c r="P169" s="23"/>
      <c r="Q169" s="33"/>
      <c r="S169" s="31" t="s">
        <v>84</v>
      </c>
      <c r="T169" s="130" t="s">
        <v>85</v>
      </c>
      <c r="U169" s="130"/>
      <c r="V169" s="23"/>
      <c r="W169" s="130" t="s">
        <v>187</v>
      </c>
      <c r="X169" s="23"/>
      <c r="Y169" s="23"/>
      <c r="Z169" s="33"/>
      <c r="AB169" s="31" t="s">
        <v>84</v>
      </c>
      <c r="AC169" s="130" t="s">
        <v>85</v>
      </c>
      <c r="AD169" s="130"/>
      <c r="AE169" s="23"/>
      <c r="AF169" s="130" t="s">
        <v>187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31" t="s">
        <v>188</v>
      </c>
      <c r="K172" s="130" t="s">
        <v>189</v>
      </c>
      <c r="L172" s="130"/>
      <c r="M172" s="23"/>
      <c r="N172" s="130" t="s">
        <v>190</v>
      </c>
      <c r="O172" s="23"/>
      <c r="P172" s="23"/>
      <c r="Q172" s="33"/>
      <c r="S172" s="31" t="s">
        <v>188</v>
      </c>
      <c r="T172" s="130" t="s">
        <v>189</v>
      </c>
      <c r="U172" s="130"/>
      <c r="V172" s="23"/>
      <c r="W172" s="130" t="s">
        <v>190</v>
      </c>
      <c r="X172" s="23"/>
      <c r="Y172" s="23"/>
      <c r="Z172" s="33"/>
      <c r="AB172" s="31" t="s">
        <v>188</v>
      </c>
      <c r="AC172" s="130" t="s">
        <v>189</v>
      </c>
      <c r="AD172" s="130"/>
      <c r="AE172" s="23"/>
      <c r="AF172" s="130" t="s">
        <v>190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31" t="s">
        <v>191</v>
      </c>
      <c r="K175" s="130" t="s">
        <v>138</v>
      </c>
      <c r="L175" s="130"/>
      <c r="M175" s="23"/>
      <c r="N175" s="130" t="s">
        <v>139</v>
      </c>
      <c r="O175" s="23"/>
      <c r="P175" s="23"/>
      <c r="Q175" s="33"/>
      <c r="S175" s="31" t="s">
        <v>191</v>
      </c>
      <c r="T175" s="130" t="s">
        <v>138</v>
      </c>
      <c r="U175" s="130"/>
      <c r="V175" s="23"/>
      <c r="W175" s="130" t="s">
        <v>139</v>
      </c>
      <c r="X175" s="23"/>
      <c r="Y175" s="23"/>
      <c r="Z175" s="33"/>
      <c r="AB175" s="31" t="s">
        <v>191</v>
      </c>
      <c r="AC175" s="130" t="s">
        <v>138</v>
      </c>
      <c r="AD175" s="130"/>
      <c r="AE175" s="23"/>
      <c r="AF175" s="130" t="s">
        <v>139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31" t="s">
        <v>140</v>
      </c>
      <c r="K178" s="130" t="s">
        <v>176</v>
      </c>
      <c r="L178" s="130"/>
      <c r="M178" s="23"/>
      <c r="N178" s="130" t="s">
        <v>181</v>
      </c>
      <c r="O178" s="23"/>
      <c r="P178" s="23"/>
      <c r="Q178" s="33"/>
      <c r="S178" s="31" t="s">
        <v>140</v>
      </c>
      <c r="T178" s="130" t="s">
        <v>176</v>
      </c>
      <c r="U178" s="130"/>
      <c r="V178" s="23"/>
      <c r="W178" s="130" t="s">
        <v>181</v>
      </c>
      <c r="X178" s="23"/>
      <c r="Y178" s="23"/>
      <c r="Z178" s="33"/>
      <c r="AB178" s="31" t="s">
        <v>140</v>
      </c>
      <c r="AC178" s="130" t="s">
        <v>176</v>
      </c>
      <c r="AD178" s="130"/>
      <c r="AE178" s="23"/>
      <c r="AF178" s="130" t="s">
        <v>181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31" t="s">
        <v>192</v>
      </c>
      <c r="K181" s="130" t="s">
        <v>53</v>
      </c>
      <c r="L181" s="130"/>
      <c r="M181" s="23"/>
      <c r="N181" s="130" t="s">
        <v>193</v>
      </c>
      <c r="O181" s="23"/>
      <c r="P181" s="23"/>
      <c r="Q181" s="33"/>
      <c r="S181" s="31" t="s">
        <v>192</v>
      </c>
      <c r="T181" s="130" t="s">
        <v>53</v>
      </c>
      <c r="U181" s="130"/>
      <c r="V181" s="23"/>
      <c r="W181" s="130" t="s">
        <v>193</v>
      </c>
      <c r="X181" s="23"/>
      <c r="Y181" s="23"/>
      <c r="Z181" s="33"/>
      <c r="AB181" s="31" t="s">
        <v>192</v>
      </c>
      <c r="AC181" s="130" t="s">
        <v>53</v>
      </c>
      <c r="AD181" s="130"/>
      <c r="AE181" s="23"/>
      <c r="AF181" s="130" t="s">
        <v>193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31" t="s">
        <v>194</v>
      </c>
      <c r="K184" s="130" t="s">
        <v>195</v>
      </c>
      <c r="L184" s="130"/>
      <c r="M184" s="23"/>
      <c r="N184" s="130" t="s">
        <v>196</v>
      </c>
      <c r="O184" s="23"/>
      <c r="P184" s="23"/>
      <c r="Q184" s="33"/>
      <c r="S184" s="31" t="s">
        <v>194</v>
      </c>
      <c r="T184" s="130" t="s">
        <v>195</v>
      </c>
      <c r="U184" s="130"/>
      <c r="V184" s="23"/>
      <c r="W184" s="130" t="s">
        <v>196</v>
      </c>
      <c r="X184" s="23"/>
      <c r="Y184" s="23"/>
      <c r="Z184" s="33"/>
      <c r="AB184" s="31" t="s">
        <v>194</v>
      </c>
      <c r="AC184" s="130" t="s">
        <v>195</v>
      </c>
      <c r="AD184" s="130"/>
      <c r="AE184" s="23"/>
      <c r="AF184" s="130" t="s">
        <v>196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31" t="s">
        <v>197</v>
      </c>
      <c r="K187" s="130" t="s">
        <v>198</v>
      </c>
      <c r="L187" s="130"/>
      <c r="M187" s="130"/>
      <c r="N187" s="163" t="s">
        <v>199</v>
      </c>
      <c r="O187" s="23"/>
      <c r="P187" s="23"/>
      <c r="Q187" s="33"/>
      <c r="S187" s="31" t="s">
        <v>197</v>
      </c>
      <c r="T187" s="130" t="s">
        <v>198</v>
      </c>
      <c r="U187" s="130"/>
      <c r="V187" s="130"/>
      <c r="W187" s="163" t="s">
        <v>199</v>
      </c>
      <c r="X187" s="32"/>
      <c r="Y187" s="32"/>
      <c r="Z187" s="33"/>
      <c r="AB187" s="31" t="s">
        <v>197</v>
      </c>
      <c r="AC187" s="130" t="s">
        <v>198</v>
      </c>
      <c r="AD187" s="130"/>
      <c r="AE187" s="130"/>
      <c r="AF187" s="163" t="s">
        <v>199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60" t="s">
        <v>200</v>
      </c>
      <c r="K190" s="163" t="s">
        <v>201</v>
      </c>
      <c r="L190" s="130"/>
      <c r="M190" s="130"/>
      <c r="N190" s="163" t="s">
        <v>202</v>
      </c>
      <c r="O190" s="23"/>
      <c r="P190" s="23"/>
      <c r="Q190" s="33"/>
      <c r="S190" s="60" t="s">
        <v>200</v>
      </c>
      <c r="T190" s="163" t="s">
        <v>201</v>
      </c>
      <c r="U190" s="130"/>
      <c r="V190" s="130"/>
      <c r="W190" s="163" t="s">
        <v>202</v>
      </c>
      <c r="X190" s="32"/>
      <c r="Y190" s="32"/>
      <c r="Z190" s="33"/>
      <c r="AB190" s="60" t="s">
        <v>200</v>
      </c>
      <c r="AC190" s="163" t="s">
        <v>201</v>
      </c>
      <c r="AD190" s="130"/>
      <c r="AE190" s="130"/>
      <c r="AF190" s="163" t="s">
        <v>202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66" t="s">
        <v>203</v>
      </c>
      <c r="K193" s="130"/>
      <c r="L193" s="130"/>
      <c r="M193" s="67"/>
      <c r="N193" s="67"/>
      <c r="O193" s="67"/>
      <c r="P193" s="67"/>
      <c r="Q193" s="68"/>
      <c r="S193" s="66" t="s">
        <v>203</v>
      </c>
      <c r="T193" s="130"/>
      <c r="U193" s="130"/>
      <c r="V193" s="67"/>
      <c r="W193" s="67"/>
      <c r="X193" s="67"/>
      <c r="Y193" s="67"/>
      <c r="Z193" s="68"/>
      <c r="AB193" s="66" t="s">
        <v>203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184" t="s">
        <v>84</v>
      </c>
      <c r="K195" s="71" t="s">
        <v>85</v>
      </c>
      <c r="L195" s="71"/>
      <c r="M195" s="71"/>
      <c r="N195" s="23"/>
      <c r="O195" s="23"/>
      <c r="P195" s="23"/>
      <c r="Q195" s="33"/>
      <c r="S195" s="184" t="s">
        <v>84</v>
      </c>
      <c r="T195" s="71" t="s">
        <v>85</v>
      </c>
      <c r="U195" s="71"/>
      <c r="V195" s="71"/>
      <c r="W195" s="23"/>
      <c r="X195" s="23"/>
      <c r="Y195" s="23"/>
      <c r="Z195" s="33"/>
      <c r="AB195" s="184" t="s">
        <v>84</v>
      </c>
      <c r="AC195" s="71" t="s">
        <v>85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204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str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str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206</v>
      </c>
      <c r="B232" s="130" t="s">
        <v>207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208</v>
      </c>
      <c r="B235" s="163" t="s">
        <v>74</v>
      </c>
      <c r="C235" s="130"/>
      <c r="D235" s="130"/>
      <c r="E235" s="163" t="s">
        <v>132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K35</f>
        <v>0.07</v>
      </c>
      <c r="C253" s="194"/>
      <c r="D253" s="195" t="s">
        <v>213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99.99</v>
      </c>
      <c r="C255" s="194"/>
      <c r="D255" s="195" t="s">
        <v>217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0.072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0.142</v>
      </c>
      <c r="C260" s="43"/>
      <c r="D260" s="163" t="s">
        <v>214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0.01</v>
      </c>
      <c r="C261" s="32"/>
      <c r="D261" s="163" t="s">
        <v>220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</v>
      </c>
      <c r="C263" s="32"/>
      <c r="D263" s="39" t="s">
        <v>217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347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128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84</v>
      </c>
      <c r="K29" s="444" t="n">
        <v>12</v>
      </c>
      <c r="P29" s="208"/>
    </row>
    <row r="30" customFormat="false" ht="17.9" hidden="false" customHeight="false" outlineLevel="0" collapsed="false">
      <c r="A30" s="31" t="s">
        <v>183</v>
      </c>
      <c r="B30" s="100" t="s">
        <v>348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84</v>
      </c>
      <c r="B32" s="130" t="s">
        <v>85</v>
      </c>
      <c r="C32" s="130"/>
      <c r="D32" s="130"/>
      <c r="E32" s="130" t="s">
        <v>349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350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351</v>
      </c>
      <c r="B35" s="130" t="s">
        <v>352</v>
      </c>
      <c r="C35" s="130"/>
      <c r="D35" s="208"/>
      <c r="E35" s="130" t="s">
        <v>353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354</v>
      </c>
      <c r="B39" s="130" t="s">
        <v>355</v>
      </c>
      <c r="C39" s="130"/>
      <c r="D39" s="208"/>
      <c r="E39" s="130" t="s">
        <v>356</v>
      </c>
      <c r="F39" s="183"/>
      <c r="G39" s="183"/>
      <c r="H39" s="47"/>
      <c r="J39" s="2" t="s">
        <v>86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108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357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358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359</v>
      </c>
      <c r="K43" s="2"/>
      <c r="L43" s="2"/>
      <c r="P43" s="208"/>
    </row>
    <row r="44" customFormat="false" ht="17.35" hidden="false" customHeight="false" outlineLevel="0" collapsed="false">
      <c r="A44" s="60" t="s">
        <v>78</v>
      </c>
      <c r="B44" s="130"/>
      <c r="C44" s="277" t="s">
        <v>79</v>
      </c>
      <c r="D44" s="277"/>
      <c r="E44" s="130"/>
      <c r="F44" s="130"/>
      <c r="G44" s="130"/>
      <c r="H44" s="33"/>
      <c r="J44" s="2" t="s">
        <v>360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361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362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363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83</v>
      </c>
      <c r="B48" s="130"/>
      <c r="C48" s="130"/>
      <c r="D48" s="67"/>
      <c r="E48" s="67"/>
      <c r="F48" s="67"/>
      <c r="G48" s="67"/>
      <c r="H48" s="68"/>
      <c r="J48" s="55" t="s">
        <v>364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365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84</v>
      </c>
      <c r="B50" s="71" t="s">
        <v>85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86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86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86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86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87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87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87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87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88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88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88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88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89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89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89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89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90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90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90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90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91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91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91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91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92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92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92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92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93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93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93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94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94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94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94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95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95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95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95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96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96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96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96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97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97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97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97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98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98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98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99</v>
      </c>
      <c r="B72" s="86" t="n">
        <v>0</v>
      </c>
      <c r="C72" s="130"/>
      <c r="D72" s="130"/>
      <c r="E72" s="109"/>
      <c r="F72" s="109"/>
      <c r="G72" s="109"/>
      <c r="H72" s="33"/>
      <c r="J72" s="78" t="s">
        <v>99</v>
      </c>
      <c r="K72" s="86" t="n">
        <v>0</v>
      </c>
      <c r="L72" s="130"/>
      <c r="M72" s="130"/>
      <c r="N72" s="109"/>
      <c r="O72" s="109"/>
      <c r="P72" s="109"/>
      <c r="Q72" s="33"/>
      <c r="S72" s="78" t="s">
        <v>99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99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100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100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100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100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101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101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101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101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102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102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102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102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103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103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103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103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104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104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104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105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105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105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105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106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106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106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106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107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107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107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107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108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108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108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108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109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109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109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110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110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110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110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111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111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111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112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112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112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113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113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113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114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114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114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114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115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115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115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115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116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116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116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117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117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117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118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118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118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118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119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119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119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119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120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120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120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120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121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121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121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121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123</v>
      </c>
      <c r="K100" s="96"/>
      <c r="L100" s="96"/>
      <c r="M100" s="96"/>
      <c r="N100" s="96"/>
      <c r="O100" s="96"/>
      <c r="P100" s="96"/>
      <c r="Q100" s="96"/>
      <c r="S100" s="96" t="s">
        <v>124</v>
      </c>
      <c r="T100" s="96"/>
      <c r="U100" s="96"/>
      <c r="V100" s="96"/>
      <c r="W100" s="96"/>
      <c r="X100" s="96"/>
      <c r="Y100" s="96"/>
      <c r="Z100" s="96"/>
      <c r="AB100" s="96" t="s">
        <v>125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31" t="s">
        <v>127</v>
      </c>
      <c r="K104" s="130" t="s">
        <v>23</v>
      </c>
      <c r="L104" s="130"/>
      <c r="M104" s="130"/>
      <c r="N104" s="130" t="s">
        <v>128</v>
      </c>
      <c r="O104" s="130"/>
      <c r="P104" s="130"/>
      <c r="Q104" s="33"/>
      <c r="S104" s="31" t="s">
        <v>127</v>
      </c>
      <c r="T104" s="130" t="s">
        <v>23</v>
      </c>
      <c r="U104" s="130"/>
      <c r="V104" s="130"/>
      <c r="W104" s="130" t="s">
        <v>128</v>
      </c>
      <c r="X104" s="130"/>
      <c r="Y104" s="130"/>
      <c r="Z104" s="33"/>
      <c r="AB104" s="31" t="s">
        <v>127</v>
      </c>
      <c r="AC104" s="130" t="s">
        <v>23</v>
      </c>
      <c r="AD104" s="130"/>
      <c r="AE104" s="130"/>
      <c r="AF104" s="130" t="s">
        <v>128</v>
      </c>
      <c r="AG104" s="130"/>
      <c r="AH104" s="130"/>
      <c r="AI104" s="33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447" t="s">
        <v>18</v>
      </c>
      <c r="F105" s="447"/>
      <c r="G105" s="447"/>
      <c r="H105" s="98"/>
      <c r="J105" s="36" t="s">
        <v>129</v>
      </c>
      <c r="K105" s="99" t="s">
        <v>130</v>
      </c>
      <c r="L105" s="99"/>
      <c r="M105" s="99"/>
      <c r="N105" s="100" t="s">
        <v>18</v>
      </c>
      <c r="O105" s="100"/>
      <c r="P105" s="100"/>
      <c r="Q105" s="98"/>
      <c r="S105" s="36" t="s">
        <v>129</v>
      </c>
      <c r="T105" s="99" t="s">
        <v>130</v>
      </c>
      <c r="U105" s="99"/>
      <c r="V105" s="99"/>
      <c r="W105" s="100" t="s">
        <v>18</v>
      </c>
      <c r="X105" s="100"/>
      <c r="Y105" s="100"/>
      <c r="Z105" s="98"/>
      <c r="AB105" s="36" t="s">
        <v>129</v>
      </c>
      <c r="AC105" s="99" t="s">
        <v>130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31" t="s">
        <v>131</v>
      </c>
      <c r="K107" s="130" t="s">
        <v>132</v>
      </c>
      <c r="L107" s="130"/>
      <c r="M107" s="109"/>
      <c r="N107" s="130" t="s">
        <v>133</v>
      </c>
      <c r="O107" s="130"/>
      <c r="P107" s="109"/>
      <c r="Q107" s="98"/>
      <c r="S107" s="31" t="s">
        <v>131</v>
      </c>
      <c r="T107" s="130" t="s">
        <v>132</v>
      </c>
      <c r="U107" s="130"/>
      <c r="V107" s="109"/>
      <c r="W107" s="130" t="s">
        <v>133</v>
      </c>
      <c r="X107" s="130"/>
      <c r="Y107" s="109"/>
      <c r="Z107" s="98"/>
      <c r="AB107" s="31" t="s">
        <v>131</v>
      </c>
      <c r="AC107" s="130" t="s">
        <v>132</v>
      </c>
      <c r="AD107" s="130"/>
      <c r="AE107" s="109"/>
      <c r="AF107" s="130" t="s">
        <v>133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134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135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135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31" t="s">
        <v>137</v>
      </c>
      <c r="K110" s="130" t="s">
        <v>138</v>
      </c>
      <c r="L110" s="130"/>
      <c r="M110" s="130"/>
      <c r="N110" s="130" t="s">
        <v>139</v>
      </c>
      <c r="O110" s="130"/>
      <c r="P110" s="130"/>
      <c r="Q110" s="33"/>
      <c r="S110" s="31" t="s">
        <v>137</v>
      </c>
      <c r="T110" s="130" t="s">
        <v>138</v>
      </c>
      <c r="U110" s="130"/>
      <c r="V110" s="130"/>
      <c r="W110" s="130" t="s">
        <v>139</v>
      </c>
      <c r="X110" s="130"/>
      <c r="Y110" s="130"/>
      <c r="Z110" s="33"/>
      <c r="AB110" s="31" t="s">
        <v>137</v>
      </c>
      <c r="AC110" s="130" t="s">
        <v>138</v>
      </c>
      <c r="AD110" s="130"/>
      <c r="AE110" s="130"/>
      <c r="AF110" s="130" t="s">
        <v>139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106" t="s">
        <v>140</v>
      </c>
      <c r="K113" s="130" t="s">
        <v>141</v>
      </c>
      <c r="L113" s="130"/>
      <c r="M113" s="130"/>
      <c r="N113" s="130" t="s">
        <v>142</v>
      </c>
      <c r="O113" s="130"/>
      <c r="P113" s="109"/>
      <c r="Q113" s="98"/>
      <c r="S113" s="106" t="s">
        <v>140</v>
      </c>
      <c r="T113" s="130" t="s">
        <v>141</v>
      </c>
      <c r="U113" s="130"/>
      <c r="V113" s="130"/>
      <c r="W113" s="130" t="s">
        <v>142</v>
      </c>
      <c r="X113" s="130"/>
      <c r="Y113" s="109"/>
      <c r="Z113" s="98"/>
      <c r="AB113" s="106" t="s">
        <v>140</v>
      </c>
      <c r="AC113" s="130" t="s">
        <v>141</v>
      </c>
      <c r="AD113" s="130"/>
      <c r="AE113" s="130"/>
      <c r="AF113" s="130" t="s">
        <v>142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78"/>
      <c r="K119" s="110" t="s">
        <v>145</v>
      </c>
      <c r="L119" s="110"/>
      <c r="M119" s="110" t="s">
        <v>146</v>
      </c>
      <c r="N119" s="110"/>
      <c r="O119" s="110" t="s">
        <v>147</v>
      </c>
      <c r="P119" s="110"/>
      <c r="Q119" s="111" t="s">
        <v>148</v>
      </c>
      <c r="S119" s="78"/>
      <c r="T119" s="110" t="s">
        <v>145</v>
      </c>
      <c r="U119" s="110"/>
      <c r="V119" s="110" t="s">
        <v>146</v>
      </c>
      <c r="W119" s="110"/>
      <c r="X119" s="110" t="s">
        <v>147</v>
      </c>
      <c r="Y119" s="110"/>
      <c r="Z119" s="111" t="s">
        <v>148</v>
      </c>
      <c r="AB119" s="78"/>
      <c r="AC119" s="110" t="s">
        <v>145</v>
      </c>
      <c r="AD119" s="110"/>
      <c r="AE119" s="110" t="s">
        <v>146</v>
      </c>
      <c r="AF119" s="110"/>
      <c r="AG119" s="110" t="s">
        <v>147</v>
      </c>
      <c r="AH119" s="110"/>
      <c r="AI119" s="111" t="s">
        <v>148</v>
      </c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80"/>
      <c r="K120" s="112" t="s">
        <v>149</v>
      </c>
      <c r="L120" s="113" t="s">
        <v>150</v>
      </c>
      <c r="M120" s="112" t="s">
        <v>149</v>
      </c>
      <c r="N120" s="114" t="s">
        <v>150</v>
      </c>
      <c r="O120" s="112" t="s">
        <v>149</v>
      </c>
      <c r="P120" s="114" t="s">
        <v>150</v>
      </c>
      <c r="Q120" s="115"/>
      <c r="S120" s="80"/>
      <c r="T120" s="112" t="s">
        <v>149</v>
      </c>
      <c r="U120" s="113" t="s">
        <v>150</v>
      </c>
      <c r="V120" s="112" t="s">
        <v>149</v>
      </c>
      <c r="W120" s="114" t="s">
        <v>150</v>
      </c>
      <c r="X120" s="112" t="s">
        <v>149</v>
      </c>
      <c r="Y120" s="114" t="s">
        <v>150</v>
      </c>
      <c r="Z120" s="115"/>
      <c r="AB120" s="80"/>
      <c r="AC120" s="112" t="s">
        <v>149</v>
      </c>
      <c r="AD120" s="113" t="s">
        <v>150</v>
      </c>
      <c r="AE120" s="112" t="s">
        <v>149</v>
      </c>
      <c r="AF120" s="114" t="s">
        <v>150</v>
      </c>
      <c r="AG120" s="112" t="s">
        <v>149</v>
      </c>
      <c r="AH120" s="114" t="s">
        <v>150</v>
      </c>
      <c r="AI120" s="115"/>
    </row>
    <row r="121" customFormat="false" ht="17.35" hidden="false" customHeight="false" outlineLevel="0" collapsed="false">
      <c r="A121" s="25" t="s">
        <v>151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151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151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151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152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152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152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153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153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153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153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154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154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154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155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155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155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131"/>
      <c r="K127" s="132"/>
      <c r="L127" s="132"/>
      <c r="M127" s="132"/>
      <c r="N127" s="132"/>
      <c r="O127" s="132"/>
      <c r="P127" s="133" t="s">
        <v>149</v>
      </c>
      <c r="Q127" s="134" t="s">
        <v>150</v>
      </c>
      <c r="S127" s="131"/>
      <c r="T127" s="132"/>
      <c r="U127" s="132"/>
      <c r="V127" s="132"/>
      <c r="W127" s="132"/>
      <c r="X127" s="132"/>
      <c r="Y127" s="133" t="s">
        <v>149</v>
      </c>
      <c r="Z127" s="134" t="s">
        <v>150</v>
      </c>
      <c r="AB127" s="131"/>
      <c r="AC127" s="132"/>
      <c r="AD127" s="132"/>
      <c r="AE127" s="132"/>
      <c r="AF127" s="132"/>
      <c r="AG127" s="132"/>
      <c r="AH127" s="133" t="s">
        <v>149</v>
      </c>
      <c r="AI127" s="134" t="s">
        <v>150</v>
      </c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156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156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156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144" t="s">
        <v>157</v>
      </c>
      <c r="K130" s="141" t="s">
        <v>158</v>
      </c>
      <c r="L130" s="141"/>
      <c r="M130" s="141" t="s">
        <v>159</v>
      </c>
      <c r="N130" s="141"/>
      <c r="O130" s="141" t="s">
        <v>153</v>
      </c>
      <c r="P130" s="141"/>
      <c r="Q130" s="142" t="s">
        <v>150</v>
      </c>
      <c r="S130" s="144" t="s">
        <v>157</v>
      </c>
      <c r="T130" s="141" t="s">
        <v>158</v>
      </c>
      <c r="U130" s="141"/>
      <c r="V130" s="141" t="s">
        <v>159</v>
      </c>
      <c r="W130" s="141"/>
      <c r="X130" s="141" t="s">
        <v>153</v>
      </c>
      <c r="Y130" s="141"/>
      <c r="Z130" s="142" t="s">
        <v>150</v>
      </c>
      <c r="AB130" s="144" t="s">
        <v>157</v>
      </c>
      <c r="AC130" s="141" t="s">
        <v>158</v>
      </c>
      <c r="AD130" s="141"/>
      <c r="AE130" s="141" t="s">
        <v>159</v>
      </c>
      <c r="AF130" s="141"/>
      <c r="AG130" s="141" t="s">
        <v>153</v>
      </c>
      <c r="AH130" s="141"/>
      <c r="AI130" s="142" t="s">
        <v>150</v>
      </c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160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160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160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161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161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161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162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162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162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163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163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163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164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164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164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165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165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165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166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166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166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167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167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167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168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168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168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169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169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169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170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170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170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107" t="s">
        <v>171</v>
      </c>
      <c r="K143" s="107"/>
      <c r="L143" s="107"/>
      <c r="M143" s="107"/>
      <c r="N143" s="107"/>
      <c r="O143" s="107"/>
      <c r="P143" s="99"/>
      <c r="Q143" s="33"/>
      <c r="S143" s="107" t="s">
        <v>171</v>
      </c>
      <c r="T143" s="107"/>
      <c r="U143" s="107"/>
      <c r="V143" s="107"/>
      <c r="W143" s="107"/>
      <c r="X143" s="107"/>
      <c r="Y143" s="99"/>
      <c r="Z143" s="33"/>
      <c r="AB143" s="107" t="s">
        <v>171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172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172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172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172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172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172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172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172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172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173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173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173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174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174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174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176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176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176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177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177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177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178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178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178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179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179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179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180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180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180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181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181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181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183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183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183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170" t="s">
        <v>184</v>
      </c>
      <c r="K166" s="171" t="s">
        <v>185</v>
      </c>
      <c r="L166" s="171"/>
      <c r="M166" s="171"/>
      <c r="N166" s="171" t="s">
        <v>186</v>
      </c>
      <c r="O166" s="23"/>
      <c r="P166" s="23"/>
      <c r="Q166" s="33"/>
      <c r="S166" s="170" t="s">
        <v>184</v>
      </c>
      <c r="T166" s="171" t="s">
        <v>185</v>
      </c>
      <c r="U166" s="171"/>
      <c r="V166" s="171"/>
      <c r="W166" s="171" t="s">
        <v>186</v>
      </c>
      <c r="X166" s="23"/>
      <c r="Y166" s="23"/>
      <c r="Z166" s="33"/>
      <c r="AB166" s="170" t="s">
        <v>184</v>
      </c>
      <c r="AC166" s="171" t="s">
        <v>185</v>
      </c>
      <c r="AD166" s="171"/>
      <c r="AE166" s="171"/>
      <c r="AF166" s="171" t="s">
        <v>186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31" t="s">
        <v>84</v>
      </c>
      <c r="K169" s="130" t="s">
        <v>85</v>
      </c>
      <c r="L169" s="130"/>
      <c r="M169" s="23"/>
      <c r="N169" s="130" t="s">
        <v>187</v>
      </c>
      <c r="O169" s="23"/>
      <c r="P169" s="23"/>
      <c r="Q169" s="33"/>
      <c r="S169" s="31" t="s">
        <v>84</v>
      </c>
      <c r="T169" s="130" t="s">
        <v>85</v>
      </c>
      <c r="U169" s="130"/>
      <c r="V169" s="23"/>
      <c r="W169" s="130" t="s">
        <v>187</v>
      </c>
      <c r="X169" s="23"/>
      <c r="Y169" s="23"/>
      <c r="Z169" s="33"/>
      <c r="AB169" s="31" t="s">
        <v>84</v>
      </c>
      <c r="AC169" s="130" t="s">
        <v>85</v>
      </c>
      <c r="AD169" s="130"/>
      <c r="AE169" s="23"/>
      <c r="AF169" s="130" t="s">
        <v>187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31" t="s">
        <v>188</v>
      </c>
      <c r="K172" s="130" t="s">
        <v>189</v>
      </c>
      <c r="L172" s="130"/>
      <c r="M172" s="23"/>
      <c r="N172" s="130" t="s">
        <v>190</v>
      </c>
      <c r="O172" s="23"/>
      <c r="P172" s="23"/>
      <c r="Q172" s="33"/>
      <c r="S172" s="31" t="s">
        <v>188</v>
      </c>
      <c r="T172" s="130" t="s">
        <v>189</v>
      </c>
      <c r="U172" s="130"/>
      <c r="V172" s="23"/>
      <c r="W172" s="130" t="s">
        <v>190</v>
      </c>
      <c r="X172" s="23"/>
      <c r="Y172" s="23"/>
      <c r="Z172" s="33"/>
      <c r="AB172" s="31" t="s">
        <v>188</v>
      </c>
      <c r="AC172" s="130" t="s">
        <v>189</v>
      </c>
      <c r="AD172" s="130"/>
      <c r="AE172" s="23"/>
      <c r="AF172" s="130" t="s">
        <v>190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31" t="s">
        <v>191</v>
      </c>
      <c r="K175" s="130" t="s">
        <v>138</v>
      </c>
      <c r="L175" s="130"/>
      <c r="M175" s="23"/>
      <c r="N175" s="130" t="s">
        <v>139</v>
      </c>
      <c r="O175" s="23"/>
      <c r="P175" s="23"/>
      <c r="Q175" s="33"/>
      <c r="S175" s="31" t="s">
        <v>191</v>
      </c>
      <c r="T175" s="130" t="s">
        <v>138</v>
      </c>
      <c r="U175" s="130"/>
      <c r="V175" s="23"/>
      <c r="W175" s="130" t="s">
        <v>139</v>
      </c>
      <c r="X175" s="23"/>
      <c r="Y175" s="23"/>
      <c r="Z175" s="33"/>
      <c r="AB175" s="31" t="s">
        <v>191</v>
      </c>
      <c r="AC175" s="130" t="s">
        <v>138</v>
      </c>
      <c r="AD175" s="130"/>
      <c r="AE175" s="23"/>
      <c r="AF175" s="130" t="s">
        <v>139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31" t="s">
        <v>140</v>
      </c>
      <c r="K178" s="130" t="s">
        <v>176</v>
      </c>
      <c r="L178" s="130"/>
      <c r="M178" s="23"/>
      <c r="N178" s="130" t="s">
        <v>181</v>
      </c>
      <c r="O178" s="23"/>
      <c r="P178" s="23"/>
      <c r="Q178" s="33"/>
      <c r="S178" s="31" t="s">
        <v>140</v>
      </c>
      <c r="T178" s="130" t="s">
        <v>176</v>
      </c>
      <c r="U178" s="130"/>
      <c r="V178" s="23"/>
      <c r="W178" s="130" t="s">
        <v>181</v>
      </c>
      <c r="X178" s="23"/>
      <c r="Y178" s="23"/>
      <c r="Z178" s="33"/>
      <c r="AB178" s="31" t="s">
        <v>140</v>
      </c>
      <c r="AC178" s="130" t="s">
        <v>176</v>
      </c>
      <c r="AD178" s="130"/>
      <c r="AE178" s="23"/>
      <c r="AF178" s="130" t="s">
        <v>181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31" t="s">
        <v>192</v>
      </c>
      <c r="K181" s="130" t="s">
        <v>53</v>
      </c>
      <c r="L181" s="130"/>
      <c r="M181" s="23"/>
      <c r="N181" s="130" t="s">
        <v>193</v>
      </c>
      <c r="O181" s="23"/>
      <c r="P181" s="23"/>
      <c r="Q181" s="33"/>
      <c r="S181" s="31" t="s">
        <v>192</v>
      </c>
      <c r="T181" s="130" t="s">
        <v>53</v>
      </c>
      <c r="U181" s="130"/>
      <c r="V181" s="23"/>
      <c r="W181" s="130" t="s">
        <v>193</v>
      </c>
      <c r="X181" s="23"/>
      <c r="Y181" s="23"/>
      <c r="Z181" s="33"/>
      <c r="AB181" s="31" t="s">
        <v>192</v>
      </c>
      <c r="AC181" s="130" t="s">
        <v>53</v>
      </c>
      <c r="AD181" s="130"/>
      <c r="AE181" s="23"/>
      <c r="AF181" s="130" t="s">
        <v>193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31" t="s">
        <v>194</v>
      </c>
      <c r="K184" s="130" t="s">
        <v>195</v>
      </c>
      <c r="L184" s="130"/>
      <c r="M184" s="23"/>
      <c r="N184" s="130" t="s">
        <v>196</v>
      </c>
      <c r="O184" s="23"/>
      <c r="P184" s="23"/>
      <c r="Q184" s="33"/>
      <c r="S184" s="31" t="s">
        <v>194</v>
      </c>
      <c r="T184" s="130" t="s">
        <v>195</v>
      </c>
      <c r="U184" s="130"/>
      <c r="V184" s="23"/>
      <c r="W184" s="130" t="s">
        <v>196</v>
      </c>
      <c r="X184" s="23"/>
      <c r="Y184" s="23"/>
      <c r="Z184" s="33"/>
      <c r="AB184" s="31" t="s">
        <v>194</v>
      </c>
      <c r="AC184" s="130" t="s">
        <v>195</v>
      </c>
      <c r="AD184" s="130"/>
      <c r="AE184" s="23"/>
      <c r="AF184" s="130" t="s">
        <v>196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31" t="s">
        <v>197</v>
      </c>
      <c r="K187" s="130" t="s">
        <v>198</v>
      </c>
      <c r="L187" s="130"/>
      <c r="M187" s="130"/>
      <c r="N187" s="163" t="s">
        <v>199</v>
      </c>
      <c r="O187" s="23"/>
      <c r="P187" s="23"/>
      <c r="Q187" s="33"/>
      <c r="S187" s="31" t="s">
        <v>197</v>
      </c>
      <c r="T187" s="130" t="s">
        <v>198</v>
      </c>
      <c r="U187" s="130"/>
      <c r="V187" s="130"/>
      <c r="W187" s="163" t="s">
        <v>199</v>
      </c>
      <c r="X187" s="32"/>
      <c r="Y187" s="32"/>
      <c r="Z187" s="33"/>
      <c r="AB187" s="31" t="s">
        <v>197</v>
      </c>
      <c r="AC187" s="130" t="s">
        <v>198</v>
      </c>
      <c r="AD187" s="130"/>
      <c r="AE187" s="130"/>
      <c r="AF187" s="163" t="s">
        <v>199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60" t="s">
        <v>200</v>
      </c>
      <c r="K190" s="163" t="s">
        <v>201</v>
      </c>
      <c r="L190" s="130"/>
      <c r="M190" s="130"/>
      <c r="N190" s="163" t="s">
        <v>202</v>
      </c>
      <c r="O190" s="23"/>
      <c r="P190" s="23"/>
      <c r="Q190" s="33"/>
      <c r="S190" s="60" t="s">
        <v>200</v>
      </c>
      <c r="T190" s="163" t="s">
        <v>201</v>
      </c>
      <c r="U190" s="130"/>
      <c r="V190" s="130"/>
      <c r="W190" s="163" t="s">
        <v>202</v>
      </c>
      <c r="X190" s="32"/>
      <c r="Y190" s="32"/>
      <c r="Z190" s="33"/>
      <c r="AB190" s="60" t="s">
        <v>200</v>
      </c>
      <c r="AC190" s="163" t="s">
        <v>201</v>
      </c>
      <c r="AD190" s="130"/>
      <c r="AE190" s="130"/>
      <c r="AF190" s="163" t="s">
        <v>202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66" t="s">
        <v>203</v>
      </c>
      <c r="K193" s="130"/>
      <c r="L193" s="130"/>
      <c r="M193" s="67"/>
      <c r="N193" s="67"/>
      <c r="O193" s="67"/>
      <c r="P193" s="67"/>
      <c r="Q193" s="68"/>
      <c r="S193" s="66" t="s">
        <v>203</v>
      </c>
      <c r="T193" s="130"/>
      <c r="U193" s="130"/>
      <c r="V193" s="67"/>
      <c r="W193" s="67"/>
      <c r="X193" s="67"/>
      <c r="Y193" s="67"/>
      <c r="Z193" s="68"/>
      <c r="AB193" s="66" t="s">
        <v>203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184" t="s">
        <v>84</v>
      </c>
      <c r="K195" s="71" t="s">
        <v>85</v>
      </c>
      <c r="L195" s="71"/>
      <c r="M195" s="71"/>
      <c r="N195" s="23"/>
      <c r="O195" s="23"/>
      <c r="P195" s="23"/>
      <c r="Q195" s="33"/>
      <c r="S195" s="184" t="s">
        <v>84</v>
      </c>
      <c r="T195" s="71" t="s">
        <v>85</v>
      </c>
      <c r="U195" s="71"/>
      <c r="V195" s="71"/>
      <c r="W195" s="23"/>
      <c r="X195" s="23"/>
      <c r="Y195" s="23"/>
      <c r="Z195" s="33"/>
      <c r="AB195" s="184" t="s">
        <v>84</v>
      </c>
      <c r="AC195" s="71" t="s">
        <v>85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187</v>
      </c>
      <c r="B232" s="130" t="s">
        <v>207</v>
      </c>
      <c r="C232" s="130"/>
      <c r="D232" s="130"/>
      <c r="E232" s="130" t="s">
        <v>208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132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K35</f>
        <v>0.065</v>
      </c>
      <c r="C253" s="194"/>
      <c r="D253" s="195" t="s">
        <v>213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182.491666666667</v>
      </c>
      <c r="C255" s="194"/>
      <c r="D255" s="195" t="s">
        <v>217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0.05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0.1255</v>
      </c>
      <c r="C260" s="43"/>
      <c r="D260" s="163" t="s">
        <v>214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0.005</v>
      </c>
      <c r="C261" s="32"/>
      <c r="D261" s="163" t="s">
        <v>220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0.3</v>
      </c>
      <c r="C262" s="32"/>
      <c r="D262" s="163" t="s">
        <v>221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99.9916666666667</v>
      </c>
      <c r="C263" s="32"/>
      <c r="D263" s="39" t="s">
        <v>217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13" colorId="64" zoomScale="75" zoomScaleNormal="75" zoomScalePageLayoutView="100" workbookViewId="0">
      <selection pane="topLeft" activeCell="B240" activeCellId="0" sqref="B2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347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128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84</v>
      </c>
      <c r="K29" s="444" t="n">
        <v>12</v>
      </c>
      <c r="P29" s="208"/>
    </row>
    <row r="30" customFormat="false" ht="17.9" hidden="false" customHeight="false" outlineLevel="0" collapsed="false">
      <c r="A30" s="31" t="s">
        <v>183</v>
      </c>
      <c r="B30" s="100" t="s">
        <v>348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84</v>
      </c>
      <c r="B32" s="130" t="s">
        <v>85</v>
      </c>
      <c r="C32" s="130"/>
      <c r="D32" s="130"/>
      <c r="E32" s="130" t="s">
        <v>349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350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351</v>
      </c>
      <c r="B35" s="130" t="s">
        <v>352</v>
      </c>
      <c r="C35" s="130"/>
      <c r="D35" s="208"/>
      <c r="E35" s="130" t="s">
        <v>353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354</v>
      </c>
      <c r="B39" s="130" t="s">
        <v>355</v>
      </c>
      <c r="C39" s="130"/>
      <c r="D39" s="208"/>
      <c r="E39" s="130" t="s">
        <v>356</v>
      </c>
      <c r="F39" s="183"/>
      <c r="G39" s="183"/>
      <c r="H39" s="47"/>
      <c r="J39" s="2" t="s">
        <v>86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108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357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358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359</v>
      </c>
      <c r="K43" s="2"/>
      <c r="L43" s="2"/>
      <c r="P43" s="208"/>
    </row>
    <row r="44" customFormat="false" ht="17.35" hidden="false" customHeight="false" outlineLevel="0" collapsed="false">
      <c r="A44" s="60" t="s">
        <v>78</v>
      </c>
      <c r="B44" s="130"/>
      <c r="C44" s="277" t="s">
        <v>79</v>
      </c>
      <c r="D44" s="277"/>
      <c r="E44" s="130"/>
      <c r="F44" s="130"/>
      <c r="G44" s="130"/>
      <c r="H44" s="33"/>
      <c r="J44" s="2" t="s">
        <v>360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361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362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363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83</v>
      </c>
      <c r="B48" s="130"/>
      <c r="C48" s="130"/>
      <c r="D48" s="67"/>
      <c r="E48" s="67"/>
      <c r="F48" s="67"/>
      <c r="G48" s="67"/>
      <c r="H48" s="68"/>
      <c r="J48" s="55" t="s">
        <v>364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365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84</v>
      </c>
      <c r="B50" s="71" t="s">
        <v>85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86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86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86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86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87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87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87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87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88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88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88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88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89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89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89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89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90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90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90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90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91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91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91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91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92</v>
      </c>
      <c r="B65" s="65" t="n">
        <f aca="false">(B89*B59)-(K47*K29)</f>
        <v>2744.12058381038</v>
      </c>
      <c r="C65" s="130"/>
      <c r="D65" s="130"/>
      <c r="E65" s="109"/>
      <c r="F65" s="109"/>
      <c r="G65" s="109"/>
      <c r="H65" s="33"/>
      <c r="J65" s="56" t="s">
        <v>92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92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92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93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93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93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94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94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94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94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95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95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95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95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96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96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96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96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97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97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97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97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98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98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98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99</v>
      </c>
      <c r="B72" s="86" t="n">
        <v>0</v>
      </c>
      <c r="C72" s="130"/>
      <c r="D72" s="130"/>
      <c r="E72" s="109"/>
      <c r="F72" s="109"/>
      <c r="G72" s="109"/>
      <c r="H72" s="33"/>
      <c r="J72" s="78" t="s">
        <v>99</v>
      </c>
      <c r="K72" s="86" t="n">
        <v>0</v>
      </c>
      <c r="L72" s="130"/>
      <c r="M72" s="130"/>
      <c r="N72" s="109"/>
      <c r="O72" s="109"/>
      <c r="P72" s="109"/>
      <c r="Q72" s="33"/>
      <c r="S72" s="78" t="s">
        <v>99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99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100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100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100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100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101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101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101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101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102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102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102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102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103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103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103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103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104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104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104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105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105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105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105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106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106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106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106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107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107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107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107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108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108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108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108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109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109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109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110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110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110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110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111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111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111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112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112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112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11.3775176629575</v>
      </c>
      <c r="C87" s="130"/>
      <c r="D87" s="130"/>
      <c r="E87" s="109"/>
      <c r="F87" s="109"/>
      <c r="G87" s="109"/>
      <c r="H87" s="33"/>
      <c r="J87" s="31" t="s">
        <v>113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113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113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114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114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114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114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115</v>
      </c>
      <c r="B89" s="33" t="n">
        <f aca="false">(B88/B87)</f>
        <v>2504.93972800316</v>
      </c>
      <c r="C89" s="130"/>
      <c r="D89" s="130"/>
      <c r="E89" s="109"/>
      <c r="F89" s="109"/>
      <c r="G89" s="109"/>
      <c r="H89" s="33"/>
      <c r="J89" s="31" t="s">
        <v>115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115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115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30059.276736038</v>
      </c>
      <c r="C90" s="130"/>
      <c r="D90" s="130"/>
      <c r="E90" s="109"/>
      <c r="F90" s="109"/>
      <c r="G90" s="109"/>
      <c r="H90" s="33"/>
      <c r="J90" s="31" t="s">
        <v>116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116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116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117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117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117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118</v>
      </c>
      <c r="B92" s="65" t="n">
        <f aca="false">(B90+B91)</f>
        <v>30059.276736038</v>
      </c>
      <c r="C92" s="130"/>
      <c r="D92" s="130"/>
      <c r="E92" s="109"/>
      <c r="F92" s="109"/>
      <c r="G92" s="109"/>
      <c r="H92" s="33"/>
      <c r="J92" s="56" t="s">
        <v>118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118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118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119</v>
      </c>
      <c r="B94" s="259" t="n">
        <f aca="false">IF(B26="YES",((E40/B85)*(1+A108)),"0")</f>
        <v>29.7916666666667</v>
      </c>
      <c r="C94" s="130"/>
      <c r="D94" s="130"/>
      <c r="E94" s="109"/>
      <c r="F94" s="109"/>
      <c r="G94" s="109"/>
      <c r="H94" s="33"/>
      <c r="J94" s="88" t="s">
        <v>119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119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119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120</v>
      </c>
      <c r="B95" s="92" t="n">
        <f aca="false">B92/(B85)</f>
        <v>2504.93972800316</v>
      </c>
      <c r="C95" s="130"/>
      <c r="D95" s="130"/>
      <c r="E95" s="109"/>
      <c r="F95" s="109"/>
      <c r="G95" s="109"/>
      <c r="H95" s="33"/>
      <c r="J95" s="91" t="s">
        <v>120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120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120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121</v>
      </c>
      <c r="B96" s="94" t="n">
        <f aca="false">B94+B95</f>
        <v>2534.73139466983</v>
      </c>
      <c r="C96" s="130"/>
      <c r="D96" s="130"/>
      <c r="E96" s="109"/>
      <c r="F96" s="109"/>
      <c r="G96" s="109"/>
      <c r="H96" s="33"/>
      <c r="J96" s="93" t="s">
        <v>121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121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121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123</v>
      </c>
      <c r="K100" s="96"/>
      <c r="L100" s="96"/>
      <c r="M100" s="96"/>
      <c r="N100" s="96"/>
      <c r="O100" s="96"/>
      <c r="P100" s="96"/>
      <c r="Q100" s="96"/>
      <c r="S100" s="96" t="s">
        <v>124</v>
      </c>
      <c r="T100" s="96"/>
      <c r="U100" s="96"/>
      <c r="V100" s="96"/>
      <c r="W100" s="96"/>
      <c r="X100" s="96"/>
      <c r="Y100" s="96"/>
      <c r="Z100" s="96"/>
      <c r="AB100" s="96" t="s">
        <v>125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31" t="s">
        <v>127</v>
      </c>
      <c r="K104" s="130" t="s">
        <v>23</v>
      </c>
      <c r="L104" s="130"/>
      <c r="M104" s="130"/>
      <c r="N104" s="130" t="s">
        <v>128</v>
      </c>
      <c r="O104" s="130"/>
      <c r="P104" s="130"/>
      <c r="Q104" s="33"/>
      <c r="S104" s="31" t="s">
        <v>127</v>
      </c>
      <c r="T104" s="130" t="s">
        <v>23</v>
      </c>
      <c r="U104" s="130"/>
      <c r="V104" s="130"/>
      <c r="W104" s="130" t="s">
        <v>128</v>
      </c>
      <c r="X104" s="130"/>
      <c r="Y104" s="130"/>
      <c r="Z104" s="33"/>
      <c r="AB104" s="31" t="s">
        <v>127</v>
      </c>
      <c r="AC104" s="130" t="s">
        <v>23</v>
      </c>
      <c r="AD104" s="130"/>
      <c r="AE104" s="130"/>
      <c r="AF104" s="130" t="s">
        <v>128</v>
      </c>
      <c r="AG104" s="130"/>
      <c r="AH104" s="130"/>
      <c r="AI104" s="33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447" t="s">
        <v>18</v>
      </c>
      <c r="F105" s="447"/>
      <c r="G105" s="447"/>
      <c r="H105" s="98"/>
      <c r="J105" s="36" t="s">
        <v>129</v>
      </c>
      <c r="K105" s="99" t="s">
        <v>130</v>
      </c>
      <c r="L105" s="99"/>
      <c r="M105" s="99"/>
      <c r="N105" s="100" t="s">
        <v>18</v>
      </c>
      <c r="O105" s="100"/>
      <c r="P105" s="100"/>
      <c r="Q105" s="98"/>
      <c r="S105" s="36" t="s">
        <v>129</v>
      </c>
      <c r="T105" s="99" t="s">
        <v>130</v>
      </c>
      <c r="U105" s="99"/>
      <c r="V105" s="99"/>
      <c r="W105" s="100" t="s">
        <v>18</v>
      </c>
      <c r="X105" s="100"/>
      <c r="Y105" s="100"/>
      <c r="Z105" s="98"/>
      <c r="AB105" s="36" t="s">
        <v>129</v>
      </c>
      <c r="AC105" s="99" t="s">
        <v>130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31" t="s">
        <v>131</v>
      </c>
      <c r="K107" s="130" t="s">
        <v>132</v>
      </c>
      <c r="L107" s="130"/>
      <c r="M107" s="109"/>
      <c r="N107" s="130" t="s">
        <v>133</v>
      </c>
      <c r="O107" s="130"/>
      <c r="P107" s="109"/>
      <c r="Q107" s="98"/>
      <c r="S107" s="31" t="s">
        <v>131</v>
      </c>
      <c r="T107" s="130" t="s">
        <v>132</v>
      </c>
      <c r="U107" s="130"/>
      <c r="V107" s="109"/>
      <c r="W107" s="130" t="s">
        <v>133</v>
      </c>
      <c r="X107" s="130"/>
      <c r="Y107" s="109"/>
      <c r="Z107" s="98"/>
      <c r="AB107" s="31" t="s">
        <v>131</v>
      </c>
      <c r="AC107" s="130" t="s">
        <v>132</v>
      </c>
      <c r="AD107" s="130"/>
      <c r="AE107" s="109"/>
      <c r="AF107" s="130" t="s">
        <v>133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134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135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135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31" t="s">
        <v>137</v>
      </c>
      <c r="K110" s="130" t="s">
        <v>138</v>
      </c>
      <c r="L110" s="130"/>
      <c r="M110" s="130"/>
      <c r="N110" s="130" t="s">
        <v>139</v>
      </c>
      <c r="O110" s="130"/>
      <c r="P110" s="130"/>
      <c r="Q110" s="33"/>
      <c r="S110" s="31" t="s">
        <v>137</v>
      </c>
      <c r="T110" s="130" t="s">
        <v>138</v>
      </c>
      <c r="U110" s="130"/>
      <c r="V110" s="130"/>
      <c r="W110" s="130" t="s">
        <v>139</v>
      </c>
      <c r="X110" s="130"/>
      <c r="Y110" s="130"/>
      <c r="Z110" s="33"/>
      <c r="AB110" s="31" t="s">
        <v>137</v>
      </c>
      <c r="AC110" s="130" t="s">
        <v>138</v>
      </c>
      <c r="AD110" s="130"/>
      <c r="AE110" s="130"/>
      <c r="AF110" s="130" t="s">
        <v>139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106" t="s">
        <v>140</v>
      </c>
      <c r="K113" s="130" t="s">
        <v>141</v>
      </c>
      <c r="L113" s="130"/>
      <c r="M113" s="130"/>
      <c r="N113" s="130" t="s">
        <v>142</v>
      </c>
      <c r="O113" s="130"/>
      <c r="P113" s="109"/>
      <c r="Q113" s="98"/>
      <c r="S113" s="106" t="s">
        <v>140</v>
      </c>
      <c r="T113" s="130" t="s">
        <v>141</v>
      </c>
      <c r="U113" s="130"/>
      <c r="V113" s="130"/>
      <c r="W113" s="130" t="s">
        <v>142</v>
      </c>
      <c r="X113" s="130"/>
      <c r="Y113" s="109"/>
      <c r="Z113" s="98"/>
      <c r="AB113" s="106" t="s">
        <v>140</v>
      </c>
      <c r="AC113" s="130" t="s">
        <v>141</v>
      </c>
      <c r="AD113" s="130"/>
      <c r="AE113" s="130"/>
      <c r="AF113" s="130" t="s">
        <v>142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78"/>
      <c r="K119" s="110" t="s">
        <v>145</v>
      </c>
      <c r="L119" s="110"/>
      <c r="M119" s="110" t="s">
        <v>146</v>
      </c>
      <c r="N119" s="110"/>
      <c r="O119" s="110" t="s">
        <v>147</v>
      </c>
      <c r="P119" s="110"/>
      <c r="Q119" s="111" t="s">
        <v>148</v>
      </c>
      <c r="S119" s="78"/>
      <c r="T119" s="110" t="s">
        <v>145</v>
      </c>
      <c r="U119" s="110"/>
      <c r="V119" s="110" t="s">
        <v>146</v>
      </c>
      <c r="W119" s="110"/>
      <c r="X119" s="110" t="s">
        <v>147</v>
      </c>
      <c r="Y119" s="110"/>
      <c r="Z119" s="111" t="s">
        <v>148</v>
      </c>
      <c r="AB119" s="78"/>
      <c r="AC119" s="110" t="s">
        <v>145</v>
      </c>
      <c r="AD119" s="110"/>
      <c r="AE119" s="110" t="s">
        <v>146</v>
      </c>
      <c r="AF119" s="110"/>
      <c r="AG119" s="110" t="s">
        <v>147</v>
      </c>
      <c r="AH119" s="110"/>
      <c r="AI119" s="111" t="s">
        <v>148</v>
      </c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80"/>
      <c r="K120" s="112" t="s">
        <v>149</v>
      </c>
      <c r="L120" s="113" t="s">
        <v>150</v>
      </c>
      <c r="M120" s="112" t="s">
        <v>149</v>
      </c>
      <c r="N120" s="114" t="s">
        <v>150</v>
      </c>
      <c r="O120" s="112" t="s">
        <v>149</v>
      </c>
      <c r="P120" s="114" t="s">
        <v>150</v>
      </c>
      <c r="Q120" s="115"/>
      <c r="S120" s="80"/>
      <c r="T120" s="112" t="s">
        <v>149</v>
      </c>
      <c r="U120" s="113" t="s">
        <v>150</v>
      </c>
      <c r="V120" s="112" t="s">
        <v>149</v>
      </c>
      <c r="W120" s="114" t="s">
        <v>150</v>
      </c>
      <c r="X120" s="112" t="s">
        <v>149</v>
      </c>
      <c r="Y120" s="114" t="s">
        <v>150</v>
      </c>
      <c r="Z120" s="115"/>
      <c r="AB120" s="80"/>
      <c r="AC120" s="112" t="s">
        <v>149</v>
      </c>
      <c r="AD120" s="113" t="s">
        <v>150</v>
      </c>
      <c r="AE120" s="112" t="s">
        <v>149</v>
      </c>
      <c r="AF120" s="114" t="s">
        <v>150</v>
      </c>
      <c r="AG120" s="112" t="s">
        <v>149</v>
      </c>
      <c r="AH120" s="114" t="s">
        <v>150</v>
      </c>
      <c r="AI120" s="115"/>
    </row>
    <row r="121" customFormat="false" ht="17.35" hidden="false" customHeight="false" outlineLevel="0" collapsed="false">
      <c r="A121" s="25" t="s">
        <v>151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151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151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151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152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152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152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153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153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153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153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154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154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154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155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155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155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131"/>
      <c r="K127" s="132"/>
      <c r="L127" s="132"/>
      <c r="M127" s="132"/>
      <c r="N127" s="132"/>
      <c r="O127" s="132"/>
      <c r="P127" s="133" t="s">
        <v>149</v>
      </c>
      <c r="Q127" s="134" t="s">
        <v>150</v>
      </c>
      <c r="S127" s="131"/>
      <c r="T127" s="132"/>
      <c r="U127" s="132"/>
      <c r="V127" s="132"/>
      <c r="W127" s="132"/>
      <c r="X127" s="132"/>
      <c r="Y127" s="133" t="s">
        <v>149</v>
      </c>
      <c r="Z127" s="134" t="s">
        <v>150</v>
      </c>
      <c r="AB127" s="131"/>
      <c r="AC127" s="132"/>
      <c r="AD127" s="132"/>
      <c r="AE127" s="132"/>
      <c r="AF127" s="132"/>
      <c r="AG127" s="132"/>
      <c r="AH127" s="133" t="s">
        <v>149</v>
      </c>
      <c r="AI127" s="134" t="s">
        <v>150</v>
      </c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156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156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156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144" t="s">
        <v>157</v>
      </c>
      <c r="K130" s="141" t="s">
        <v>158</v>
      </c>
      <c r="L130" s="141"/>
      <c r="M130" s="141" t="s">
        <v>159</v>
      </c>
      <c r="N130" s="141"/>
      <c r="O130" s="141" t="s">
        <v>153</v>
      </c>
      <c r="P130" s="141"/>
      <c r="Q130" s="142" t="s">
        <v>150</v>
      </c>
      <c r="S130" s="144" t="s">
        <v>157</v>
      </c>
      <c r="T130" s="141" t="s">
        <v>158</v>
      </c>
      <c r="U130" s="141"/>
      <c r="V130" s="141" t="s">
        <v>159</v>
      </c>
      <c r="W130" s="141"/>
      <c r="X130" s="141" t="s">
        <v>153</v>
      </c>
      <c r="Y130" s="141"/>
      <c r="Z130" s="142" t="s">
        <v>150</v>
      </c>
      <c r="AB130" s="144" t="s">
        <v>157</v>
      </c>
      <c r="AC130" s="141" t="s">
        <v>158</v>
      </c>
      <c r="AD130" s="141"/>
      <c r="AE130" s="141" t="s">
        <v>159</v>
      </c>
      <c r="AF130" s="141"/>
      <c r="AG130" s="141" t="s">
        <v>153</v>
      </c>
      <c r="AH130" s="141"/>
      <c r="AI130" s="142" t="s">
        <v>150</v>
      </c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160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160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160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161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161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161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162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162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162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163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163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163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164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164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164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165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165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165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166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166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166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167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167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167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168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168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168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169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169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169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170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170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170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107" t="s">
        <v>171</v>
      </c>
      <c r="K143" s="107"/>
      <c r="L143" s="107"/>
      <c r="M143" s="107"/>
      <c r="N143" s="107"/>
      <c r="O143" s="107"/>
      <c r="P143" s="99"/>
      <c r="Q143" s="33"/>
      <c r="S143" s="107" t="s">
        <v>171</v>
      </c>
      <c r="T143" s="107"/>
      <c r="U143" s="107"/>
      <c r="V143" s="107"/>
      <c r="W143" s="107"/>
      <c r="X143" s="107"/>
      <c r="Y143" s="99"/>
      <c r="Z143" s="33"/>
      <c r="AB143" s="107" t="s">
        <v>171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172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172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172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172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172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172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172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172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172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173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173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173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174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174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174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176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176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176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177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177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177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178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178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178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179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179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179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180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180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180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181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181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181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183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183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183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170" t="s">
        <v>184</v>
      </c>
      <c r="K166" s="171" t="s">
        <v>185</v>
      </c>
      <c r="L166" s="171"/>
      <c r="M166" s="171"/>
      <c r="N166" s="171" t="s">
        <v>186</v>
      </c>
      <c r="O166" s="23"/>
      <c r="P166" s="23"/>
      <c r="Q166" s="33"/>
      <c r="S166" s="170" t="s">
        <v>184</v>
      </c>
      <c r="T166" s="171" t="s">
        <v>185</v>
      </c>
      <c r="U166" s="171"/>
      <c r="V166" s="171"/>
      <c r="W166" s="171" t="s">
        <v>186</v>
      </c>
      <c r="X166" s="23"/>
      <c r="Y166" s="23"/>
      <c r="Z166" s="33"/>
      <c r="AB166" s="170" t="s">
        <v>184</v>
      </c>
      <c r="AC166" s="171" t="s">
        <v>185</v>
      </c>
      <c r="AD166" s="171"/>
      <c r="AE166" s="171"/>
      <c r="AF166" s="171" t="s">
        <v>186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2504.93972800316</v>
      </c>
      <c r="B167" s="174" t="n">
        <f aca="false">B94</f>
        <v>29.7916666666667</v>
      </c>
      <c r="C167" s="171"/>
      <c r="D167" s="171"/>
      <c r="E167" s="174" t="n">
        <f aca="false">B96</f>
        <v>2534.73139466983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31" t="s">
        <v>84</v>
      </c>
      <c r="K169" s="130" t="s">
        <v>85</v>
      </c>
      <c r="L169" s="130"/>
      <c r="M169" s="23"/>
      <c r="N169" s="130" t="s">
        <v>187</v>
      </c>
      <c r="O169" s="23"/>
      <c r="P169" s="23"/>
      <c r="Q169" s="33"/>
      <c r="S169" s="31" t="s">
        <v>84</v>
      </c>
      <c r="T169" s="130" t="s">
        <v>85</v>
      </c>
      <c r="U169" s="130"/>
      <c r="V169" s="23"/>
      <c r="W169" s="130" t="s">
        <v>187</v>
      </c>
      <c r="X169" s="23"/>
      <c r="Y169" s="23"/>
      <c r="Z169" s="33"/>
      <c r="AB169" s="31" t="s">
        <v>84</v>
      </c>
      <c r="AC169" s="130" t="s">
        <v>85</v>
      </c>
      <c r="AD169" s="130"/>
      <c r="AE169" s="23"/>
      <c r="AF169" s="130" t="s">
        <v>187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31" t="s">
        <v>188</v>
      </c>
      <c r="K172" s="130" t="s">
        <v>189</v>
      </c>
      <c r="L172" s="130"/>
      <c r="M172" s="23"/>
      <c r="N172" s="130" t="s">
        <v>190</v>
      </c>
      <c r="O172" s="23"/>
      <c r="P172" s="23"/>
      <c r="Q172" s="33"/>
      <c r="S172" s="31" t="s">
        <v>188</v>
      </c>
      <c r="T172" s="130" t="s">
        <v>189</v>
      </c>
      <c r="U172" s="130"/>
      <c r="V172" s="23"/>
      <c r="W172" s="130" t="s">
        <v>190</v>
      </c>
      <c r="X172" s="23"/>
      <c r="Y172" s="23"/>
      <c r="Z172" s="33"/>
      <c r="AB172" s="31" t="s">
        <v>188</v>
      </c>
      <c r="AC172" s="130" t="s">
        <v>189</v>
      </c>
      <c r="AD172" s="130"/>
      <c r="AE172" s="23"/>
      <c r="AF172" s="130" t="s">
        <v>190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31" t="s">
        <v>191</v>
      </c>
      <c r="K175" s="130" t="s">
        <v>138</v>
      </c>
      <c r="L175" s="130"/>
      <c r="M175" s="23"/>
      <c r="N175" s="130" t="s">
        <v>139</v>
      </c>
      <c r="O175" s="23"/>
      <c r="P175" s="23"/>
      <c r="Q175" s="33"/>
      <c r="S175" s="31" t="s">
        <v>191</v>
      </c>
      <c r="T175" s="130" t="s">
        <v>138</v>
      </c>
      <c r="U175" s="130"/>
      <c r="V175" s="23"/>
      <c r="W175" s="130" t="s">
        <v>139</v>
      </c>
      <c r="X175" s="23"/>
      <c r="Y175" s="23"/>
      <c r="Z175" s="33"/>
      <c r="AB175" s="31" t="s">
        <v>191</v>
      </c>
      <c r="AC175" s="130" t="s">
        <v>138</v>
      </c>
      <c r="AD175" s="130"/>
      <c r="AE175" s="23"/>
      <c r="AF175" s="130" t="s">
        <v>139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31" t="s">
        <v>140</v>
      </c>
      <c r="K178" s="130" t="s">
        <v>176</v>
      </c>
      <c r="L178" s="130"/>
      <c r="M178" s="23"/>
      <c r="N178" s="130" t="s">
        <v>181</v>
      </c>
      <c r="O178" s="23"/>
      <c r="P178" s="23"/>
      <c r="Q178" s="33"/>
      <c r="S178" s="31" t="s">
        <v>140</v>
      </c>
      <c r="T178" s="130" t="s">
        <v>176</v>
      </c>
      <c r="U178" s="130"/>
      <c r="V178" s="23"/>
      <c r="W178" s="130" t="s">
        <v>181</v>
      </c>
      <c r="X178" s="23"/>
      <c r="Y178" s="23"/>
      <c r="Z178" s="33"/>
      <c r="AB178" s="31" t="s">
        <v>140</v>
      </c>
      <c r="AC178" s="130" t="s">
        <v>176</v>
      </c>
      <c r="AD178" s="130"/>
      <c r="AE178" s="23"/>
      <c r="AF178" s="130" t="s">
        <v>181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31" t="s">
        <v>192</v>
      </c>
      <c r="K181" s="130" t="s">
        <v>53</v>
      </c>
      <c r="L181" s="130"/>
      <c r="M181" s="23"/>
      <c r="N181" s="130" t="s">
        <v>193</v>
      </c>
      <c r="O181" s="23"/>
      <c r="P181" s="23"/>
      <c r="Q181" s="33"/>
      <c r="S181" s="31" t="s">
        <v>192</v>
      </c>
      <c r="T181" s="130" t="s">
        <v>53</v>
      </c>
      <c r="U181" s="130"/>
      <c r="V181" s="23"/>
      <c r="W181" s="130" t="s">
        <v>193</v>
      </c>
      <c r="X181" s="23"/>
      <c r="Y181" s="23"/>
      <c r="Z181" s="33"/>
      <c r="AB181" s="31" t="s">
        <v>192</v>
      </c>
      <c r="AC181" s="130" t="s">
        <v>53</v>
      </c>
      <c r="AD181" s="130"/>
      <c r="AE181" s="23"/>
      <c r="AF181" s="130" t="s">
        <v>193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1589.07240270463</v>
      </c>
      <c r="B182" s="99" t="str">
        <f aca="false">B114</f>
        <v>199.99</v>
      </c>
      <c r="C182" s="99"/>
      <c r="D182" s="23"/>
      <c r="E182" s="99" t="n">
        <f aca="false">E179+A182+B182+A185</f>
        <v>30299.0584027046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31" t="s">
        <v>194</v>
      </c>
      <c r="K184" s="130" t="s">
        <v>195</v>
      </c>
      <c r="L184" s="130"/>
      <c r="M184" s="23"/>
      <c r="N184" s="130" t="s">
        <v>196</v>
      </c>
      <c r="O184" s="23"/>
      <c r="P184" s="23"/>
      <c r="Q184" s="33"/>
      <c r="S184" s="31" t="s">
        <v>194</v>
      </c>
      <c r="T184" s="130" t="s">
        <v>195</v>
      </c>
      <c r="U184" s="130"/>
      <c r="V184" s="23"/>
      <c r="W184" s="130" t="s">
        <v>196</v>
      </c>
      <c r="X184" s="23"/>
      <c r="Y184" s="23"/>
      <c r="Z184" s="33"/>
      <c r="AB184" s="31" t="s">
        <v>194</v>
      </c>
      <c r="AC184" s="130" t="s">
        <v>195</v>
      </c>
      <c r="AD184" s="130"/>
      <c r="AE184" s="23"/>
      <c r="AF184" s="130" t="s">
        <v>196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2544.73139466983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31" t="s">
        <v>197</v>
      </c>
      <c r="K187" s="130" t="s">
        <v>198</v>
      </c>
      <c r="L187" s="130"/>
      <c r="M187" s="130"/>
      <c r="N187" s="163" t="s">
        <v>199</v>
      </c>
      <c r="O187" s="23"/>
      <c r="P187" s="23"/>
      <c r="Q187" s="33"/>
      <c r="S187" s="31" t="s">
        <v>197</v>
      </c>
      <c r="T187" s="130" t="s">
        <v>198</v>
      </c>
      <c r="U187" s="130"/>
      <c r="V187" s="130"/>
      <c r="W187" s="163" t="s">
        <v>199</v>
      </c>
      <c r="X187" s="32"/>
      <c r="Y187" s="32"/>
      <c r="Z187" s="33"/>
      <c r="AB187" s="31" t="s">
        <v>197</v>
      </c>
      <c r="AC187" s="130" t="s">
        <v>198</v>
      </c>
      <c r="AD187" s="130"/>
      <c r="AE187" s="130"/>
      <c r="AF187" s="163" t="s">
        <v>199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60" t="s">
        <v>200</v>
      </c>
      <c r="K190" s="163" t="s">
        <v>201</v>
      </c>
      <c r="L190" s="130"/>
      <c r="M190" s="130"/>
      <c r="N190" s="163" t="s">
        <v>202</v>
      </c>
      <c r="O190" s="23"/>
      <c r="P190" s="23"/>
      <c r="Q190" s="33"/>
      <c r="S190" s="60" t="s">
        <v>200</v>
      </c>
      <c r="T190" s="163" t="s">
        <v>201</v>
      </c>
      <c r="U190" s="130"/>
      <c r="V190" s="130"/>
      <c r="W190" s="163" t="s">
        <v>202</v>
      </c>
      <c r="X190" s="32"/>
      <c r="Y190" s="32"/>
      <c r="Z190" s="33"/>
      <c r="AB190" s="60" t="s">
        <v>200</v>
      </c>
      <c r="AC190" s="163" t="s">
        <v>201</v>
      </c>
      <c r="AD190" s="130"/>
      <c r="AE190" s="130"/>
      <c r="AF190" s="163" t="s">
        <v>202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226.989983333333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66" t="s">
        <v>203</v>
      </c>
      <c r="K193" s="130"/>
      <c r="L193" s="130"/>
      <c r="M193" s="67"/>
      <c r="N193" s="67"/>
      <c r="O193" s="67"/>
      <c r="P193" s="67"/>
      <c r="Q193" s="68"/>
      <c r="S193" s="66" t="s">
        <v>203</v>
      </c>
      <c r="T193" s="130"/>
      <c r="U193" s="130"/>
      <c r="V193" s="67"/>
      <c r="W193" s="67"/>
      <c r="X193" s="67"/>
      <c r="Y193" s="67"/>
      <c r="Z193" s="68"/>
      <c r="AB193" s="66" t="s">
        <v>203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184" t="s">
        <v>84</v>
      </c>
      <c r="K195" s="71" t="s">
        <v>85</v>
      </c>
      <c r="L195" s="71"/>
      <c r="M195" s="71"/>
      <c r="N195" s="23"/>
      <c r="O195" s="23"/>
      <c r="P195" s="23"/>
      <c r="Q195" s="33"/>
      <c r="S195" s="184" t="s">
        <v>84</v>
      </c>
      <c r="T195" s="71" t="s">
        <v>85</v>
      </c>
      <c r="U195" s="71"/>
      <c r="V195" s="71"/>
      <c r="W195" s="23"/>
      <c r="X195" s="23"/>
      <c r="Y195" s="23"/>
      <c r="Z195" s="33"/>
      <c r="AB195" s="184" t="s">
        <v>84</v>
      </c>
      <c r="AC195" s="71" t="s">
        <v>85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2534.73139466983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2504.93972800316</v>
      </c>
      <c r="B212" s="174" t="n">
        <f aca="false">B167</f>
        <v>29.7916666666667</v>
      </c>
      <c r="C212" s="171"/>
      <c r="D212" s="171"/>
      <c r="E212" s="174" t="n">
        <f aca="false">E167</f>
        <v>2534.73139466983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1589.07240270463</v>
      </c>
      <c r="B224" s="99" t="str">
        <f aca="false">B182</f>
        <v>199.99</v>
      </c>
      <c r="C224" s="99"/>
      <c r="D224" s="109"/>
      <c r="E224" s="99" t="n">
        <f aca="false">E182</f>
        <v>30299.0584027046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2504.93972800316</v>
      </c>
      <c r="B230" s="99" t="n">
        <f aca="false">B167</f>
        <v>29.7916666666667</v>
      </c>
      <c r="C230" s="183"/>
      <c r="D230" s="183"/>
      <c r="E230" s="99" t="n">
        <f aca="false">E167</f>
        <v>2534.73139466983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187</v>
      </c>
      <c r="B232" s="130" t="s">
        <v>207</v>
      </c>
      <c r="C232" s="130"/>
      <c r="D232" s="130"/>
      <c r="E232" s="130" t="s">
        <v>208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2544.73139466983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132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2101.98998333333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K35</f>
        <v>0.065</v>
      </c>
      <c r="C253" s="194"/>
      <c r="D253" s="195" t="s">
        <v>213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182.49</v>
      </c>
      <c r="C255" s="194"/>
      <c r="D255" s="195" t="s">
        <v>217</v>
      </c>
      <c r="E255" s="195"/>
      <c r="F255" s="196" t="n">
        <f aca="false">(B254-F254)+B255</f>
        <v>39.99002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0.024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0.0995</v>
      </c>
      <c r="C260" s="43"/>
      <c r="D260" s="163" t="s">
        <v>214</v>
      </c>
      <c r="E260" s="163"/>
      <c r="F260" s="143" t="n">
        <f aca="false">(B89*B59)-(C89*B59)</f>
        <v>27554.3370080348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0.005</v>
      </c>
      <c r="C261" s="32"/>
      <c r="D261" s="163" t="s">
        <v>220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0.3</v>
      </c>
      <c r="C262" s="32"/>
      <c r="D262" s="163" t="s">
        <v>221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</v>
      </c>
      <c r="C263" s="32"/>
      <c r="D263" s="39" t="s">
        <v>217</v>
      </c>
      <c r="E263" s="39"/>
      <c r="F263" s="143" t="n">
        <f aca="false">(B254-F254)+B255</f>
        <v>39.99002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141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366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86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367</v>
      </c>
      <c r="D58" s="211"/>
      <c r="E58" s="212"/>
      <c r="F58" s="63"/>
      <c r="G58" s="210" t="s">
        <v>87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B61*B63</f>
        <v>2618.35</v>
      </c>
      <c r="C64" s="211" t="n">
        <v>10000</v>
      </c>
      <c r="D64" s="277" t="n">
        <f aca="false">B64</f>
        <v>2618.35</v>
      </c>
      <c r="E64" s="212"/>
      <c r="F64" s="63"/>
      <c r="G64" s="310" t="s">
        <v>92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11"/>
      <c r="E65" s="212"/>
      <c r="F65" s="63"/>
      <c r="G65" s="304" t="s">
        <v>93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94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B61*B66</f>
        <v>374.05</v>
      </c>
      <c r="C67" s="211"/>
      <c r="D67" s="277"/>
      <c r="E67" s="212"/>
      <c r="F67" s="63"/>
      <c r="G67" s="310" t="s">
        <v>95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211"/>
      <c r="D68" s="211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101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0</v>
      </c>
      <c r="C74" s="211"/>
      <c r="D74" s="211"/>
      <c r="E74" s="212"/>
      <c r="F74" s="63"/>
      <c r="G74" s="304" t="s">
        <v>279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</v>
      </c>
      <c r="C75" s="211" t="n">
        <f aca="false">IF(G18&gt;40000, 325, 0)</f>
        <v>0</v>
      </c>
      <c r="D75" s="211"/>
      <c r="E75" s="212"/>
      <c r="F75" s="63"/>
      <c r="G75" s="407" t="s">
        <v>280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281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282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282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284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102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103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3945.01666666667</v>
      </c>
      <c r="C81" s="211"/>
      <c r="D81" s="211"/>
      <c r="E81" s="212"/>
      <c r="F81" s="63"/>
      <c r="G81" s="422" t="s">
        <v>104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328.751388888889</v>
      </c>
      <c r="C82" s="211"/>
      <c r="D82" s="211"/>
      <c r="E82" s="212"/>
      <c r="F82" s="63"/>
      <c r="G82" s="210" t="s">
        <v>105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H46</f>
        <v>501</v>
      </c>
      <c r="C83" s="211"/>
      <c r="D83" s="211"/>
      <c r="E83" s="212"/>
      <c r="F83" s="63"/>
      <c r="G83" s="424" t="s">
        <v>106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((B83*(H29)+B81))*1.2</f>
        <v>11948.42</v>
      </c>
      <c r="C85" s="211"/>
      <c r="D85" s="211"/>
      <c r="E85" s="212"/>
      <c r="F85" s="63"/>
      <c r="G85" s="404" t="s">
        <v>116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(((B83*(H29))+B81)/(1-B70))*B70</f>
        <v>84.3474586526826</v>
      </c>
      <c r="C86" s="211"/>
      <c r="D86" s="211"/>
      <c r="E86" s="212"/>
      <c r="F86" s="63"/>
      <c r="G86" s="210" t="s">
        <v>117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310" t="s">
        <v>118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50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422" t="s">
        <v>119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IF(B99=Z102, (B87-D105)/(B58), B87/(B57+B58))</f>
        <v>669.397288221057</v>
      </c>
      <c r="C90" s="211"/>
      <c r="D90" s="211"/>
      <c r="E90" s="212"/>
      <c r="F90" s="63"/>
      <c r="G90" s="427" t="s">
        <v>120</v>
      </c>
      <c r="H90" s="42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741.397288221057</v>
      </c>
      <c r="C91" s="211"/>
      <c r="D91" s="211"/>
      <c r="E91" s="212"/>
      <c r="F91" s="63"/>
      <c r="G91" s="429" t="s">
        <v>121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286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289</v>
      </c>
      <c r="B99" s="331" t="s">
        <v>340</v>
      </c>
      <c r="C99" s="331"/>
      <c r="D99" s="103" t="n">
        <v>1000</v>
      </c>
      <c r="E99" s="103"/>
      <c r="F99" s="63"/>
      <c r="G99" s="216" t="s">
        <v>289</v>
      </c>
      <c r="H99" s="331" t="s">
        <v>130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292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33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341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294</v>
      </c>
      <c r="B108" s="213" t="n">
        <v>0</v>
      </c>
      <c r="C108" s="213"/>
      <c r="D108" s="213" t="n">
        <v>0</v>
      </c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295</v>
      </c>
      <c r="B110" s="218" t="s">
        <v>18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</v>
      </c>
      <c r="E112" s="103" t="n">
        <v>6000</v>
      </c>
      <c r="F112" s="63"/>
      <c r="G112" s="210" t="s">
        <v>176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177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f aca="false">D99</f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296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84</v>
      </c>
      <c r="H126" s="211" t="s">
        <v>85</v>
      </c>
      <c r="I126" s="211"/>
      <c r="J126" s="211" t="s">
        <v>87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669.397288221057</v>
      </c>
      <c r="B128" s="338" t="n">
        <f aca="false">IF(A105="YES", B89, 0)</f>
        <v>72</v>
      </c>
      <c r="C128" s="394"/>
      <c r="D128" s="338" t="n">
        <f aca="false">B91</f>
        <v>741.397288221057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300</v>
      </c>
      <c r="H129" s="434" t="s">
        <v>301</v>
      </c>
      <c r="I129" s="434"/>
      <c r="J129" s="434" t="s">
        <v>302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6024.57559398951</v>
      </c>
      <c r="C131" s="280"/>
      <c r="D131" s="38" t="n">
        <f aca="false">IF(A105="YES", B89*B57, 0)</f>
        <v>648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280"/>
      <c r="D137" s="38" t="n">
        <f aca="false">B91</f>
        <v>741.397288221057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297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127</v>
      </c>
      <c r="B167" s="366" t="s">
        <v>39</v>
      </c>
      <c r="C167" s="367"/>
      <c r="D167" s="366" t="s">
        <v>85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289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120</v>
      </c>
      <c r="B170" s="366" t="s">
        <v>298</v>
      </c>
      <c r="C170" s="367"/>
      <c r="D170" s="366" t="s">
        <v>299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669.397288221057</v>
      </c>
      <c r="B171" s="367" t="n">
        <f aca="false">IF(A105="YES", B89, 0)</f>
        <v>72</v>
      </c>
      <c r="C171" s="395"/>
      <c r="D171" s="367" t="n">
        <f aca="false">B91</f>
        <v>741.397288221057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304</v>
      </c>
      <c r="C173" s="226"/>
      <c r="D173" s="370" t="s">
        <v>305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6024.57559398951</v>
      </c>
      <c r="C174" s="282"/>
      <c r="D174" s="99" t="n">
        <f aca="false">IF(A105="YES", B89*B57, 0)</f>
        <v>648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310</v>
      </c>
      <c r="B176" s="163" t="s">
        <v>311</v>
      </c>
      <c r="C176" s="285"/>
      <c r="D176" s="237" t="s">
        <v>205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120</v>
      </c>
      <c r="B179" s="373" t="s">
        <v>298</v>
      </c>
      <c r="C179" s="282"/>
      <c r="D179" s="282" t="s">
        <v>299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282"/>
      <c r="D180" s="99" t="n">
        <f aca="false">B91</f>
        <v>741.397288221057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318</v>
      </c>
      <c r="C182" s="99"/>
      <c r="D182" s="374" t="s">
        <v>74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322</v>
      </c>
      <c r="B185" s="374" t="s">
        <v>53</v>
      </c>
      <c r="C185" s="99"/>
      <c r="D185" s="374" t="s">
        <v>282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325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326</v>
      </c>
      <c r="B190" s="282" t="s">
        <v>327</v>
      </c>
      <c r="C190" s="282"/>
      <c r="D190" s="282" t="s">
        <v>328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332</v>
      </c>
      <c r="B193" s="282" t="s">
        <v>324</v>
      </c>
      <c r="C193" s="282"/>
      <c r="D193" s="282" t="s">
        <v>321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333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211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212</v>
      </c>
      <c r="B203" s="376" t="n">
        <f aca="false">B209</f>
        <v>0.065</v>
      </c>
      <c r="C203" s="338" t="s">
        <v>214</v>
      </c>
      <c r="D203" s="377" t="n">
        <f aca="false">D64</f>
        <v>2618.35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215</v>
      </c>
      <c r="B205" s="338" t="n">
        <f aca="false">B213</f>
        <v>374.05</v>
      </c>
      <c r="C205" s="337" t="s">
        <v>216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217</v>
      </c>
      <c r="B207" s="338" t="n">
        <f aca="false">E217</f>
        <v>2704.29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212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214</v>
      </c>
      <c r="B211" s="100" t="n">
        <f aca="false">D64</f>
        <v>2618.35</v>
      </c>
      <c r="C211" s="381" t="s">
        <v>220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220</v>
      </c>
      <c r="B213" s="100" t="n">
        <f aca="false">B67</f>
        <v>374.05</v>
      </c>
      <c r="C213" s="351" t="s">
        <v>334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334</v>
      </c>
      <c r="B215" s="237" t="n">
        <f aca="false">B191*E213*100</f>
        <v>40</v>
      </c>
      <c r="C215" s="351" t="s">
        <v>222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335</v>
      </c>
      <c r="B217" s="237" t="n">
        <f aca="false">B78-(B78*(E213*100))</f>
        <v>200</v>
      </c>
      <c r="C217" s="351" t="s">
        <v>217</v>
      </c>
      <c r="D217" s="280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336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337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224</v>
      </c>
      <c r="B223" s="100" t="n">
        <f aca="false">B71</f>
        <v>200</v>
      </c>
      <c r="C223" s="351" t="s">
        <v>225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226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227</v>
      </c>
      <c r="B225" s="386" t="n">
        <f aca="false">B68</f>
        <v>0.0075</v>
      </c>
      <c r="C225" s="351" t="s">
        <v>228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229</v>
      </c>
      <c r="D226" s="358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230</v>
      </c>
      <c r="B227" s="100" t="n">
        <f aca="false">B79</f>
        <v>200</v>
      </c>
      <c r="C227" s="387" t="s">
        <v>338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231</v>
      </c>
      <c r="B229" s="100" t="n">
        <f aca="false">B80</f>
        <v>200</v>
      </c>
      <c r="C229" s="391" t="s">
        <v>339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141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366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86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367</v>
      </c>
      <c r="D58" s="211"/>
      <c r="E58" s="212"/>
      <c r="F58" s="63"/>
      <c r="G58" s="210" t="s">
        <v>87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B60*B63</f>
        <v>2012.49972</v>
      </c>
      <c r="C64" s="211" t="n">
        <v>10000</v>
      </c>
      <c r="D64" s="277" t="n">
        <f aca="false">B64</f>
        <v>2012.49972</v>
      </c>
      <c r="E64" s="212"/>
      <c r="F64" s="63"/>
      <c r="G64" s="310" t="s">
        <v>92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11"/>
      <c r="E65" s="212"/>
      <c r="F65" s="63"/>
      <c r="G65" s="304" t="s">
        <v>93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94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B61*B66</f>
        <v>374.05</v>
      </c>
      <c r="C67" s="211"/>
      <c r="D67" s="277"/>
      <c r="E67" s="212"/>
      <c r="F67" s="63"/>
      <c r="G67" s="310" t="s">
        <v>95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211"/>
      <c r="D68" s="211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101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0</v>
      </c>
      <c r="C74" s="211"/>
      <c r="D74" s="211"/>
      <c r="E74" s="212"/>
      <c r="F74" s="63"/>
      <c r="G74" s="304" t="s">
        <v>279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</v>
      </c>
      <c r="C75" s="211"/>
      <c r="D75" s="211"/>
      <c r="E75" s="212"/>
      <c r="F75" s="63"/>
      <c r="G75" s="407" t="s">
        <v>280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((B74+B75)/12)*(H29+1)</f>
        <v>0</v>
      </c>
      <c r="C76" s="211"/>
      <c r="D76" s="277" t="n">
        <f aca="false">B76</f>
        <v>0</v>
      </c>
      <c r="E76" s="212"/>
      <c r="F76" s="63"/>
      <c r="G76" s="310" t="s">
        <v>281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282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282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284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102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103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3339.16638666667</v>
      </c>
      <c r="C81" s="211"/>
      <c r="D81" s="211"/>
      <c r="E81" s="212"/>
      <c r="F81" s="63"/>
      <c r="G81" s="422" t="s">
        <v>104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278.263865555556</v>
      </c>
      <c r="C82" s="211"/>
      <c r="D82" s="211"/>
      <c r="E82" s="212"/>
      <c r="F82" s="63"/>
      <c r="G82" s="210" t="s">
        <v>105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H46</f>
        <v>501</v>
      </c>
      <c r="C83" s="211"/>
      <c r="D83" s="211"/>
      <c r="E83" s="212"/>
      <c r="F83" s="63"/>
      <c r="G83" s="424" t="s">
        <v>106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((B83*(H29)+B81))</f>
        <v>9351.16638666667</v>
      </c>
      <c r="C85" s="211"/>
      <c r="D85" s="211"/>
      <c r="E85" s="212"/>
      <c r="F85" s="63"/>
      <c r="G85" s="404" t="s">
        <v>116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(B85/(1-B70))*B70</f>
        <v>79.2152053731343</v>
      </c>
      <c r="C86" s="211"/>
      <c r="D86" s="211"/>
      <c r="E86" s="212"/>
      <c r="F86" s="63"/>
      <c r="G86" s="210" t="s">
        <v>117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310" t="s">
        <v>118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50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422" t="s">
        <v>119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IF(B99=Z102, (B87-D105)/(B58), B87/(B57+B58))</f>
        <v>452.53179933665</v>
      </c>
      <c r="C90" s="211"/>
      <c r="D90" s="211"/>
      <c r="E90" s="212"/>
      <c r="F90" s="63"/>
      <c r="G90" s="427" t="s">
        <v>120</v>
      </c>
      <c r="H90" s="42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512.53179933665</v>
      </c>
      <c r="C91" s="211"/>
      <c r="D91" s="211"/>
      <c r="E91" s="212"/>
      <c r="F91" s="63"/>
      <c r="G91" s="429" t="s">
        <v>121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289</v>
      </c>
      <c r="B99" s="331" t="s">
        <v>340</v>
      </c>
      <c r="C99" s="331"/>
      <c r="D99" s="103" t="n">
        <v>1000</v>
      </c>
      <c r="E99" s="103"/>
      <c r="F99" s="63"/>
      <c r="G99" s="216" t="s">
        <v>289</v>
      </c>
      <c r="H99" s="331" t="s">
        <v>130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292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341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294</v>
      </c>
      <c r="B108" s="213" t="n">
        <v>0</v>
      </c>
      <c r="C108" s="213"/>
      <c r="D108" s="213" t="n">
        <v>0</v>
      </c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295</v>
      </c>
      <c r="B110" s="218" t="s">
        <v>18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</v>
      </c>
      <c r="E112" s="103" t="n">
        <v>6000</v>
      </c>
      <c r="F112" s="63"/>
      <c r="G112" s="210" t="s">
        <v>176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177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f aca="false">D99</f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296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84</v>
      </c>
      <c r="H126" s="211" t="s">
        <v>85</v>
      </c>
      <c r="I126" s="211"/>
      <c r="J126" s="211" t="s">
        <v>87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452.53179933665</v>
      </c>
      <c r="B128" s="338" t="n">
        <f aca="false">IF(A105="YES", B89, 0)</f>
        <v>60</v>
      </c>
      <c r="C128" s="394"/>
      <c r="D128" s="338" t="n">
        <f aca="false">B91</f>
        <v>512.53179933665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300</v>
      </c>
      <c r="H129" s="434" t="s">
        <v>301</v>
      </c>
      <c r="I129" s="434"/>
      <c r="J129" s="434" t="s">
        <v>302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4072.78619402985</v>
      </c>
      <c r="C131" s="280"/>
      <c r="D131" s="38" t="n">
        <f aca="false">IF(A105="YES", B89*B57, 0)</f>
        <v>540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280"/>
      <c r="D137" s="38" t="n">
        <f aca="false">B91</f>
        <v>512.53179933665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297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127</v>
      </c>
      <c r="B167" s="366" t="s">
        <v>39</v>
      </c>
      <c r="C167" s="367"/>
      <c r="D167" s="366" t="s">
        <v>85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289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120</v>
      </c>
      <c r="B170" s="366" t="s">
        <v>298</v>
      </c>
      <c r="C170" s="367"/>
      <c r="D170" s="366" t="s">
        <v>299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452.53179933665</v>
      </c>
      <c r="B171" s="367" t="n">
        <f aca="false">IF(A105="YES", B89, 0)</f>
        <v>60</v>
      </c>
      <c r="C171" s="395"/>
      <c r="D171" s="367" t="n">
        <f aca="false">B91</f>
        <v>512.53179933665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304</v>
      </c>
      <c r="C173" s="226"/>
      <c r="D173" s="370" t="s">
        <v>305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4072.78619402985</v>
      </c>
      <c r="C174" s="282"/>
      <c r="D174" s="99" t="n">
        <f aca="false">IF(A105="YES", B89*B57, 0)</f>
        <v>540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310</v>
      </c>
      <c r="B176" s="163" t="s">
        <v>311</v>
      </c>
      <c r="C176" s="285"/>
      <c r="D176" s="237" t="s">
        <v>205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120</v>
      </c>
      <c r="B179" s="373" t="s">
        <v>298</v>
      </c>
      <c r="C179" s="282"/>
      <c r="D179" s="282" t="s">
        <v>299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282"/>
      <c r="D180" s="99" t="n">
        <f aca="false">B91</f>
        <v>512.53179933665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318</v>
      </c>
      <c r="C182" s="99"/>
      <c r="D182" s="374" t="s">
        <v>74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322</v>
      </c>
      <c r="B185" s="374" t="s">
        <v>53</v>
      </c>
      <c r="C185" s="99"/>
      <c r="D185" s="374" t="s">
        <v>282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325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326</v>
      </c>
      <c r="B190" s="282" t="s">
        <v>327</v>
      </c>
      <c r="C190" s="282"/>
      <c r="D190" s="282" t="s">
        <v>328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332</v>
      </c>
      <c r="B193" s="282" t="s">
        <v>324</v>
      </c>
      <c r="C193" s="282"/>
      <c r="D193" s="282" t="s">
        <v>321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333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211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212</v>
      </c>
      <c r="B203" s="376" t="n">
        <f aca="false">H29</f>
        <v>12</v>
      </c>
      <c r="C203" s="338" t="s">
        <v>214</v>
      </c>
      <c r="D203" s="377" t="n">
        <f aca="false">D64</f>
        <v>2012.49972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215</v>
      </c>
      <c r="B205" s="338" t="n">
        <f aca="false">B213</f>
        <v>374.05</v>
      </c>
      <c r="C205" s="337" t="s">
        <v>216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217</v>
      </c>
      <c r="B207" s="338" t="n">
        <f aca="false">E217</f>
        <v>2098.43972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212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214</v>
      </c>
      <c r="B211" s="100" t="n">
        <f aca="false">D64</f>
        <v>2012.49972</v>
      </c>
      <c r="C211" s="381" t="s">
        <v>220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220</v>
      </c>
      <c r="B213" s="100" t="n">
        <f aca="false">B67</f>
        <v>374.05</v>
      </c>
      <c r="C213" s="351" t="s">
        <v>334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334</v>
      </c>
      <c r="B215" s="237" t="n">
        <f aca="false">B191*E213*100</f>
        <v>40</v>
      </c>
      <c r="C215" s="351" t="s">
        <v>222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335</v>
      </c>
      <c r="B217" s="237" t="n">
        <f aca="false">B78-(B78*(E213*100))</f>
        <v>200</v>
      </c>
      <c r="C217" s="351" t="s">
        <v>217</v>
      </c>
      <c r="D217" s="280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336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337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224</v>
      </c>
      <c r="B223" s="100" t="n">
        <f aca="false">B71</f>
        <v>200</v>
      </c>
      <c r="C223" s="351" t="s">
        <v>225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226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227</v>
      </c>
      <c r="B225" s="386" t="n">
        <f aca="false">B68</f>
        <v>0.0075</v>
      </c>
      <c r="C225" s="351" t="s">
        <v>228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229</v>
      </c>
      <c r="D226" s="358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230</v>
      </c>
      <c r="B227" s="100" t="n">
        <f aca="false">B79</f>
        <v>200</v>
      </c>
      <c r="C227" s="387" t="s">
        <v>338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231</v>
      </c>
      <c r="B229" s="100" t="n">
        <f aca="false">B80</f>
        <v>200</v>
      </c>
      <c r="C229" s="391" t="s">
        <v>339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347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128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182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183</v>
      </c>
      <c r="B30" s="169" t="s">
        <v>348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84</v>
      </c>
      <c r="B32" s="211" t="s">
        <v>85</v>
      </c>
      <c r="C32" s="211"/>
      <c r="D32" s="457" t="s">
        <v>349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350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351</v>
      </c>
      <c r="B35" s="211" t="s">
        <v>352</v>
      </c>
      <c r="C35" s="211"/>
      <c r="D35" s="211" t="s">
        <v>353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354</v>
      </c>
      <c r="B39" s="211" t="s">
        <v>355</v>
      </c>
      <c r="C39" s="211"/>
      <c r="D39" s="211" t="s">
        <v>356</v>
      </c>
      <c r="E39" s="212"/>
      <c r="F39" s="63"/>
      <c r="G39" s="63" t="s">
        <v>86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108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357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358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359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78</v>
      </c>
      <c r="B44" s="211"/>
      <c r="C44" s="373" t="s">
        <v>79</v>
      </c>
      <c r="D44" s="373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363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463" t="s">
        <v>364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365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86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86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87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87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304" t="s">
        <v>277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92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92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77"/>
      <c r="E65" s="212"/>
      <c r="F65" s="63"/>
      <c r="G65" s="304" t="s">
        <v>93</v>
      </c>
      <c r="H65" s="305" t="n">
        <v>0.01</v>
      </c>
      <c r="I65" s="211"/>
      <c r="J65" s="211"/>
      <c r="K65" s="212"/>
      <c r="L65" s="63"/>
      <c r="M65" s="304" t="s">
        <v>93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0.0195833333333333</v>
      </c>
      <c r="C66" s="466" t="s">
        <v>220</v>
      </c>
      <c r="D66" s="211"/>
      <c r="E66" s="212"/>
      <c r="F66" s="63"/>
      <c r="G66" s="210" t="s">
        <v>94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94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(B61*B66)</f>
        <v>732.495</v>
      </c>
      <c r="C67" s="467" t="s">
        <v>220</v>
      </c>
      <c r="D67" s="468"/>
      <c r="E67" s="212"/>
      <c r="F67" s="63"/>
      <c r="G67" s="310" t="s">
        <v>95</v>
      </c>
      <c r="H67" s="129" t="n">
        <f aca="false">(H61*H66)/1.2</f>
        <v>0</v>
      </c>
      <c r="I67" s="211"/>
      <c r="J67" s="277"/>
      <c r="K67" s="212"/>
      <c r="L67" s="63"/>
      <c r="M67" s="310" t="s">
        <v>95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469"/>
      <c r="D68" s="277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304" t="s">
        <v>96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407" t="s">
        <v>97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310" t="s">
        <v>98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304" t="s">
        <v>99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407" t="s">
        <v>100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226</v>
      </c>
      <c r="F73" s="63"/>
      <c r="G73" s="310" t="s">
        <v>101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101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165</v>
      </c>
      <c r="C74" s="211"/>
      <c r="D74" s="211"/>
      <c r="E74" s="212"/>
      <c r="F74" s="63"/>
      <c r="G74" s="304" t="s">
        <v>279</v>
      </c>
      <c r="H74" s="410" t="n">
        <v>165</v>
      </c>
      <c r="I74" s="211"/>
      <c r="J74" s="211"/>
      <c r="K74" s="212"/>
      <c r="L74" s="63"/>
      <c r="M74" s="413" t="s">
        <v>279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</v>
      </c>
      <c r="C75" s="211"/>
      <c r="D75" s="211"/>
      <c r="E75" s="212"/>
      <c r="F75" s="63"/>
      <c r="G75" s="407" t="s">
        <v>280</v>
      </c>
      <c r="H75" s="411" t="n">
        <v>0</v>
      </c>
      <c r="I75" s="211"/>
      <c r="J75" s="211"/>
      <c r="K75" s="212"/>
      <c r="L75" s="63"/>
      <c r="M75" s="415" t="s">
        <v>280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281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281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282</v>
      </c>
      <c r="B77" s="127" t="n">
        <f aca="false">B102/(1-0.1)</f>
        <v>0</v>
      </c>
      <c r="C77" s="472"/>
      <c r="D77" s="277" t="n">
        <f aca="false">B77</f>
        <v>0</v>
      </c>
      <c r="E77" s="465" t="n">
        <f aca="false">D77/(B58+B57)</f>
        <v>0</v>
      </c>
      <c r="F77" s="63"/>
      <c r="G77" s="304" t="s">
        <v>282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282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0</v>
      </c>
      <c r="C78" s="472"/>
      <c r="D78" s="277" t="n">
        <f aca="false">B78</f>
        <v>0</v>
      </c>
      <c r="E78" s="465"/>
      <c r="F78" s="63"/>
      <c r="G78" s="210" t="s">
        <v>284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284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102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102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103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103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4246.8225025</v>
      </c>
      <c r="C81" s="472"/>
      <c r="D81" s="473"/>
      <c r="E81" s="465"/>
      <c r="F81" s="63"/>
      <c r="G81" s="422" t="s">
        <v>104</v>
      </c>
      <c r="H81" s="423" t="n">
        <f aca="false">SUM(J64:J80)</f>
        <v>1047.5</v>
      </c>
      <c r="I81" s="211"/>
      <c r="J81" s="211"/>
      <c r="K81" s="212"/>
      <c r="L81" s="63"/>
      <c r="M81" s="422" t="s">
        <v>104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121.337785785714</v>
      </c>
      <c r="C82" s="472"/>
      <c r="D82" s="211"/>
      <c r="E82" s="465"/>
      <c r="F82" s="63"/>
      <c r="G82" s="210" t="s">
        <v>105</v>
      </c>
      <c r="H82" s="419" t="n">
        <f aca="false">H81/H29</f>
        <v>29.9285714285714</v>
      </c>
      <c r="I82" s="211"/>
      <c r="J82" s="211"/>
      <c r="K82" s="212"/>
      <c r="L82" s="63"/>
      <c r="M82" s="210" t="s">
        <v>105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H47</f>
        <v>753.306610758122</v>
      </c>
      <c r="C83" s="472"/>
      <c r="D83" s="211"/>
      <c r="E83" s="465" t="n">
        <f aca="false">B83+E80+E77+E64</f>
        <v>874.644396543837</v>
      </c>
      <c r="F83" s="63"/>
      <c r="G83" s="424" t="s">
        <v>106</v>
      </c>
      <c r="H83" s="425" t="n">
        <f aca="false">H47</f>
        <v>753.306610758122</v>
      </c>
      <c r="I83" s="211"/>
      <c r="J83" s="211"/>
      <c r="K83" s="212"/>
      <c r="L83" s="63"/>
      <c r="M83" s="424" t="s">
        <v>106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((B83*H29)+B81)</f>
        <v>30612.5538790343</v>
      </c>
      <c r="C85" s="472"/>
      <c r="D85" s="472"/>
      <c r="E85" s="465" t="n">
        <f aca="false">B85/(B58+B57)</f>
        <v>874.644396543837</v>
      </c>
      <c r="F85" s="63"/>
      <c r="G85" s="404" t="s">
        <v>116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116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(((B83*H29)+B81)/(1-B70))*B70</f>
        <v>259.323772270964</v>
      </c>
      <c r="C86" s="472" t="s">
        <v>229</v>
      </c>
      <c r="D86" s="211"/>
      <c r="E86" s="465" t="n">
        <f aca="false">B86/(B58+B57)</f>
        <v>7.40925063631326</v>
      </c>
      <c r="F86" s="63"/>
      <c r="G86" s="210" t="s">
        <v>117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117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IF(B110="YES",((B85+B86)-E114),((B85+B86)))</f>
        <v>30871.8776513052</v>
      </c>
      <c r="C87" s="472"/>
      <c r="D87" s="474"/>
      <c r="E87" s="465" t="n">
        <f aca="false">E86+E85</f>
        <v>882.05364718015</v>
      </c>
      <c r="F87" s="63"/>
      <c r="G87" s="310" t="s">
        <v>118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118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119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119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IF(B99=Y98, (B87-D105)/(B58), B87/(B57+B58))</f>
        <v>882.05364718015</v>
      </c>
      <c r="C90" s="472"/>
      <c r="D90" s="211"/>
      <c r="E90" s="475"/>
      <c r="F90" s="63"/>
      <c r="G90" s="427" t="s">
        <v>120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120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882.05364718015</v>
      </c>
      <c r="C91" s="472"/>
      <c r="D91" s="476"/>
      <c r="E91" s="412"/>
      <c r="F91" s="63"/>
      <c r="G91" s="429" t="s">
        <v>121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121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209" t="s">
        <v>287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213" t="s">
        <v>126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265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210" t="s">
        <v>127</v>
      </c>
      <c r="N98" s="211" t="s">
        <v>23</v>
      </c>
      <c r="O98" s="211"/>
      <c r="P98" s="211" t="s">
        <v>288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289</v>
      </c>
      <c r="B99" s="331" t="s">
        <v>130</v>
      </c>
      <c r="C99" s="331"/>
      <c r="D99" s="103" t="n">
        <v>1000</v>
      </c>
      <c r="E99" s="103"/>
      <c r="F99" s="63"/>
      <c r="G99" s="216" t="s">
        <v>289</v>
      </c>
      <c r="H99" s="331" t="s">
        <v>261</v>
      </c>
      <c r="I99" s="331"/>
      <c r="J99" s="103" t="n">
        <v>0</v>
      </c>
      <c r="K99" s="103"/>
      <c r="L99" s="63"/>
      <c r="M99" s="216" t="s">
        <v>289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374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210" t="s">
        <v>290</v>
      </c>
      <c r="N101" s="211" t="s">
        <v>291</v>
      </c>
      <c r="O101" s="211"/>
      <c r="P101" s="211" t="s">
        <v>292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</v>
      </c>
      <c r="C102" s="103"/>
      <c r="D102" s="103" t="n">
        <v>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216" t="s">
        <v>128</v>
      </c>
      <c r="N104" s="63" t="s">
        <v>131</v>
      </c>
      <c r="O104" s="211"/>
      <c r="P104" s="211" t="s">
        <v>142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293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213" t="s">
        <v>294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295</v>
      </c>
      <c r="B110" s="218" t="s">
        <v>19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210" t="s">
        <v>295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</v>
      </c>
      <c r="E112" s="103" t="n">
        <v>6000</v>
      </c>
      <c r="F112" s="63"/>
      <c r="G112" s="210" t="s">
        <v>176</v>
      </c>
      <c r="H112" s="211"/>
      <c r="I112" s="211"/>
      <c r="J112" s="333" t="n">
        <v>0</v>
      </c>
      <c r="K112" s="103" t="n">
        <v>0</v>
      </c>
      <c r="L112" s="63"/>
      <c r="M112" s="210" t="s">
        <v>176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177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177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178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0</v>
      </c>
      <c r="K115" s="212"/>
      <c r="L115" s="63"/>
      <c r="M115" s="210" t="s">
        <v>179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404" t="s">
        <v>138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296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296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213" t="s">
        <v>297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210" t="s">
        <v>183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300</v>
      </c>
      <c r="H126" s="434" t="s">
        <v>301</v>
      </c>
      <c r="I126" s="434"/>
      <c r="J126" s="434" t="s">
        <v>302</v>
      </c>
      <c r="K126" s="212"/>
      <c r="L126" s="63"/>
      <c r="M126" s="433" t="s">
        <v>303</v>
      </c>
      <c r="N126" s="434" t="s">
        <v>248</v>
      </c>
      <c r="O126" s="434"/>
      <c r="P126" s="434" t="s">
        <v>121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882.05364718015</v>
      </c>
      <c r="B128" s="338" t="n">
        <f aca="false">IF(A105="YES", B89, 0)</f>
        <v>0</v>
      </c>
      <c r="C128" s="342"/>
      <c r="D128" s="338" t="n">
        <f aca="false">B91</f>
        <v>882.05364718015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84</v>
      </c>
      <c r="H129" s="211" t="s">
        <v>85</v>
      </c>
      <c r="I129" s="211"/>
      <c r="J129" s="211" t="s">
        <v>87</v>
      </c>
      <c r="K129" s="212"/>
      <c r="L129" s="63"/>
      <c r="M129" s="210" t="s">
        <v>84</v>
      </c>
      <c r="N129" s="211" t="s">
        <v>85</v>
      </c>
      <c r="O129" s="211"/>
      <c r="P129" s="211" t="s">
        <v>87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882.05364718015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210" t="s">
        <v>309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882.05364718015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882.05364718015</v>
      </c>
      <c r="B137" s="38" t="n">
        <f aca="false">IF(A105="YES", B89, 0)</f>
        <v>0</v>
      </c>
      <c r="C137" s="280"/>
      <c r="D137" s="38" t="n">
        <f aca="false">B91</f>
        <v>882.05364718015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210" t="s">
        <v>141</v>
      </c>
      <c r="N138" s="211" t="s">
        <v>316</v>
      </c>
      <c r="O138" s="211"/>
      <c r="P138" s="211" t="s">
        <v>317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210" t="s">
        <v>319</v>
      </c>
      <c r="N141" s="211" t="s">
        <v>320</v>
      </c>
      <c r="O141" s="211"/>
      <c r="P141" s="211" t="s">
        <v>321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210" t="s">
        <v>323</v>
      </c>
      <c r="N144" s="211" t="s">
        <v>324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329</v>
      </c>
      <c r="N147" s="163" t="s">
        <v>330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331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84</v>
      </c>
      <c r="N153" s="247" t="s">
        <v>85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882.05364718015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882.05364718015</v>
      </c>
      <c r="B177" s="367" t="n">
        <f aca="false">IF(A105="YES", B89, 0)</f>
        <v>0</v>
      </c>
      <c r="C177" s="369"/>
      <c r="D177" s="367" t="n">
        <f aca="false">B91</f>
        <v>882.05364718015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882.05364718015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882.05364718015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882.05364718015</v>
      </c>
      <c r="B186" s="99" t="n">
        <f aca="false">IF(A105="YES", B89, 0)</f>
        <v>0</v>
      </c>
      <c r="C186" s="282"/>
      <c r="D186" s="99" t="n">
        <f aca="false">B91</f>
        <v>882.05364718015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732.495</v>
      </c>
      <c r="C211" s="337" t="s">
        <v>216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2344.3175025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D64</f>
        <v>2976.8225025</v>
      </c>
      <c r="C217" s="381" t="s">
        <v>220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B67</f>
        <v>732.495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(B77-(B77*(E219*100)))*0.1</f>
        <v>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B78-(B78*(E219*100))</f>
        <v>0</v>
      </c>
      <c r="C223" s="351" t="s">
        <v>217</v>
      </c>
      <c r="D223" s="280"/>
      <c r="E223" s="33" t="n">
        <f aca="false">(B217-B211+D211)</f>
        <v>2344.3175025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B71</f>
        <v>200</v>
      </c>
      <c r="C229" s="351" t="s">
        <v>225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B68</f>
        <v>0.0075</v>
      </c>
      <c r="C231" s="351" t="s">
        <v>228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B86</f>
        <v>259.323772270964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B79</f>
        <v>200</v>
      </c>
      <c r="C233" s="387" t="s">
        <v>338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B80</f>
        <v>200</v>
      </c>
      <c r="C235" s="391" t="s">
        <v>339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347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128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182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183</v>
      </c>
      <c r="B30" s="169" t="s">
        <v>348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84</v>
      </c>
      <c r="B32" s="211" t="s">
        <v>85</v>
      </c>
      <c r="C32" s="211"/>
      <c r="D32" s="457" t="s">
        <v>349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350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351</v>
      </c>
      <c r="B35" s="211" t="s">
        <v>352</v>
      </c>
      <c r="C35" s="211"/>
      <c r="D35" s="211" t="s">
        <v>353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354</v>
      </c>
      <c r="B39" s="211" t="s">
        <v>355</v>
      </c>
      <c r="C39" s="211"/>
      <c r="D39" s="211" t="s">
        <v>356</v>
      </c>
      <c r="E39" s="212"/>
      <c r="F39" s="63"/>
      <c r="G39" s="63" t="s">
        <v>86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108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357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358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359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78</v>
      </c>
      <c r="B44" s="211"/>
      <c r="C44" s="373" t="s">
        <v>79</v>
      </c>
      <c r="D44" s="373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363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463" t="s">
        <v>364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365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86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86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87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87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304" t="s">
        <v>277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92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92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77"/>
      <c r="E65" s="212"/>
      <c r="F65" s="63"/>
      <c r="G65" s="304" t="s">
        <v>93</v>
      </c>
      <c r="H65" s="305" t="n">
        <v>0.01</v>
      </c>
      <c r="I65" s="211"/>
      <c r="J65" s="211"/>
      <c r="K65" s="212"/>
      <c r="L65" s="63"/>
      <c r="M65" s="304" t="s">
        <v>93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0.0195833333333333</v>
      </c>
      <c r="C66" s="466" t="s">
        <v>220</v>
      </c>
      <c r="D66" s="211"/>
      <c r="E66" s="212"/>
      <c r="F66" s="63"/>
      <c r="G66" s="210" t="s">
        <v>94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94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(B61*B66)</f>
        <v>732.495</v>
      </c>
      <c r="C67" s="467" t="s">
        <v>220</v>
      </c>
      <c r="D67" s="468"/>
      <c r="E67" s="212"/>
      <c r="F67" s="63"/>
      <c r="G67" s="310" t="s">
        <v>95</v>
      </c>
      <c r="H67" s="129" t="n">
        <f aca="false">(H61*H66)/1.2</f>
        <v>0</v>
      </c>
      <c r="I67" s="211"/>
      <c r="J67" s="277"/>
      <c r="K67" s="212"/>
      <c r="L67" s="63"/>
      <c r="M67" s="310" t="s">
        <v>95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469"/>
      <c r="D68" s="277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304" t="s">
        <v>96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407" t="s">
        <v>97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310" t="s">
        <v>98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304" t="s">
        <v>99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407" t="s">
        <v>100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226</v>
      </c>
      <c r="F73" s="63"/>
      <c r="G73" s="310" t="s">
        <v>101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101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165</v>
      </c>
      <c r="C74" s="211"/>
      <c r="D74" s="211"/>
      <c r="E74" s="212"/>
      <c r="F74" s="63"/>
      <c r="G74" s="304" t="s">
        <v>279</v>
      </c>
      <c r="H74" s="410" t="n">
        <v>165</v>
      </c>
      <c r="I74" s="211"/>
      <c r="J74" s="211"/>
      <c r="K74" s="212"/>
      <c r="L74" s="63"/>
      <c r="M74" s="413" t="s">
        <v>279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</v>
      </c>
      <c r="C75" s="211"/>
      <c r="D75" s="211"/>
      <c r="E75" s="212"/>
      <c r="F75" s="63"/>
      <c r="G75" s="407" t="s">
        <v>280</v>
      </c>
      <c r="H75" s="411" t="n">
        <v>0</v>
      </c>
      <c r="I75" s="211"/>
      <c r="J75" s="211"/>
      <c r="K75" s="212"/>
      <c r="L75" s="63"/>
      <c r="M75" s="415" t="s">
        <v>280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281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281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282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12.6984126984127</v>
      </c>
      <c r="F77" s="63"/>
      <c r="G77" s="304" t="s">
        <v>282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282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284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284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102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102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103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103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4913.48916916667</v>
      </c>
      <c r="C81" s="472"/>
      <c r="D81" s="473"/>
      <c r="E81" s="465"/>
      <c r="F81" s="63"/>
      <c r="G81" s="422" t="s">
        <v>104</v>
      </c>
      <c r="H81" s="423" t="n">
        <f aca="false">SUM(J64:J80)</f>
        <v>1047.5</v>
      </c>
      <c r="I81" s="211"/>
      <c r="J81" s="211"/>
      <c r="K81" s="212"/>
      <c r="L81" s="63"/>
      <c r="M81" s="422" t="s">
        <v>104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140.385404833333</v>
      </c>
      <c r="C82" s="472"/>
      <c r="D82" s="211"/>
      <c r="E82" s="465"/>
      <c r="F82" s="63"/>
      <c r="G82" s="210" t="s">
        <v>105</v>
      </c>
      <c r="H82" s="419" t="n">
        <f aca="false">H81/H29</f>
        <v>29.9285714285714</v>
      </c>
      <c r="I82" s="211"/>
      <c r="J82" s="211"/>
      <c r="K82" s="212"/>
      <c r="L82" s="63"/>
      <c r="M82" s="210" t="s">
        <v>105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424" t="s">
        <v>106</v>
      </c>
      <c r="H83" s="425" t="n">
        <f aca="false">H47</f>
        <v>753.306610758122</v>
      </c>
      <c r="I83" s="211"/>
      <c r="J83" s="211"/>
      <c r="K83" s="212"/>
      <c r="L83" s="63"/>
      <c r="M83" s="424" t="s">
        <v>106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404" t="s">
        <v>116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116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(((B83*H29)+B81)/(1-B70))*B70</f>
        <v>264.971210754223</v>
      </c>
      <c r="C86" s="472" t="s">
        <v>229</v>
      </c>
      <c r="D86" s="211"/>
      <c r="E86" s="465" t="n">
        <f aca="false">B86/(B58+B57)</f>
        <v>7.57060602154924</v>
      </c>
      <c r="F86" s="63"/>
      <c r="G86" s="210" t="s">
        <v>117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117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310" t="s">
        <v>118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118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119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119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IF(B99=Y98, (B87-D105)/(B58), B87/(B57+B58))</f>
        <v>1080.0010247313</v>
      </c>
      <c r="C90" s="472"/>
      <c r="D90" s="211"/>
      <c r="E90" s="475"/>
      <c r="F90" s="63"/>
      <c r="G90" s="427" t="s">
        <v>120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120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1080.0010247313</v>
      </c>
      <c r="C91" s="472"/>
      <c r="D91" s="476"/>
      <c r="E91" s="412"/>
      <c r="F91" s="63"/>
      <c r="G91" s="429" t="s">
        <v>121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121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209" t="s">
        <v>287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213" t="s">
        <v>126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265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210" t="s">
        <v>127</v>
      </c>
      <c r="N98" s="211" t="s">
        <v>23</v>
      </c>
      <c r="O98" s="211"/>
      <c r="P98" s="211" t="s">
        <v>288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289</v>
      </c>
      <c r="B99" s="331" t="s">
        <v>130</v>
      </c>
      <c r="C99" s="331"/>
      <c r="D99" s="103" t="n">
        <v>1000</v>
      </c>
      <c r="E99" s="103"/>
      <c r="F99" s="63"/>
      <c r="G99" s="216" t="s">
        <v>289</v>
      </c>
      <c r="H99" s="331" t="s">
        <v>261</v>
      </c>
      <c r="I99" s="331"/>
      <c r="J99" s="103" t="n">
        <v>0</v>
      </c>
      <c r="K99" s="103"/>
      <c r="L99" s="63"/>
      <c r="M99" s="216" t="s">
        <v>289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374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210" t="s">
        <v>290</v>
      </c>
      <c r="N101" s="211" t="s">
        <v>291</v>
      </c>
      <c r="O101" s="211"/>
      <c r="P101" s="211" t="s">
        <v>292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216" t="s">
        <v>128</v>
      </c>
      <c r="N104" s="63" t="s">
        <v>131</v>
      </c>
      <c r="O104" s="211"/>
      <c r="P104" s="211" t="s">
        <v>142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293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213" t="s">
        <v>294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295</v>
      </c>
      <c r="B110" s="218" t="s">
        <v>19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210" t="s">
        <v>295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</v>
      </c>
      <c r="E112" s="103" t="n">
        <v>6000</v>
      </c>
      <c r="F112" s="63"/>
      <c r="G112" s="210" t="s">
        <v>176</v>
      </c>
      <c r="H112" s="211"/>
      <c r="I112" s="211"/>
      <c r="J112" s="333" t="n">
        <v>0</v>
      </c>
      <c r="K112" s="103" t="n">
        <v>0</v>
      </c>
      <c r="L112" s="63"/>
      <c r="M112" s="210" t="s">
        <v>176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177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177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178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0</v>
      </c>
      <c r="K115" s="212"/>
      <c r="L115" s="63"/>
      <c r="M115" s="210" t="s">
        <v>179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404" t="s">
        <v>138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IF(B110="YES",((E118*1.2)+E117)-E114,((E118*1.2)+E117))</f>
        <v>1287.988</v>
      </c>
      <c r="F119" s="63"/>
      <c r="G119" s="432" t="s">
        <v>296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296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213" t="s">
        <v>297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210" t="s">
        <v>183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300</v>
      </c>
      <c r="H126" s="434" t="s">
        <v>301</v>
      </c>
      <c r="I126" s="434"/>
      <c r="J126" s="434" t="s">
        <v>302</v>
      </c>
      <c r="K126" s="212"/>
      <c r="L126" s="63"/>
      <c r="M126" s="433" t="s">
        <v>303</v>
      </c>
      <c r="N126" s="434" t="s">
        <v>248</v>
      </c>
      <c r="O126" s="434"/>
      <c r="P126" s="434" t="s">
        <v>121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1080.0010247313</v>
      </c>
      <c r="B128" s="338" t="n">
        <f aca="false">IF(A105="YES", B89, 0)</f>
        <v>0</v>
      </c>
      <c r="C128" s="342"/>
      <c r="D128" s="338" t="n">
        <f aca="false">B91</f>
        <v>1080.0010247313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84</v>
      </c>
      <c r="H129" s="211" t="s">
        <v>85</v>
      </c>
      <c r="I129" s="211"/>
      <c r="J129" s="211" t="s">
        <v>87</v>
      </c>
      <c r="K129" s="212"/>
      <c r="L129" s="63"/>
      <c r="M129" s="210" t="s">
        <v>84</v>
      </c>
      <c r="N129" s="211" t="s">
        <v>85</v>
      </c>
      <c r="O129" s="211"/>
      <c r="P129" s="211" t="s">
        <v>87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1080.0010247313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210" t="s">
        <v>309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280"/>
      <c r="D137" s="38" t="n">
        <f aca="false">B91</f>
        <v>1080.0010247313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210" t="s">
        <v>141</v>
      </c>
      <c r="N138" s="211" t="s">
        <v>316</v>
      </c>
      <c r="O138" s="211"/>
      <c r="P138" s="211" t="s">
        <v>317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210" t="s">
        <v>319</v>
      </c>
      <c r="N141" s="211" t="s">
        <v>320</v>
      </c>
      <c r="O141" s="211"/>
      <c r="P141" s="211" t="s">
        <v>321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210" t="s">
        <v>323</v>
      </c>
      <c r="N144" s="211" t="s">
        <v>324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329</v>
      </c>
      <c r="N147" s="163" t="s">
        <v>330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331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84</v>
      </c>
      <c r="N153" s="247" t="s">
        <v>85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1080.0010247313</v>
      </c>
      <c r="B177" s="367" t="n">
        <f aca="false">IF(A105="YES", B89, 0)</f>
        <v>0</v>
      </c>
      <c r="C177" s="369"/>
      <c r="D177" s="367" t="n">
        <f aca="false">B91</f>
        <v>1080.0010247313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1080.0010247313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282"/>
      <c r="D186" s="99" t="n">
        <f aca="false">B91</f>
        <v>1080.0010247313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732.495</v>
      </c>
      <c r="C211" s="337" t="s">
        <v>216</v>
      </c>
      <c r="D211" s="377" t="n">
        <f aca="false">B225+E221+B221+B223</f>
        <v>379.99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2624.3175025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D64</f>
        <v>2976.8225025</v>
      </c>
      <c r="C217" s="381" t="s">
        <v>220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B67</f>
        <v>732.495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(B77-(B77*(E219*100)))*0.1</f>
        <v>40</v>
      </c>
      <c r="C221" s="351" t="s">
        <v>222</v>
      </c>
      <c r="D221" s="280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B78-(B78*(E219*100))</f>
        <v>200</v>
      </c>
      <c r="C223" s="351" t="s">
        <v>217</v>
      </c>
      <c r="D223" s="280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B71</f>
        <v>200</v>
      </c>
      <c r="C229" s="351" t="s">
        <v>225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B68</f>
        <v>0.0075</v>
      </c>
      <c r="C231" s="351" t="s">
        <v>228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B79</f>
        <v>200</v>
      </c>
      <c r="C233" s="387" t="s">
        <v>338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B80</f>
        <v>200</v>
      </c>
      <c r="C235" s="391" t="s">
        <v>339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145</v>
      </c>
      <c r="C2" s="481" t="s">
        <v>146</v>
      </c>
      <c r="D2" s="481" t="s">
        <v>147</v>
      </c>
      <c r="E2" s="482" t="s">
        <v>148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151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152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153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45011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119</v>
      </c>
      <c r="B43" s="236" t="s">
        <v>69</v>
      </c>
      <c r="C43" s="226" t="s">
        <v>65</v>
      </c>
      <c r="D43" s="236" t="s">
        <v>208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271</v>
      </c>
      <c r="B44" s="100" t="s">
        <v>272</v>
      </c>
      <c r="C44" s="100"/>
      <c r="D44" s="100" t="s">
        <v>272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-170.625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273</v>
      </c>
      <c r="B46" s="226" t="s">
        <v>274</v>
      </c>
      <c r="C46" s="226" t="s">
        <v>4</v>
      </c>
      <c r="D46" s="226"/>
      <c r="E46" s="239"/>
      <c r="F46" s="265" t="n">
        <v>0</v>
      </c>
      <c r="G46" s="2" t="s">
        <v>72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273</v>
      </c>
      <c r="B47" s="226"/>
      <c r="C47" s="226"/>
      <c r="D47" s="226"/>
      <c r="E47" s="239"/>
      <c r="F47" s="265"/>
      <c r="G47" s="2" t="s">
        <v>73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75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76</v>
      </c>
      <c r="H49" s="2" t="n">
        <f aca="false">H45+H48+H47</f>
        <v>-167.958333333333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26"/>
      <c r="E50" s="239"/>
      <c r="F50" s="265"/>
      <c r="G50" s="2" t="s">
        <v>275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273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86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86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86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87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/>
      <c r="D64" s="280"/>
      <c r="E64" s="283"/>
      <c r="F64" s="265"/>
      <c r="G64" s="281" t="s">
        <v>87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87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277</v>
      </c>
      <c r="B68" s="307" t="n">
        <v>0.07</v>
      </c>
      <c r="C68" s="280"/>
      <c r="D68" s="280"/>
      <c r="E68" s="283"/>
      <c r="F68" s="265"/>
      <c r="G68" s="306" t="s">
        <v>277</v>
      </c>
      <c r="H68" s="307" t="n">
        <v>0.07</v>
      </c>
      <c r="I68" s="280"/>
      <c r="J68" s="280"/>
      <c r="K68" s="283"/>
      <c r="L68" s="265"/>
      <c r="M68" s="306" t="s">
        <v>277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278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278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278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92</v>
      </c>
      <c r="B70" s="65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92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92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93</v>
      </c>
      <c r="B71" s="307" t="n">
        <v>0.01</v>
      </c>
      <c r="C71" s="280"/>
      <c r="D71" s="280"/>
      <c r="E71" s="283"/>
      <c r="F71" s="265"/>
      <c r="G71" s="306" t="s">
        <v>93</v>
      </c>
      <c r="H71" s="307" t="n">
        <v>0.005</v>
      </c>
      <c r="I71" s="280"/>
      <c r="J71" s="280"/>
      <c r="K71" s="283"/>
      <c r="L71" s="265"/>
      <c r="M71" s="306" t="s">
        <v>93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94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94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94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95</v>
      </c>
      <c r="B73" s="65" t="n">
        <f aca="false">B67*B72</f>
        <v>578.85</v>
      </c>
      <c r="C73" s="280"/>
      <c r="D73" s="32"/>
      <c r="E73" s="283"/>
      <c r="F73" s="265"/>
      <c r="G73" s="298" t="s">
        <v>95</v>
      </c>
      <c r="H73" s="65" t="n">
        <f aca="false">H67*H72</f>
        <v>289.425</v>
      </c>
      <c r="I73" s="280"/>
      <c r="J73" s="32"/>
      <c r="K73" s="283"/>
      <c r="L73" s="265"/>
      <c r="M73" s="298" t="s">
        <v>95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96</v>
      </c>
      <c r="B74" s="307" t="n">
        <v>0.0075</v>
      </c>
      <c r="C74" s="280"/>
      <c r="D74" s="280"/>
      <c r="E74" s="283"/>
      <c r="F74" s="265"/>
      <c r="G74" s="306" t="s">
        <v>96</v>
      </c>
      <c r="H74" s="307" t="n">
        <v>0.0075</v>
      </c>
      <c r="I74" s="280"/>
      <c r="J74" s="280"/>
      <c r="K74" s="283"/>
      <c r="L74" s="265"/>
      <c r="M74" s="306" t="s">
        <v>96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97</v>
      </c>
      <c r="B75" s="312" t="n">
        <v>0.12</v>
      </c>
      <c r="C75" s="280"/>
      <c r="D75" s="280"/>
      <c r="E75" s="283"/>
      <c r="F75" s="265"/>
      <c r="G75" s="311" t="s">
        <v>97</v>
      </c>
      <c r="H75" s="312" t="n">
        <v>0.12</v>
      </c>
      <c r="I75" s="280"/>
      <c r="J75" s="280"/>
      <c r="K75" s="283"/>
      <c r="L75" s="265"/>
      <c r="M75" s="311" t="s">
        <v>97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98</v>
      </c>
      <c r="B76" s="313" t="n">
        <f aca="false">B74*(1+B75)</f>
        <v>0.0084</v>
      </c>
      <c r="C76" s="280"/>
      <c r="D76" s="280"/>
      <c r="E76" s="283"/>
      <c r="F76" s="265"/>
      <c r="G76" s="298" t="s">
        <v>98</v>
      </c>
      <c r="H76" s="313" t="n">
        <f aca="false">H74*(1+H75)</f>
        <v>0.0084</v>
      </c>
      <c r="I76" s="280"/>
      <c r="J76" s="280"/>
      <c r="K76" s="283"/>
      <c r="L76" s="265"/>
      <c r="M76" s="298" t="s">
        <v>98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99</v>
      </c>
      <c r="B77" s="86" t="n">
        <v>200</v>
      </c>
      <c r="C77" s="280"/>
      <c r="D77" s="280"/>
      <c r="E77" s="283"/>
      <c r="F77" s="265"/>
      <c r="G77" s="306" t="s">
        <v>99</v>
      </c>
      <c r="H77" s="86" t="n">
        <v>160</v>
      </c>
      <c r="I77" s="280"/>
      <c r="J77" s="280"/>
      <c r="K77" s="283"/>
      <c r="L77" s="265"/>
      <c r="M77" s="306" t="s">
        <v>99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100</v>
      </c>
      <c r="B78" s="77" t="n">
        <v>5</v>
      </c>
      <c r="C78" s="280"/>
      <c r="D78" s="280"/>
      <c r="E78" s="283"/>
      <c r="F78" s="265"/>
      <c r="G78" s="311" t="s">
        <v>100</v>
      </c>
      <c r="H78" s="77" t="n">
        <v>4.5</v>
      </c>
      <c r="I78" s="280"/>
      <c r="J78" s="280"/>
      <c r="K78" s="283"/>
      <c r="L78" s="265"/>
      <c r="M78" s="311" t="s">
        <v>100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101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101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101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279</v>
      </c>
      <c r="B80" s="86" t="n">
        <v>165</v>
      </c>
      <c r="C80" s="280"/>
      <c r="D80" s="280"/>
      <c r="E80" s="314" t="n">
        <f aca="false">E79+D82</f>
        <v>703.333333333333</v>
      </c>
      <c r="F80" s="265"/>
      <c r="G80" s="306" t="s">
        <v>279</v>
      </c>
      <c r="H80" s="86" t="n">
        <v>150</v>
      </c>
      <c r="I80" s="280"/>
      <c r="J80" s="280"/>
      <c r="K80" s="283"/>
      <c r="L80" s="265"/>
      <c r="M80" s="315" t="s">
        <v>279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280</v>
      </c>
      <c r="B81" s="77" t="n">
        <v>355</v>
      </c>
      <c r="C81" s="280"/>
      <c r="D81" s="280"/>
      <c r="E81" s="283" t="n">
        <f aca="false">E80/12</f>
        <v>58.6111111111111</v>
      </c>
      <c r="F81" s="265"/>
      <c r="G81" s="311" t="s">
        <v>280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280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281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281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281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282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282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282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283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284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284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102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102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102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103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103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103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104</v>
      </c>
      <c r="B87" s="323" t="n">
        <f aca="false">SUM(D70:D86)</f>
        <v>5421.95</v>
      </c>
      <c r="C87" s="280"/>
      <c r="D87" s="280"/>
      <c r="E87" s="283"/>
      <c r="F87" s="265"/>
      <c r="G87" s="322" t="s">
        <v>104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104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105</v>
      </c>
      <c r="B88" s="33" t="n">
        <f aca="false">B87/H29</f>
        <v>451.829166666667</v>
      </c>
      <c r="C88" s="280"/>
      <c r="D88" s="280"/>
      <c r="E88" s="283"/>
      <c r="F88" s="265"/>
      <c r="G88" s="281" t="s">
        <v>105</v>
      </c>
      <c r="H88" s="33" t="n">
        <f aca="false">H87/H29</f>
        <v>600.461111111111</v>
      </c>
      <c r="I88" s="280"/>
      <c r="J88" s="280"/>
      <c r="K88" s="283"/>
      <c r="L88" s="265"/>
      <c r="M88" s="281" t="s">
        <v>105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106</v>
      </c>
      <c r="B89" s="59" t="n">
        <f aca="false">H50</f>
        <v>-217.958333333333</v>
      </c>
      <c r="C89" s="280"/>
      <c r="D89" s="280"/>
      <c r="E89" s="283"/>
      <c r="F89" s="265"/>
      <c r="G89" s="324" t="s">
        <v>106</v>
      </c>
      <c r="H89" s="59" t="n">
        <f aca="false">H46</f>
        <v>0</v>
      </c>
      <c r="I89" s="280"/>
      <c r="J89" s="280"/>
      <c r="K89" s="283"/>
      <c r="L89" s="265"/>
      <c r="M89" s="324" t="s">
        <v>106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116</v>
      </c>
      <c r="B91" s="27" t="n">
        <f aca="false">((B89*H29)+B87)*1.2</f>
        <v>3367.74</v>
      </c>
      <c r="C91" s="280"/>
      <c r="D91" s="280"/>
      <c r="E91" s="283"/>
      <c r="F91" s="265"/>
      <c r="G91" s="301" t="s">
        <v>116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116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117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117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117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118</v>
      </c>
      <c r="B93" s="65" t="n">
        <f aca="false">IF(B116="YES",((B91+B92)-E120),(B91+B92))</f>
        <v>-608.486119402985</v>
      </c>
      <c r="C93" s="280"/>
      <c r="D93" s="280"/>
      <c r="E93" s="283"/>
      <c r="F93" s="265"/>
      <c r="G93" s="298" t="s">
        <v>118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118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119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119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119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120</v>
      </c>
      <c r="B96" s="327" t="n">
        <f aca="false">IF(B105=Z104, (B93-D111)/(B64), B93/(B63+B64))</f>
        <v>-50.7071766169154</v>
      </c>
      <c r="C96" s="280"/>
      <c r="D96" s="280"/>
      <c r="E96" s="283"/>
      <c r="F96" s="265"/>
      <c r="G96" s="326" t="s">
        <v>120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120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121</v>
      </c>
      <c r="B97" s="329" t="n">
        <f aca="false">IF(A111="YES", B96+B95, B96)</f>
        <v>27.2928233830846</v>
      </c>
      <c r="C97" s="280"/>
      <c r="D97" s="330"/>
      <c r="E97" s="283"/>
      <c r="F97" s="265"/>
      <c r="G97" s="328" t="s">
        <v>121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121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265"/>
      <c r="G100" s="209" t="s">
        <v>286</v>
      </c>
      <c r="H100" s="209"/>
      <c r="I100" s="209"/>
      <c r="J100" s="209"/>
      <c r="K100" s="209"/>
      <c r="L100" s="265"/>
      <c r="M100" s="209" t="s">
        <v>287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265"/>
      <c r="G102" s="213" t="s">
        <v>126</v>
      </c>
      <c r="H102" s="213"/>
      <c r="I102" s="213"/>
      <c r="J102" s="213"/>
      <c r="K102" s="213"/>
      <c r="L102" s="265"/>
      <c r="M102" s="213" t="s">
        <v>126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130</v>
      </c>
    </row>
    <row r="104" customFormat="false" ht="18.75" hidden="false" customHeight="true" outlineLevel="0" collapsed="false">
      <c r="A104" s="281" t="s">
        <v>127</v>
      </c>
      <c r="B104" s="280" t="s">
        <v>23</v>
      </c>
      <c r="C104" s="280"/>
      <c r="D104" s="280" t="s">
        <v>288</v>
      </c>
      <c r="E104" s="283"/>
      <c r="F104" s="265"/>
      <c r="G104" s="281" t="s">
        <v>127</v>
      </c>
      <c r="H104" s="280" t="s">
        <v>23</v>
      </c>
      <c r="I104" s="280"/>
      <c r="J104" s="280" t="s">
        <v>288</v>
      </c>
      <c r="K104" s="283"/>
      <c r="L104" s="265"/>
      <c r="M104" s="281" t="s">
        <v>127</v>
      </c>
      <c r="N104" s="280" t="s">
        <v>23</v>
      </c>
      <c r="O104" s="280"/>
      <c r="P104" s="280" t="s">
        <v>288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340</v>
      </c>
      <c r="C105" s="331"/>
      <c r="D105" s="332" t="n">
        <v>1000</v>
      </c>
      <c r="E105" s="332"/>
      <c r="F105" s="265"/>
      <c r="G105" s="284" t="s">
        <v>289</v>
      </c>
      <c r="H105" s="331" t="s">
        <v>265</v>
      </c>
      <c r="I105" s="331"/>
      <c r="J105" s="332" t="n">
        <v>5000</v>
      </c>
      <c r="K105" s="332"/>
      <c r="L105" s="265"/>
      <c r="M105" s="284" t="s">
        <v>289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290</v>
      </c>
      <c r="B107" s="280" t="s">
        <v>291</v>
      </c>
      <c r="C107" s="280"/>
      <c r="D107" s="280" t="s">
        <v>292</v>
      </c>
      <c r="E107" s="283"/>
      <c r="F107" s="265"/>
      <c r="G107" s="281" t="s">
        <v>290</v>
      </c>
      <c r="H107" s="280" t="s">
        <v>291</v>
      </c>
      <c r="I107" s="280"/>
      <c r="J107" s="280" t="s">
        <v>292</v>
      </c>
      <c r="K107" s="283"/>
      <c r="L107" s="265"/>
      <c r="M107" s="281" t="s">
        <v>290</v>
      </c>
      <c r="N107" s="280" t="s">
        <v>291</v>
      </c>
      <c r="O107" s="280"/>
      <c r="P107" s="280" t="s">
        <v>292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128</v>
      </c>
      <c r="B110" s="265" t="s">
        <v>131</v>
      </c>
      <c r="C110" s="280"/>
      <c r="D110" s="280" t="s">
        <v>142</v>
      </c>
      <c r="E110" s="283"/>
      <c r="F110" s="265"/>
      <c r="G110" s="284" t="s">
        <v>128</v>
      </c>
      <c r="H110" s="265" t="s">
        <v>131</v>
      </c>
      <c r="I110" s="280"/>
      <c r="J110" s="280" t="s">
        <v>142</v>
      </c>
      <c r="K110" s="283"/>
      <c r="L110" s="265"/>
      <c r="M110" s="284" t="s">
        <v>128</v>
      </c>
      <c r="N110" s="265" t="s">
        <v>131</v>
      </c>
      <c r="O110" s="280"/>
      <c r="P110" s="280" t="s">
        <v>142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s">
        <v>341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293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265"/>
      <c r="G114" s="213" t="s">
        <v>294</v>
      </c>
      <c r="H114" s="213"/>
      <c r="I114" s="213"/>
      <c r="J114" s="213"/>
      <c r="K114" s="213"/>
      <c r="L114" s="265"/>
      <c r="M114" s="213" t="s">
        <v>294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295</v>
      </c>
      <c r="B116" s="286" t="s">
        <v>18</v>
      </c>
      <c r="C116" s="280"/>
      <c r="D116" s="280"/>
      <c r="E116" s="283"/>
      <c r="F116" s="265"/>
      <c r="G116" s="281" t="s">
        <v>295</v>
      </c>
      <c r="H116" s="286" t="s">
        <v>18</v>
      </c>
      <c r="I116" s="280"/>
      <c r="J116" s="280"/>
      <c r="K116" s="283"/>
      <c r="L116" s="265"/>
      <c r="M116" s="281" t="s">
        <v>295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176</v>
      </c>
      <c r="B118" s="280"/>
      <c r="C118" s="280"/>
      <c r="D118" s="333" t="n">
        <v>10000</v>
      </c>
      <c r="E118" s="103" t="n">
        <v>6000</v>
      </c>
      <c r="F118" s="265"/>
      <c r="G118" s="281" t="s">
        <v>176</v>
      </c>
      <c r="H118" s="280"/>
      <c r="I118" s="280"/>
      <c r="J118" s="333" t="n">
        <v>10000</v>
      </c>
      <c r="K118" s="103" t="n">
        <v>5000</v>
      </c>
      <c r="L118" s="265"/>
      <c r="M118" s="281" t="s">
        <v>176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177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177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177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178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178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178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179</v>
      </c>
      <c r="B121" s="280"/>
      <c r="C121" s="280"/>
      <c r="D121" s="39" t="n">
        <f aca="false">D120-E120</f>
        <v>4000</v>
      </c>
      <c r="E121" s="283"/>
      <c r="F121" s="265"/>
      <c r="G121" s="281" t="s">
        <v>179</v>
      </c>
      <c r="H121" s="280"/>
      <c r="I121" s="280"/>
      <c r="J121" s="39" t="n">
        <f aca="false">J120-K120</f>
        <v>5000</v>
      </c>
      <c r="K121" s="283"/>
      <c r="L121" s="265"/>
      <c r="M121" s="281" t="s">
        <v>179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138</v>
      </c>
      <c r="B123" s="302"/>
      <c r="C123" s="302"/>
      <c r="D123" s="302"/>
      <c r="E123" s="27" t="n">
        <f aca="false">D105</f>
        <v>1000</v>
      </c>
      <c r="F123" s="265"/>
      <c r="G123" s="301" t="s">
        <v>138</v>
      </c>
      <c r="H123" s="302"/>
      <c r="I123" s="302"/>
      <c r="J123" s="302"/>
      <c r="K123" s="27" t="n">
        <f aca="false">J105</f>
        <v>5000</v>
      </c>
      <c r="L123" s="265"/>
      <c r="M123" s="301" t="s">
        <v>138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296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296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296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265"/>
      <c r="G128" s="213" t="s">
        <v>297</v>
      </c>
      <c r="H128" s="213"/>
      <c r="I128" s="213"/>
      <c r="J128" s="213"/>
      <c r="K128" s="213"/>
      <c r="L128" s="265"/>
      <c r="M128" s="213" t="s">
        <v>297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265"/>
      <c r="G130" s="281" t="s">
        <v>183</v>
      </c>
      <c r="H130" s="169" t="n">
        <v>0</v>
      </c>
      <c r="I130" s="169"/>
      <c r="J130" s="280"/>
      <c r="K130" s="283"/>
      <c r="L130" s="265"/>
      <c r="M130" s="281" t="s">
        <v>183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84</v>
      </c>
      <c r="H132" s="280" t="s">
        <v>85</v>
      </c>
      <c r="I132" s="280"/>
      <c r="J132" s="280" t="s">
        <v>87</v>
      </c>
      <c r="K132" s="283"/>
      <c r="L132" s="265"/>
      <c r="M132" s="281" t="s">
        <v>84</v>
      </c>
      <c r="N132" s="280" t="s">
        <v>85</v>
      </c>
      <c r="O132" s="280"/>
      <c r="P132" s="280" t="s">
        <v>87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-50.7071766169154</v>
      </c>
      <c r="B134" s="338" t="n">
        <f aca="false">IF(A111="YES", B95, 0)</f>
        <v>78</v>
      </c>
      <c r="C134" s="342"/>
      <c r="D134" s="338" t="n">
        <f aca="false">B97</f>
        <v>27.2928233830846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300</v>
      </c>
      <c r="H135" s="345" t="s">
        <v>301</v>
      </c>
      <c r="I135" s="345"/>
      <c r="J135" s="345" t="s">
        <v>302</v>
      </c>
      <c r="K135" s="283"/>
      <c r="L135" s="265"/>
      <c r="M135" s="344" t="s">
        <v>303</v>
      </c>
      <c r="N135" s="345" t="s">
        <v>248</v>
      </c>
      <c r="O135" s="345"/>
      <c r="P135" s="345" t="s">
        <v>121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-456.364589552238</v>
      </c>
      <c r="C137" s="280"/>
      <c r="D137" s="38" t="n">
        <f aca="false">IF(A111="YES", B95*B63, 0)</f>
        <v>702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306</v>
      </c>
      <c r="H138" s="280" t="s">
        <v>307</v>
      </c>
      <c r="I138" s="280"/>
      <c r="J138" s="280" t="s">
        <v>308</v>
      </c>
      <c r="K138" s="283"/>
      <c r="L138" s="265"/>
      <c r="M138" s="281" t="s">
        <v>309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312</v>
      </c>
      <c r="H141" s="280" t="s">
        <v>313</v>
      </c>
      <c r="I141" s="280"/>
      <c r="J141" s="280" t="s">
        <v>314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280"/>
      <c r="D143" s="38" t="n">
        <f aca="false">B97</f>
        <v>27.2928233830846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315</v>
      </c>
      <c r="H144" s="280" t="s">
        <v>316</v>
      </c>
      <c r="I144" s="280"/>
      <c r="J144" s="280" t="s">
        <v>317</v>
      </c>
      <c r="K144" s="283"/>
      <c r="L144" s="265"/>
      <c r="M144" s="281" t="s">
        <v>141</v>
      </c>
      <c r="N144" s="280" t="s">
        <v>316</v>
      </c>
      <c r="O144" s="280"/>
      <c r="P144" s="280" t="s">
        <v>317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319</v>
      </c>
      <c r="H147" s="280" t="s">
        <v>320</v>
      </c>
      <c r="I147" s="280"/>
      <c r="J147" s="280" t="s">
        <v>321</v>
      </c>
      <c r="K147" s="283"/>
      <c r="L147" s="265"/>
      <c r="M147" s="281" t="s">
        <v>319</v>
      </c>
      <c r="N147" s="280" t="s">
        <v>320</v>
      </c>
      <c r="O147" s="280"/>
      <c r="P147" s="280" t="s">
        <v>321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323</v>
      </c>
      <c r="H150" s="280" t="s">
        <v>324</v>
      </c>
      <c r="I150" s="280"/>
      <c r="J150" s="280"/>
      <c r="K150" s="283"/>
      <c r="L150" s="265"/>
      <c r="M150" s="281" t="s">
        <v>323</v>
      </c>
      <c r="N150" s="280" t="s">
        <v>324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329</v>
      </c>
      <c r="N153" s="39" t="s">
        <v>330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331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265"/>
      <c r="G156" s="246" t="s">
        <v>84</v>
      </c>
      <c r="H156" s="247" t="s">
        <v>85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331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84</v>
      </c>
      <c r="N159" s="247" t="s">
        <v>85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-50.7071766169154</v>
      </c>
      <c r="B177" s="367" t="n">
        <f aca="false">IF(A111="YES", B95, 0)</f>
        <v>78</v>
      </c>
      <c r="C177" s="369"/>
      <c r="D177" s="367" t="n">
        <f aca="false">A177+B177</f>
        <v>27.2928233830846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-456.364589552238</v>
      </c>
      <c r="C180" s="282"/>
      <c r="D180" s="99" t="n">
        <f aca="false">IF(A111="YES", B95*B63, 0)</f>
        <v>702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282"/>
      <c r="D186" s="99" t="n">
        <f aca="false">B97</f>
        <v>27.2928233830846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D70</f>
        <v>4051.95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215</v>
      </c>
      <c r="B211" s="338" t="n">
        <f aca="false">B219</f>
        <v>578.85</v>
      </c>
      <c r="C211" s="337" t="s">
        <v>216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217</v>
      </c>
      <c r="B213" s="338" t="n">
        <f aca="false">E223</f>
        <v>3993.09166666667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214</v>
      </c>
      <c r="B217" s="100" t="n">
        <f aca="false">D70</f>
        <v>4051.95</v>
      </c>
      <c r="C217" s="381" t="s">
        <v>220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220</v>
      </c>
      <c r="B219" s="100" t="n">
        <f aca="false">B73</f>
        <v>578.85</v>
      </c>
      <c r="C219" s="351" t="s">
        <v>334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3993.09166666667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336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23.7738805970149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355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145</v>
      </c>
      <c r="C2" s="481" t="s">
        <v>146</v>
      </c>
      <c r="D2" s="481" t="s">
        <v>147</v>
      </c>
      <c r="E2" s="482" t="s">
        <v>148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151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152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153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45011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273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119</v>
      </c>
      <c r="B43" s="236" t="s">
        <v>69</v>
      </c>
      <c r="C43" s="226" t="s">
        <v>4</v>
      </c>
      <c r="D43" s="236" t="s">
        <v>208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272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-220.625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273</v>
      </c>
      <c r="B46" s="226" t="s">
        <v>274</v>
      </c>
      <c r="C46" s="226" t="s">
        <v>4</v>
      </c>
      <c r="D46" s="226"/>
      <c r="E46" s="239"/>
      <c r="F46" s="265" t="n">
        <v>0</v>
      </c>
      <c r="G46" s="2" t="s">
        <v>72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273</v>
      </c>
      <c r="B47" s="226"/>
      <c r="C47" s="226"/>
      <c r="D47" s="226"/>
      <c r="E47" s="239"/>
      <c r="F47" s="265"/>
      <c r="G47" s="2" t="s">
        <v>73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75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76</v>
      </c>
      <c r="H49" s="2" t="n">
        <f aca="false">H45+H48+H47</f>
        <v>-217.958333333333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275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273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86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86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86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87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87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87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277</v>
      </c>
      <c r="B68" s="307" t="n">
        <v>0.07</v>
      </c>
      <c r="C68" s="280"/>
      <c r="D68" s="280"/>
      <c r="E68" s="283"/>
      <c r="F68" s="265"/>
      <c r="G68" s="306" t="s">
        <v>277</v>
      </c>
      <c r="H68" s="307" t="n">
        <v>0.07</v>
      </c>
      <c r="I68" s="280"/>
      <c r="J68" s="280"/>
      <c r="K68" s="283"/>
      <c r="L68" s="265"/>
      <c r="M68" s="306" t="s">
        <v>277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278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278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278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92</v>
      </c>
      <c r="B70" s="65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92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92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93</v>
      </c>
      <c r="B71" s="307" t="n">
        <v>0.01</v>
      </c>
      <c r="C71" s="280"/>
      <c r="D71" s="280"/>
      <c r="E71" s="283"/>
      <c r="F71" s="265"/>
      <c r="G71" s="306" t="s">
        <v>93</v>
      </c>
      <c r="H71" s="307" t="n">
        <v>0.005</v>
      </c>
      <c r="I71" s="280"/>
      <c r="J71" s="280"/>
      <c r="K71" s="283"/>
      <c r="L71" s="265"/>
      <c r="M71" s="306" t="s">
        <v>93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94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94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94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95</v>
      </c>
      <c r="B73" s="65" t="n">
        <f aca="false">B67*B72</f>
        <v>578.85</v>
      </c>
      <c r="C73" s="280"/>
      <c r="D73" s="32"/>
      <c r="E73" s="283"/>
      <c r="F73" s="265"/>
      <c r="G73" s="298" t="s">
        <v>95</v>
      </c>
      <c r="H73" s="65" t="n">
        <f aca="false">H67*H72</f>
        <v>289.425</v>
      </c>
      <c r="I73" s="280"/>
      <c r="J73" s="32"/>
      <c r="K73" s="283"/>
      <c r="L73" s="265"/>
      <c r="M73" s="298" t="s">
        <v>95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96</v>
      </c>
      <c r="B74" s="307" t="n">
        <v>0.0075</v>
      </c>
      <c r="C74" s="280"/>
      <c r="D74" s="280"/>
      <c r="E74" s="283"/>
      <c r="F74" s="265"/>
      <c r="G74" s="306" t="s">
        <v>96</v>
      </c>
      <c r="H74" s="307" t="n">
        <v>0.0075</v>
      </c>
      <c r="I74" s="280"/>
      <c r="J74" s="280"/>
      <c r="K74" s="283"/>
      <c r="L74" s="265"/>
      <c r="M74" s="306" t="s">
        <v>96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97</v>
      </c>
      <c r="B75" s="312" t="n">
        <v>0.12</v>
      </c>
      <c r="C75" s="280"/>
      <c r="D75" s="280"/>
      <c r="E75" s="283"/>
      <c r="F75" s="265"/>
      <c r="G75" s="311" t="s">
        <v>97</v>
      </c>
      <c r="H75" s="312" t="n">
        <v>0.12</v>
      </c>
      <c r="I75" s="280"/>
      <c r="J75" s="280"/>
      <c r="K75" s="283"/>
      <c r="L75" s="265"/>
      <c r="M75" s="311" t="s">
        <v>97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98</v>
      </c>
      <c r="B76" s="313" t="n">
        <f aca="false">B74*(1+B75)</f>
        <v>0.0084</v>
      </c>
      <c r="C76" s="280"/>
      <c r="D76" s="280"/>
      <c r="E76" s="283"/>
      <c r="F76" s="265"/>
      <c r="G76" s="298" t="s">
        <v>98</v>
      </c>
      <c r="H76" s="313" t="n">
        <f aca="false">H74*(1+H75)</f>
        <v>0.0084</v>
      </c>
      <c r="I76" s="280"/>
      <c r="J76" s="280"/>
      <c r="K76" s="283"/>
      <c r="L76" s="265"/>
      <c r="M76" s="298" t="s">
        <v>98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99</v>
      </c>
      <c r="B77" s="86" t="n">
        <v>200</v>
      </c>
      <c r="C77" s="280"/>
      <c r="D77" s="280"/>
      <c r="E77" s="283"/>
      <c r="F77" s="265"/>
      <c r="G77" s="306" t="s">
        <v>99</v>
      </c>
      <c r="H77" s="86" t="n">
        <v>160</v>
      </c>
      <c r="I77" s="280"/>
      <c r="J77" s="280"/>
      <c r="K77" s="283"/>
      <c r="L77" s="265"/>
      <c r="M77" s="306" t="s">
        <v>99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100</v>
      </c>
      <c r="B78" s="77" t="n">
        <v>5</v>
      </c>
      <c r="C78" s="280"/>
      <c r="D78" s="280"/>
      <c r="E78" s="283"/>
      <c r="F78" s="265"/>
      <c r="G78" s="311" t="s">
        <v>100</v>
      </c>
      <c r="H78" s="77" t="n">
        <v>4.5</v>
      </c>
      <c r="I78" s="280"/>
      <c r="J78" s="280"/>
      <c r="K78" s="283"/>
      <c r="L78" s="265"/>
      <c r="M78" s="311" t="s">
        <v>100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101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101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101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279</v>
      </c>
      <c r="B80" s="86" t="n">
        <v>165</v>
      </c>
      <c r="C80" s="280"/>
      <c r="D80" s="280"/>
      <c r="E80" s="314" t="n">
        <f aca="false">E79+D82</f>
        <v>703.333333333333</v>
      </c>
      <c r="F80" s="265"/>
      <c r="G80" s="306" t="s">
        <v>279</v>
      </c>
      <c r="H80" s="86" t="n">
        <v>150</v>
      </c>
      <c r="I80" s="280"/>
      <c r="J80" s="280"/>
      <c r="K80" s="283"/>
      <c r="L80" s="265"/>
      <c r="M80" s="315" t="s">
        <v>279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280</v>
      </c>
      <c r="B81" s="77" t="n">
        <v>355</v>
      </c>
      <c r="C81" s="280"/>
      <c r="D81" s="280"/>
      <c r="E81" s="283" t="n">
        <f aca="false">E80/12</f>
        <v>58.6111111111111</v>
      </c>
      <c r="F81" s="265"/>
      <c r="G81" s="311" t="s">
        <v>280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280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281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281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281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282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282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282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283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284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284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102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102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102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103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103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103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104</v>
      </c>
      <c r="B87" s="323" t="n">
        <f aca="false">SUM(D70:D86)</f>
        <v>5421.95</v>
      </c>
      <c r="C87" s="280"/>
      <c r="D87" s="280"/>
      <c r="E87" s="283"/>
      <c r="F87" s="265"/>
      <c r="G87" s="322" t="s">
        <v>104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104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105</v>
      </c>
      <c r="B88" s="33" t="n">
        <f aca="false">B87/H29</f>
        <v>451.829166666667</v>
      </c>
      <c r="C88" s="280"/>
      <c r="D88" s="280"/>
      <c r="E88" s="283"/>
      <c r="F88" s="265"/>
      <c r="G88" s="281" t="s">
        <v>105</v>
      </c>
      <c r="H88" s="33" t="n">
        <f aca="false">H87/H29</f>
        <v>600.461111111111</v>
      </c>
      <c r="I88" s="280"/>
      <c r="J88" s="280"/>
      <c r="K88" s="283"/>
      <c r="L88" s="265"/>
      <c r="M88" s="281" t="s">
        <v>105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106</v>
      </c>
      <c r="B89" s="59" t="n">
        <f aca="false">H50</f>
        <v>-217.958333333333</v>
      </c>
      <c r="C89" s="280"/>
      <c r="D89" s="280"/>
      <c r="E89" s="283"/>
      <c r="F89" s="265"/>
      <c r="G89" s="324" t="s">
        <v>106</v>
      </c>
      <c r="H89" s="59" t="n">
        <f aca="false">H46</f>
        <v>0</v>
      </c>
      <c r="I89" s="280"/>
      <c r="J89" s="280"/>
      <c r="K89" s="283"/>
      <c r="L89" s="265"/>
      <c r="M89" s="324" t="s">
        <v>106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116</v>
      </c>
      <c r="B91" s="27" t="n">
        <f aca="false">((B89*H29)+B87)</f>
        <v>2806.45</v>
      </c>
      <c r="C91" s="280"/>
      <c r="D91" s="280"/>
      <c r="E91" s="283"/>
      <c r="F91" s="265"/>
      <c r="G91" s="301" t="s">
        <v>116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116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117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117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117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118</v>
      </c>
      <c r="B93" s="65" t="n">
        <f aca="false">IF(B116="YES",((B91+B92)-E120),(B91+B92))</f>
        <v>-1169.77611940298</v>
      </c>
      <c r="C93" s="280"/>
      <c r="D93" s="280"/>
      <c r="E93" s="283"/>
      <c r="F93" s="265"/>
      <c r="G93" s="298" t="s">
        <v>118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118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119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119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119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120</v>
      </c>
      <c r="B96" s="327" t="n">
        <f aca="false">IF(B105=Z104, (B93-D111)/(B64), B93/(B63+B64))</f>
        <v>-97.481343283582</v>
      </c>
      <c r="C96" s="280" t="s">
        <v>4</v>
      </c>
      <c r="D96" s="280"/>
      <c r="E96" s="283"/>
      <c r="F96" s="265"/>
      <c r="G96" s="326" t="s">
        <v>120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120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121</v>
      </c>
      <c r="B97" s="329" t="n">
        <f aca="false">IF(A111="YES", B96+B95, B96)</f>
        <v>-97.481343283582</v>
      </c>
      <c r="C97" s="280"/>
      <c r="D97" s="330"/>
      <c r="E97" s="283"/>
      <c r="F97" s="265"/>
      <c r="G97" s="328" t="s">
        <v>121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121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265"/>
      <c r="G100" s="209" t="s">
        <v>286</v>
      </c>
      <c r="H100" s="209"/>
      <c r="I100" s="209"/>
      <c r="J100" s="209"/>
      <c r="K100" s="209"/>
      <c r="L100" s="265"/>
      <c r="M100" s="209" t="s">
        <v>287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265"/>
      <c r="G102" s="213" t="s">
        <v>126</v>
      </c>
      <c r="H102" s="213"/>
      <c r="I102" s="213"/>
      <c r="J102" s="213"/>
      <c r="K102" s="213"/>
      <c r="L102" s="265"/>
      <c r="M102" s="213" t="s">
        <v>126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130</v>
      </c>
    </row>
    <row r="104" customFormat="false" ht="18.75" hidden="false" customHeight="true" outlineLevel="0" collapsed="false">
      <c r="A104" s="281" t="s">
        <v>127</v>
      </c>
      <c r="B104" s="280" t="s">
        <v>23</v>
      </c>
      <c r="C104" s="280"/>
      <c r="D104" s="280" t="s">
        <v>288</v>
      </c>
      <c r="E104" s="283"/>
      <c r="F104" s="265"/>
      <c r="G104" s="281" t="s">
        <v>127</v>
      </c>
      <c r="H104" s="280" t="s">
        <v>23</v>
      </c>
      <c r="I104" s="280"/>
      <c r="J104" s="280" t="s">
        <v>288</v>
      </c>
      <c r="K104" s="283"/>
      <c r="L104" s="265"/>
      <c r="M104" s="281" t="s">
        <v>127</v>
      </c>
      <c r="N104" s="280" t="s">
        <v>23</v>
      </c>
      <c r="O104" s="280"/>
      <c r="P104" s="280" t="s">
        <v>288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340</v>
      </c>
      <c r="C105" s="331"/>
      <c r="D105" s="332" t="n">
        <v>1000</v>
      </c>
      <c r="E105" s="332"/>
      <c r="F105" s="265"/>
      <c r="G105" s="284" t="s">
        <v>289</v>
      </c>
      <c r="H105" s="331" t="s">
        <v>265</v>
      </c>
      <c r="I105" s="331"/>
      <c r="J105" s="332" t="n">
        <v>5000</v>
      </c>
      <c r="K105" s="332"/>
      <c r="L105" s="265"/>
      <c r="M105" s="284" t="s">
        <v>289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290</v>
      </c>
      <c r="B107" s="280" t="s">
        <v>291</v>
      </c>
      <c r="C107" s="280"/>
      <c r="D107" s="280" t="s">
        <v>292</v>
      </c>
      <c r="E107" s="283"/>
      <c r="F107" s="265"/>
      <c r="G107" s="281" t="s">
        <v>290</v>
      </c>
      <c r="H107" s="280" t="s">
        <v>291</v>
      </c>
      <c r="I107" s="280"/>
      <c r="J107" s="280" t="s">
        <v>292</v>
      </c>
      <c r="K107" s="283"/>
      <c r="L107" s="265"/>
      <c r="M107" s="281" t="s">
        <v>290</v>
      </c>
      <c r="N107" s="280" t="s">
        <v>291</v>
      </c>
      <c r="O107" s="280"/>
      <c r="P107" s="280" t="s">
        <v>292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128</v>
      </c>
      <c r="B110" s="265" t="s">
        <v>131</v>
      </c>
      <c r="C110" s="280"/>
      <c r="D110" s="280" t="s">
        <v>142</v>
      </c>
      <c r="E110" s="283"/>
      <c r="F110" s="265"/>
      <c r="G110" s="284" t="s">
        <v>128</v>
      </c>
      <c r="H110" s="265" t="s">
        <v>131</v>
      </c>
      <c r="I110" s="280"/>
      <c r="J110" s="280" t="s">
        <v>142</v>
      </c>
      <c r="K110" s="283"/>
      <c r="L110" s="265"/>
      <c r="M110" s="284" t="s">
        <v>128</v>
      </c>
      <c r="N110" s="265" t="s">
        <v>131</v>
      </c>
      <c r="O110" s="280"/>
      <c r="P110" s="280" t="s">
        <v>142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341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293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265"/>
      <c r="G114" s="213" t="s">
        <v>294</v>
      </c>
      <c r="H114" s="213"/>
      <c r="I114" s="213"/>
      <c r="J114" s="213"/>
      <c r="K114" s="213"/>
      <c r="L114" s="265"/>
      <c r="M114" s="213" t="s">
        <v>294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295</v>
      </c>
      <c r="B116" s="286" t="s">
        <v>18</v>
      </c>
      <c r="C116" s="280"/>
      <c r="D116" s="280"/>
      <c r="E116" s="283"/>
      <c r="F116" s="265"/>
      <c r="G116" s="281" t="s">
        <v>295</v>
      </c>
      <c r="H116" s="286" t="s">
        <v>18</v>
      </c>
      <c r="I116" s="280"/>
      <c r="J116" s="280"/>
      <c r="K116" s="283"/>
      <c r="L116" s="265"/>
      <c r="M116" s="281" t="s">
        <v>295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176</v>
      </c>
      <c r="B118" s="280"/>
      <c r="C118" s="280"/>
      <c r="D118" s="333" t="n">
        <v>10000</v>
      </c>
      <c r="E118" s="103" t="n">
        <v>6000</v>
      </c>
      <c r="F118" s="265"/>
      <c r="G118" s="281" t="s">
        <v>176</v>
      </c>
      <c r="H118" s="280"/>
      <c r="I118" s="280"/>
      <c r="J118" s="333" t="n">
        <v>10000</v>
      </c>
      <c r="K118" s="103" t="n">
        <v>5000</v>
      </c>
      <c r="L118" s="265"/>
      <c r="M118" s="281" t="s">
        <v>176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177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177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177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178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178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178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179</v>
      </c>
      <c r="B121" s="280"/>
      <c r="C121" s="280"/>
      <c r="D121" s="39" t="n">
        <f aca="false">D120-E120</f>
        <v>4000</v>
      </c>
      <c r="E121" s="283"/>
      <c r="F121" s="265"/>
      <c r="G121" s="281" t="s">
        <v>179</v>
      </c>
      <c r="H121" s="280"/>
      <c r="I121" s="280"/>
      <c r="J121" s="39" t="n">
        <f aca="false">J120-K120</f>
        <v>5000</v>
      </c>
      <c r="K121" s="283"/>
      <c r="L121" s="265"/>
      <c r="M121" s="281" t="s">
        <v>179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138</v>
      </c>
      <c r="B123" s="302"/>
      <c r="C123" s="302"/>
      <c r="D123" s="302"/>
      <c r="E123" s="27" t="n">
        <f aca="false">D105</f>
        <v>1000</v>
      </c>
      <c r="F123" s="265"/>
      <c r="G123" s="301" t="s">
        <v>138</v>
      </c>
      <c r="H123" s="302"/>
      <c r="I123" s="302"/>
      <c r="J123" s="302"/>
      <c r="K123" s="27" t="n">
        <f aca="false">J105</f>
        <v>5000</v>
      </c>
      <c r="L123" s="265"/>
      <c r="M123" s="301" t="s">
        <v>138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296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296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296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265"/>
      <c r="G128" s="213" t="s">
        <v>297</v>
      </c>
      <c r="H128" s="213"/>
      <c r="I128" s="213"/>
      <c r="J128" s="213"/>
      <c r="K128" s="213"/>
      <c r="L128" s="265"/>
      <c r="M128" s="213" t="s">
        <v>297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265"/>
      <c r="G130" s="281" t="s">
        <v>183</v>
      </c>
      <c r="H130" s="169" t="n">
        <v>0</v>
      </c>
      <c r="I130" s="169"/>
      <c r="J130" s="280"/>
      <c r="K130" s="283"/>
      <c r="L130" s="265"/>
      <c r="M130" s="281" t="s">
        <v>183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84</v>
      </c>
      <c r="H132" s="280" t="s">
        <v>85</v>
      </c>
      <c r="I132" s="280"/>
      <c r="J132" s="280" t="s">
        <v>87</v>
      </c>
      <c r="K132" s="283"/>
      <c r="L132" s="265"/>
      <c r="M132" s="281" t="s">
        <v>84</v>
      </c>
      <c r="N132" s="280" t="s">
        <v>85</v>
      </c>
      <c r="O132" s="280"/>
      <c r="P132" s="280" t="s">
        <v>87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-97.481343283582</v>
      </c>
      <c r="B134" s="338" t="n">
        <f aca="false">IF(A111="YES", B95, 0)</f>
        <v>0</v>
      </c>
      <c r="C134" s="394"/>
      <c r="D134" s="338" t="n">
        <f aca="false">B97</f>
        <v>-97.481343283582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300</v>
      </c>
      <c r="H135" s="345" t="s">
        <v>301</v>
      </c>
      <c r="I135" s="345"/>
      <c r="J135" s="345" t="s">
        <v>302</v>
      </c>
      <c r="K135" s="283"/>
      <c r="L135" s="265"/>
      <c r="M135" s="344" t="s">
        <v>303</v>
      </c>
      <c r="N135" s="345" t="s">
        <v>248</v>
      </c>
      <c r="O135" s="345"/>
      <c r="P135" s="345" t="s">
        <v>121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-877.332089552238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306</v>
      </c>
      <c r="H138" s="280" t="s">
        <v>307</v>
      </c>
      <c r="I138" s="280"/>
      <c r="J138" s="280" t="s">
        <v>308</v>
      </c>
      <c r="K138" s="283"/>
      <c r="L138" s="265"/>
      <c r="M138" s="281" t="s">
        <v>309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312</v>
      </c>
      <c r="H141" s="280" t="s">
        <v>313</v>
      </c>
      <c r="I141" s="280"/>
      <c r="J141" s="280" t="s">
        <v>314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280"/>
      <c r="D143" s="38" t="n">
        <f aca="false">B97</f>
        <v>-97.481343283582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315</v>
      </c>
      <c r="H144" s="280" t="s">
        <v>316</v>
      </c>
      <c r="I144" s="280"/>
      <c r="J144" s="280" t="s">
        <v>317</v>
      </c>
      <c r="K144" s="283"/>
      <c r="L144" s="265"/>
      <c r="M144" s="281" t="s">
        <v>141</v>
      </c>
      <c r="N144" s="280" t="s">
        <v>316</v>
      </c>
      <c r="O144" s="280"/>
      <c r="P144" s="280" t="s">
        <v>317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319</v>
      </c>
      <c r="H147" s="280" t="s">
        <v>320</v>
      </c>
      <c r="I147" s="280"/>
      <c r="J147" s="280" t="s">
        <v>321</v>
      </c>
      <c r="K147" s="283"/>
      <c r="L147" s="265"/>
      <c r="M147" s="281" t="s">
        <v>319</v>
      </c>
      <c r="N147" s="280" t="s">
        <v>320</v>
      </c>
      <c r="O147" s="280"/>
      <c r="P147" s="280" t="s">
        <v>321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323</v>
      </c>
      <c r="H150" s="280" t="s">
        <v>324</v>
      </c>
      <c r="I150" s="280"/>
      <c r="J150" s="280"/>
      <c r="K150" s="283"/>
      <c r="L150" s="265"/>
      <c r="M150" s="281" t="s">
        <v>323</v>
      </c>
      <c r="N150" s="280" t="s">
        <v>324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329</v>
      </c>
      <c r="N153" s="39" t="s">
        <v>330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331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265"/>
      <c r="G156" s="246" t="s">
        <v>84</v>
      </c>
      <c r="H156" s="247" t="s">
        <v>85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331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84</v>
      </c>
      <c r="N159" s="247" t="s">
        <v>85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-97.481343283582</v>
      </c>
      <c r="B177" s="367" t="n">
        <f aca="false">IF(A111="YES", B95, 0)</f>
        <v>0</v>
      </c>
      <c r="C177" s="395"/>
      <c r="D177" s="367" t="n">
        <f aca="false">B91</f>
        <v>2806.45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-877.332089552238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282"/>
      <c r="D186" s="99" t="n">
        <f aca="false">B97</f>
        <v>-97.481343283582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D70</f>
        <v>4051.95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215</v>
      </c>
      <c r="B211" s="338" t="n">
        <f aca="false">B219</f>
        <v>578.85</v>
      </c>
      <c r="C211" s="337" t="s">
        <v>216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217</v>
      </c>
      <c r="B213" s="338" t="n">
        <f aca="false">E223</f>
        <v>3813.09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214</v>
      </c>
      <c r="B217" s="100" t="n">
        <f aca="false">D70</f>
        <v>4051.95</v>
      </c>
      <c r="C217" s="381" t="s">
        <v>220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220</v>
      </c>
      <c r="B219" s="100" t="n">
        <f aca="false">B73</f>
        <v>578.85</v>
      </c>
      <c r="C219" s="351" t="s">
        <v>334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3813.09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23.7738805970149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355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40" activeCellId="0" sqref="K4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/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/>
      <c r="F10" s="151"/>
      <c r="G10" s="153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/>
      <c r="C13" s="151"/>
      <c r="D13" s="151"/>
      <c r="E13" s="151"/>
      <c r="F13" s="151"/>
      <c r="G13" s="153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/>
      <c r="F14" s="151"/>
      <c r="G14" s="153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/>
      <c r="F16" s="151"/>
      <c r="G16" s="153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72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73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74</v>
      </c>
      <c r="B48" s="43"/>
      <c r="C48" s="43"/>
      <c r="D48" s="43"/>
      <c r="E48" s="43"/>
      <c r="F48" s="43"/>
      <c r="G48" s="43"/>
      <c r="H48" s="47"/>
      <c r="J48" s="55" t="s">
        <v>75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76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77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78</v>
      </c>
      <c r="B52" s="32"/>
      <c r="C52" s="32" t="s">
        <v>79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80</v>
      </c>
      <c r="K53" s="64" t="s">
        <v>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82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83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84</v>
      </c>
      <c r="B58" s="71" t="s">
        <v>85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86</v>
      </c>
      <c r="B67" s="32" t="n">
        <v>1</v>
      </c>
      <c r="C67" s="32"/>
      <c r="D67" s="32"/>
      <c r="E67" s="23"/>
      <c r="F67" s="23"/>
      <c r="G67" s="23"/>
      <c r="H67" s="33"/>
      <c r="J67" s="31" t="s">
        <v>86</v>
      </c>
      <c r="K67" s="32" t="n">
        <v>1</v>
      </c>
      <c r="L67" s="32"/>
      <c r="M67" s="32"/>
      <c r="N67" s="23"/>
      <c r="O67" s="23"/>
      <c r="P67" s="23"/>
      <c r="Q67" s="33"/>
      <c r="S67" s="31" t="s">
        <v>86</v>
      </c>
      <c r="T67" s="32" t="n">
        <v>1</v>
      </c>
      <c r="U67" s="32"/>
      <c r="V67" s="32"/>
      <c r="W67" s="23"/>
      <c r="X67" s="23"/>
      <c r="Y67" s="23"/>
      <c r="Z67" s="33"/>
      <c r="AB67" s="31" t="s">
        <v>86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87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87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87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87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88</v>
      </c>
      <c r="B69" s="77" t="n">
        <v>10</v>
      </c>
      <c r="C69" s="32"/>
      <c r="D69" s="32"/>
      <c r="E69" s="23"/>
      <c r="F69" s="23"/>
      <c r="G69" s="23"/>
      <c r="H69" s="33"/>
      <c r="J69" s="76" t="s">
        <v>88</v>
      </c>
      <c r="K69" s="77" t="n">
        <v>20</v>
      </c>
      <c r="L69" s="32"/>
      <c r="M69" s="32"/>
      <c r="N69" s="23"/>
      <c r="O69" s="23"/>
      <c r="P69" s="23"/>
      <c r="Q69" s="33"/>
      <c r="S69" s="76" t="s">
        <v>88</v>
      </c>
      <c r="T69" s="77" t="n">
        <v>10</v>
      </c>
      <c r="U69" s="32"/>
      <c r="V69" s="32"/>
      <c r="W69" s="23"/>
      <c r="X69" s="23"/>
      <c r="Y69" s="23"/>
      <c r="Z69" s="33"/>
      <c r="AB69" s="76" t="s">
        <v>88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89</v>
      </c>
      <c r="B71" s="79" t="n">
        <v>0</v>
      </c>
      <c r="C71" s="32"/>
      <c r="D71" s="32"/>
      <c r="E71" s="23"/>
      <c r="F71" s="23"/>
      <c r="G71" s="23"/>
      <c r="H71" s="33"/>
      <c r="J71" s="78" t="s">
        <v>89</v>
      </c>
      <c r="K71" s="79" t="n">
        <v>0.06</v>
      </c>
      <c r="L71" s="32"/>
      <c r="M71" s="32"/>
      <c r="N71" s="23"/>
      <c r="O71" s="23"/>
      <c r="P71" s="23"/>
      <c r="Q71" s="33"/>
      <c r="S71" s="78" t="s">
        <v>89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89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90</v>
      </c>
      <c r="B72" s="81" t="n">
        <v>0.065</v>
      </c>
      <c r="C72" s="32"/>
      <c r="D72" s="32"/>
      <c r="E72" s="23"/>
      <c r="F72" s="23"/>
      <c r="G72" s="23"/>
      <c r="H72" s="33"/>
      <c r="J72" s="80" t="s">
        <v>90</v>
      </c>
      <c r="K72" s="81" t="n">
        <v>0.08</v>
      </c>
      <c r="L72" s="32"/>
      <c r="M72" s="32"/>
      <c r="N72" s="23"/>
      <c r="O72" s="23"/>
      <c r="P72" s="23"/>
      <c r="Q72" s="33"/>
      <c r="S72" s="80" t="s">
        <v>90</v>
      </c>
      <c r="T72" s="81" t="n">
        <v>0.059</v>
      </c>
      <c r="U72" s="32"/>
      <c r="V72" s="32"/>
      <c r="W72" s="23"/>
      <c r="X72" s="23"/>
      <c r="Y72" s="23"/>
      <c r="Z72" s="33"/>
      <c r="AB72" s="80" t="s">
        <v>90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91</v>
      </c>
      <c r="B73" s="83" t="n">
        <v>0.072</v>
      </c>
      <c r="C73" s="32"/>
      <c r="D73" s="32"/>
      <c r="E73" s="23"/>
      <c r="F73" s="23"/>
      <c r="G73" s="23"/>
      <c r="H73" s="33"/>
      <c r="J73" s="82" t="s">
        <v>91</v>
      </c>
      <c r="K73" s="83" t="n">
        <v>0.1</v>
      </c>
      <c r="L73" s="32"/>
      <c r="M73" s="32"/>
      <c r="N73" s="23"/>
      <c r="O73" s="23"/>
      <c r="P73" s="23"/>
      <c r="Q73" s="33"/>
      <c r="S73" s="82" t="s">
        <v>91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91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92</v>
      </c>
      <c r="B74" s="65" t="n">
        <f aca="false">(B98*B68)-(K47*K29)</f>
        <v>21576.8025145607</v>
      </c>
      <c r="C74" s="32"/>
      <c r="D74" s="32"/>
      <c r="E74" s="23"/>
      <c r="F74" s="23"/>
      <c r="G74" s="23"/>
      <c r="H74" s="33"/>
      <c r="J74" s="56" t="s">
        <v>92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92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92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93</v>
      </c>
      <c r="B75" s="79" t="n">
        <v>0.005</v>
      </c>
      <c r="C75" s="32"/>
      <c r="D75" s="32"/>
      <c r="E75" s="23"/>
      <c r="F75" s="23"/>
      <c r="G75" s="23"/>
      <c r="H75" s="33"/>
      <c r="J75" s="78" t="s">
        <v>93</v>
      </c>
      <c r="K75" s="79" t="n">
        <v>0.05</v>
      </c>
      <c r="L75" s="32"/>
      <c r="M75" s="32"/>
      <c r="N75" s="23"/>
      <c r="O75" s="23"/>
      <c r="P75" s="23"/>
      <c r="Q75" s="33"/>
      <c r="S75" s="78" t="s">
        <v>93</v>
      </c>
      <c r="T75" s="79" t="n">
        <v>0.005</v>
      </c>
      <c r="U75" s="32"/>
      <c r="V75" s="32"/>
      <c r="W75" s="23"/>
      <c r="X75" s="23"/>
      <c r="Y75" s="23"/>
      <c r="Z75" s="33"/>
      <c r="AB75" s="78" t="s">
        <v>93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94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94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94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94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95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95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95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95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96</v>
      </c>
      <c r="B78" s="79" t="n">
        <v>0</v>
      </c>
      <c r="C78" s="32"/>
      <c r="D78" s="32"/>
      <c r="E78" s="23"/>
      <c r="F78" s="23"/>
      <c r="G78" s="23"/>
      <c r="H78" s="33"/>
      <c r="J78" s="78" t="s">
        <v>96</v>
      </c>
      <c r="K78" s="79" t="n">
        <v>0</v>
      </c>
      <c r="L78" s="32"/>
      <c r="M78" s="32"/>
      <c r="N78" s="23"/>
      <c r="O78" s="23"/>
      <c r="P78" s="23"/>
      <c r="Q78" s="33"/>
      <c r="S78" s="78" t="s">
        <v>96</v>
      </c>
      <c r="T78" s="79" t="n">
        <v>0</v>
      </c>
      <c r="U78" s="32"/>
      <c r="V78" s="32"/>
      <c r="W78" s="23"/>
      <c r="X78" s="23"/>
      <c r="Y78" s="23"/>
      <c r="Z78" s="33"/>
      <c r="AB78" s="78" t="s">
        <v>96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97</v>
      </c>
      <c r="B79" s="81" t="n">
        <v>0</v>
      </c>
      <c r="C79" s="32"/>
      <c r="D79" s="32"/>
      <c r="E79" s="23"/>
      <c r="F79" s="23"/>
      <c r="G79" s="23"/>
      <c r="H79" s="33"/>
      <c r="J79" s="80" t="s">
        <v>97</v>
      </c>
      <c r="K79" s="81" t="n">
        <v>0</v>
      </c>
      <c r="L79" s="32"/>
      <c r="M79" s="32"/>
      <c r="N79" s="23"/>
      <c r="O79" s="23"/>
      <c r="P79" s="23"/>
      <c r="Q79" s="33"/>
      <c r="S79" s="80" t="s">
        <v>97</v>
      </c>
      <c r="T79" s="81" t="n">
        <v>0</v>
      </c>
      <c r="U79" s="32"/>
      <c r="V79" s="32"/>
      <c r="W79" s="23"/>
      <c r="X79" s="23"/>
      <c r="Y79" s="23"/>
      <c r="Z79" s="33"/>
      <c r="AB79" s="80" t="s">
        <v>97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98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98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98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98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99</v>
      </c>
      <c r="B81" s="86" t="n">
        <v>0</v>
      </c>
      <c r="C81" s="32"/>
      <c r="D81" s="32"/>
      <c r="E81" s="23"/>
      <c r="F81" s="23"/>
      <c r="G81" s="23"/>
      <c r="H81" s="33"/>
      <c r="J81" s="78" t="s">
        <v>99</v>
      </c>
      <c r="K81" s="86" t="n">
        <v>0</v>
      </c>
      <c r="L81" s="32"/>
      <c r="M81" s="32"/>
      <c r="N81" s="23"/>
      <c r="O81" s="23"/>
      <c r="P81" s="23"/>
      <c r="Q81" s="33"/>
      <c r="S81" s="78" t="s">
        <v>99</v>
      </c>
      <c r="T81" s="86" t="n">
        <v>0</v>
      </c>
      <c r="U81" s="32"/>
      <c r="V81" s="32"/>
      <c r="W81" s="23"/>
      <c r="X81" s="23"/>
      <c r="Y81" s="23"/>
      <c r="Z81" s="33"/>
      <c r="AB81" s="78" t="s">
        <v>99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100</v>
      </c>
      <c r="B82" s="77" t="n">
        <v>0</v>
      </c>
      <c r="C82" s="32"/>
      <c r="D82" s="32"/>
      <c r="E82" s="23"/>
      <c r="F82" s="23"/>
      <c r="G82" s="23"/>
      <c r="H82" s="33"/>
      <c r="J82" s="80" t="s">
        <v>100</v>
      </c>
      <c r="K82" s="77" t="n">
        <v>0</v>
      </c>
      <c r="L82" s="32"/>
      <c r="M82" s="32"/>
      <c r="N82" s="23"/>
      <c r="O82" s="23"/>
      <c r="P82" s="23"/>
      <c r="Q82" s="33"/>
      <c r="S82" s="80" t="s">
        <v>100</v>
      </c>
      <c r="T82" s="77" t="n">
        <v>0</v>
      </c>
      <c r="U82" s="32"/>
      <c r="V82" s="32"/>
      <c r="W82" s="23"/>
      <c r="X82" s="23"/>
      <c r="Y82" s="23"/>
      <c r="Z82" s="33"/>
      <c r="AB82" s="80" t="s">
        <v>100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101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101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101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101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102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102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102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102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103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103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103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103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104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104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104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104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105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105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105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105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106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106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106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106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107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107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107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107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108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108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108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108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109</v>
      </c>
      <c r="B92" s="84" t="n">
        <f aca="false">B71+B72+B73</f>
        <v>0.137</v>
      </c>
      <c r="C92" s="32"/>
      <c r="D92" s="32"/>
      <c r="E92" s="23"/>
      <c r="F92" s="23"/>
      <c r="G92" s="23"/>
      <c r="H92" s="33"/>
      <c r="J92" s="31" t="s">
        <v>109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109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109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110</v>
      </c>
      <c r="B93" s="84" t="n">
        <f aca="false">B92/12</f>
        <v>0.0114166666666667</v>
      </c>
      <c r="C93" s="32"/>
      <c r="D93" s="32"/>
      <c r="E93" s="23"/>
      <c r="F93" s="23"/>
      <c r="G93" s="23"/>
      <c r="H93" s="33"/>
      <c r="J93" s="31" t="s">
        <v>110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110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110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111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111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111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111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112</v>
      </c>
      <c r="B95" s="33" t="n">
        <f aca="false">(B91/((1+B93)^(B94+1)))</f>
        <v>4125.32107917265</v>
      </c>
      <c r="C95" s="32"/>
      <c r="D95" s="32"/>
      <c r="E95" s="23"/>
      <c r="F95" s="23"/>
      <c r="G95" s="23"/>
      <c r="H95" s="33"/>
      <c r="J95" s="31" t="s">
        <v>112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112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112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113</v>
      </c>
      <c r="B96" s="33" t="n">
        <f aca="false">((1-(1/((1+B93)^B94)))/B93)</f>
        <v>26.6800219733353</v>
      </c>
      <c r="C96" s="32"/>
      <c r="D96" s="32"/>
      <c r="E96" s="23"/>
      <c r="F96" s="23"/>
      <c r="G96" s="23"/>
      <c r="H96" s="33"/>
      <c r="J96" s="31" t="s">
        <v>113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113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113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114</v>
      </c>
      <c r="B97" s="33" t="n">
        <f aca="false">B90-B95</f>
        <v>17999.6789208274</v>
      </c>
      <c r="C97" s="32"/>
      <c r="D97" s="32"/>
      <c r="E97" s="23"/>
      <c r="F97" s="23"/>
      <c r="G97" s="23"/>
      <c r="H97" s="33"/>
      <c r="J97" s="31" t="s">
        <v>114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114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114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115</v>
      </c>
      <c r="B98" s="33" t="n">
        <f aca="false">(B97/B96)</f>
        <v>674.650078580022</v>
      </c>
      <c r="C98" s="32"/>
      <c r="D98" s="32"/>
      <c r="E98" s="23"/>
      <c r="F98" s="23"/>
      <c r="G98" s="23"/>
      <c r="H98" s="33"/>
      <c r="J98" s="31" t="s">
        <v>115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115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115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116</v>
      </c>
      <c r="B99" s="33" t="n">
        <f aca="false">((B98*(B94))+B86)</f>
        <v>21588.8025145607</v>
      </c>
      <c r="C99" s="32"/>
      <c r="D99" s="32"/>
      <c r="E99" s="23"/>
      <c r="F99" s="23"/>
      <c r="G99" s="23"/>
      <c r="H99" s="33"/>
      <c r="J99" s="31" t="s">
        <v>116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116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116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117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117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117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117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118</v>
      </c>
      <c r="B101" s="65" t="n">
        <f aca="false">(B99+B100)</f>
        <v>21588.8025145607</v>
      </c>
      <c r="C101" s="32"/>
      <c r="D101" s="32"/>
      <c r="E101" s="23"/>
      <c r="F101" s="23"/>
      <c r="G101" s="23"/>
      <c r="H101" s="33"/>
      <c r="J101" s="56" t="s">
        <v>118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118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118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119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119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119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119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120</v>
      </c>
      <c r="B104" s="92" t="n">
        <f aca="false">B101/(B94)</f>
        <v>674.650078580022</v>
      </c>
      <c r="C104" s="32"/>
      <c r="D104" s="32"/>
      <c r="E104" s="23"/>
      <c r="F104" s="23"/>
      <c r="G104" s="23"/>
      <c r="H104" s="33"/>
      <c r="J104" s="91" t="s">
        <v>120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120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120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121</v>
      </c>
      <c r="B105" s="94" t="n">
        <f aca="false">B103+B104</f>
        <v>674.650078580022</v>
      </c>
      <c r="C105" s="32"/>
      <c r="D105" s="32"/>
      <c r="E105" s="23" t="s">
        <v>18</v>
      </c>
      <c r="F105" s="23"/>
      <c r="G105" s="23"/>
      <c r="H105" s="33"/>
      <c r="J105" s="93" t="s">
        <v>121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121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121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263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122</v>
      </c>
      <c r="B109" s="96"/>
      <c r="C109" s="96"/>
      <c r="D109" s="96"/>
      <c r="E109" s="96"/>
      <c r="F109" s="96"/>
      <c r="G109" s="96"/>
      <c r="H109" s="96"/>
      <c r="J109" s="24" t="s">
        <v>123</v>
      </c>
      <c r="K109" s="24"/>
      <c r="L109" s="24"/>
      <c r="M109" s="24"/>
      <c r="N109" s="24"/>
      <c r="O109" s="24"/>
      <c r="P109" s="24"/>
      <c r="Q109" s="24"/>
      <c r="S109" s="96" t="s">
        <v>124</v>
      </c>
      <c r="T109" s="96"/>
      <c r="U109" s="96"/>
      <c r="V109" s="96"/>
      <c r="W109" s="96"/>
      <c r="X109" s="96"/>
      <c r="Y109" s="96"/>
      <c r="Z109" s="96"/>
      <c r="AB109" s="96" t="s">
        <v>125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129</v>
      </c>
      <c r="K114" s="101" t="s">
        <v>130</v>
      </c>
      <c r="L114" s="101"/>
      <c r="M114" s="101"/>
      <c r="N114" s="100" t="s">
        <v>18</v>
      </c>
      <c r="O114" s="100"/>
      <c r="P114" s="100"/>
      <c r="Q114" s="98"/>
      <c r="S114" s="36" t="s">
        <v>129</v>
      </c>
      <c r="T114" s="99" t="s">
        <v>130</v>
      </c>
      <c r="U114" s="99"/>
      <c r="V114" s="99"/>
      <c r="W114" s="100" t="s">
        <v>18</v>
      </c>
      <c r="X114" s="100"/>
      <c r="Y114" s="100"/>
      <c r="Z114" s="98"/>
      <c r="AB114" s="36" t="s">
        <v>129</v>
      </c>
      <c r="AC114" s="99" t="s">
        <v>130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98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98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98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134</v>
      </c>
      <c r="C117" s="103"/>
      <c r="D117" s="103"/>
      <c r="E117" s="104" t="n">
        <f aca="false">B92</f>
        <v>0.137</v>
      </c>
      <c r="F117" s="104"/>
      <c r="G117" s="104"/>
      <c r="H117" s="47"/>
      <c r="J117" s="102" t="n">
        <v>0.3</v>
      </c>
      <c r="K117" s="103" t="s">
        <v>134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135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135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98"/>
      <c r="J122" s="106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98"/>
      <c r="S122" s="106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98"/>
      <c r="AB122" s="106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145</v>
      </c>
      <c r="C128" s="110"/>
      <c r="D128" s="110" t="s">
        <v>146</v>
      </c>
      <c r="E128" s="110"/>
      <c r="F128" s="110" t="s">
        <v>147</v>
      </c>
      <c r="G128" s="110"/>
      <c r="H128" s="111" t="s">
        <v>148</v>
      </c>
      <c r="J128" s="78"/>
      <c r="K128" s="110" t="s">
        <v>145</v>
      </c>
      <c r="L128" s="110"/>
      <c r="M128" s="110" t="s">
        <v>146</v>
      </c>
      <c r="N128" s="110"/>
      <c r="O128" s="110" t="s">
        <v>147</v>
      </c>
      <c r="P128" s="110"/>
      <c r="Q128" s="111" t="s">
        <v>148</v>
      </c>
      <c r="S128" s="78"/>
      <c r="T128" s="110" t="s">
        <v>145</v>
      </c>
      <c r="U128" s="110"/>
      <c r="V128" s="110" t="s">
        <v>146</v>
      </c>
      <c r="W128" s="110"/>
      <c r="X128" s="110" t="s">
        <v>147</v>
      </c>
      <c r="Y128" s="110"/>
      <c r="Z128" s="111" t="s">
        <v>148</v>
      </c>
      <c r="AB128" s="78"/>
      <c r="AC128" s="110" t="s">
        <v>145</v>
      </c>
      <c r="AD128" s="110"/>
      <c r="AE128" s="110" t="s">
        <v>146</v>
      </c>
      <c r="AF128" s="110"/>
      <c r="AG128" s="110" t="s">
        <v>147</v>
      </c>
      <c r="AH128" s="110"/>
      <c r="AI128" s="111" t="s">
        <v>148</v>
      </c>
    </row>
    <row r="129" customFormat="false" ht="19.7" hidden="false" customHeight="false" outlineLevel="0" collapsed="false">
      <c r="A129" s="80"/>
      <c r="B129" s="112" t="s">
        <v>149</v>
      </c>
      <c r="C129" s="113" t="s">
        <v>150</v>
      </c>
      <c r="D129" s="112" t="s">
        <v>149</v>
      </c>
      <c r="E129" s="114" t="s">
        <v>150</v>
      </c>
      <c r="F129" s="112" t="s">
        <v>149</v>
      </c>
      <c r="G129" s="114" t="s">
        <v>150</v>
      </c>
      <c r="H129" s="115"/>
      <c r="J129" s="80"/>
      <c r="K129" s="112" t="s">
        <v>149</v>
      </c>
      <c r="L129" s="113" t="s">
        <v>150</v>
      </c>
      <c r="M129" s="112" t="s">
        <v>149</v>
      </c>
      <c r="N129" s="114" t="s">
        <v>150</v>
      </c>
      <c r="O129" s="112" t="s">
        <v>149</v>
      </c>
      <c r="P129" s="114" t="s">
        <v>150</v>
      </c>
      <c r="Q129" s="115"/>
      <c r="S129" s="80"/>
      <c r="T129" s="112" t="s">
        <v>149</v>
      </c>
      <c r="U129" s="113" t="s">
        <v>150</v>
      </c>
      <c r="V129" s="112" t="s">
        <v>149</v>
      </c>
      <c r="W129" s="114" t="s">
        <v>150</v>
      </c>
      <c r="X129" s="112" t="s">
        <v>149</v>
      </c>
      <c r="Y129" s="114" t="s">
        <v>150</v>
      </c>
      <c r="Z129" s="115"/>
      <c r="AB129" s="80"/>
      <c r="AC129" s="112" t="s">
        <v>149</v>
      </c>
      <c r="AD129" s="113" t="s">
        <v>150</v>
      </c>
      <c r="AE129" s="112" t="s">
        <v>149</v>
      </c>
      <c r="AF129" s="114" t="s">
        <v>150</v>
      </c>
      <c r="AG129" s="112" t="s">
        <v>149</v>
      </c>
      <c r="AH129" s="114" t="s">
        <v>150</v>
      </c>
      <c r="AI129" s="115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152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152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152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149</v>
      </c>
      <c r="H136" s="134" t="s">
        <v>150</v>
      </c>
      <c r="J136" s="131"/>
      <c r="K136" s="135"/>
      <c r="L136" s="135"/>
      <c r="M136" s="135"/>
      <c r="N136" s="135"/>
      <c r="O136" s="135"/>
      <c r="P136" s="136" t="s">
        <v>149</v>
      </c>
      <c r="Q136" s="134" t="s">
        <v>150</v>
      </c>
      <c r="S136" s="131"/>
      <c r="T136" s="135"/>
      <c r="U136" s="135"/>
      <c r="V136" s="135"/>
      <c r="W136" s="135"/>
      <c r="X136" s="135"/>
      <c r="Y136" s="136" t="s">
        <v>149</v>
      </c>
      <c r="Z136" s="134" t="s">
        <v>150</v>
      </c>
      <c r="AB136" s="131"/>
      <c r="AC136" s="135"/>
      <c r="AD136" s="135"/>
      <c r="AE136" s="135"/>
      <c r="AF136" s="135"/>
      <c r="AG136" s="135"/>
      <c r="AH136" s="136" t="s">
        <v>149</v>
      </c>
      <c r="AI136" s="134" t="s">
        <v>150</v>
      </c>
    </row>
    <row r="137" customFormat="false" ht="17.35" hidden="false" customHeight="false" outlineLevel="0" collapsed="false">
      <c r="A137" s="137" t="s">
        <v>156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156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156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156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157</v>
      </c>
      <c r="B139" s="141" t="s">
        <v>158</v>
      </c>
      <c r="C139" s="141"/>
      <c r="D139" s="141" t="s">
        <v>159</v>
      </c>
      <c r="E139" s="141"/>
      <c r="F139" s="141" t="s">
        <v>153</v>
      </c>
      <c r="G139" s="141"/>
      <c r="H139" s="142" t="s">
        <v>150</v>
      </c>
      <c r="J139" s="144" t="s">
        <v>157</v>
      </c>
      <c r="K139" s="145" t="s">
        <v>158</v>
      </c>
      <c r="L139" s="145"/>
      <c r="M139" s="141" t="s">
        <v>159</v>
      </c>
      <c r="N139" s="141"/>
      <c r="O139" s="141" t="s">
        <v>153</v>
      </c>
      <c r="P139" s="141"/>
      <c r="Q139" s="142" t="s">
        <v>150</v>
      </c>
      <c r="S139" s="144" t="s">
        <v>157</v>
      </c>
      <c r="T139" s="141" t="s">
        <v>158</v>
      </c>
      <c r="U139" s="141"/>
      <c r="V139" s="141" t="s">
        <v>159</v>
      </c>
      <c r="W139" s="141"/>
      <c r="X139" s="141" t="s">
        <v>153</v>
      </c>
      <c r="Y139" s="141"/>
      <c r="Z139" s="142" t="s">
        <v>150</v>
      </c>
      <c r="AB139" s="144" t="s">
        <v>157</v>
      </c>
      <c r="AC139" s="141" t="s">
        <v>158</v>
      </c>
      <c r="AD139" s="141"/>
      <c r="AE139" s="141" t="s">
        <v>159</v>
      </c>
      <c r="AF139" s="141"/>
      <c r="AG139" s="141" t="s">
        <v>153</v>
      </c>
      <c r="AH139" s="141"/>
      <c r="AI139" s="142" t="s">
        <v>150</v>
      </c>
    </row>
    <row r="140" customFormat="false" ht="17.35" hidden="false" customHeight="false" outlineLevel="0" collapsed="false">
      <c r="A140" s="31" t="s">
        <v>160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160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160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160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161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161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161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162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162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162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163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163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163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163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164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164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164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164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165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165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165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165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166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166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166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166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167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167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167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167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168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168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168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168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169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169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169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169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170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170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170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170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171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171</v>
      </c>
      <c r="K152" s="156"/>
      <c r="L152" s="156"/>
      <c r="M152" s="156"/>
      <c r="N152" s="156"/>
      <c r="O152" s="156"/>
      <c r="P152" s="38"/>
      <c r="Q152" s="33"/>
      <c r="S152" s="107" t="s">
        <v>171</v>
      </c>
      <c r="T152" s="107"/>
      <c r="U152" s="107"/>
      <c r="V152" s="107"/>
      <c r="W152" s="107"/>
      <c r="X152" s="107"/>
      <c r="Y152" s="38"/>
      <c r="Z152" s="33"/>
      <c r="AB152" s="107" t="s">
        <v>171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172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172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172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172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172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172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172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172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172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172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172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172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173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173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173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173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174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174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174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174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176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176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176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177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177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177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178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178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178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179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179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179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180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180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180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181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181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181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181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183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183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183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184</v>
      </c>
      <c r="B175" s="171" t="s">
        <v>185</v>
      </c>
      <c r="C175" s="171"/>
      <c r="D175" s="171"/>
      <c r="E175" s="171" t="s">
        <v>186</v>
      </c>
      <c r="F175" s="23"/>
      <c r="G175" s="23"/>
      <c r="H175" s="33"/>
      <c r="J175" s="170" t="s">
        <v>184</v>
      </c>
      <c r="K175" s="172" t="s">
        <v>185</v>
      </c>
      <c r="L175" s="172"/>
      <c r="M175" s="172"/>
      <c r="N175" s="172" t="s">
        <v>186</v>
      </c>
      <c r="O175" s="23"/>
      <c r="P175" s="23"/>
      <c r="Q175" s="33"/>
      <c r="S175" s="170" t="s">
        <v>184</v>
      </c>
      <c r="T175" s="172" t="s">
        <v>185</v>
      </c>
      <c r="U175" s="172"/>
      <c r="V175" s="172"/>
      <c r="W175" s="172" t="s">
        <v>186</v>
      </c>
      <c r="X175" s="23"/>
      <c r="Y175" s="23"/>
      <c r="Z175" s="33"/>
      <c r="AB175" s="170" t="s">
        <v>184</v>
      </c>
      <c r="AC175" s="172" t="s">
        <v>185</v>
      </c>
      <c r="AD175" s="172"/>
      <c r="AE175" s="172"/>
      <c r="AF175" s="172" t="s">
        <v>186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674.650078580022</v>
      </c>
      <c r="B176" s="174" t="n">
        <f aca="false">B103</f>
        <v>0</v>
      </c>
      <c r="C176" s="171"/>
      <c r="D176" s="171"/>
      <c r="E176" s="174" t="n">
        <f aca="false">B105</f>
        <v>674.650078580022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84</v>
      </c>
      <c r="B178" s="130" t="s">
        <v>85</v>
      </c>
      <c r="C178" s="130"/>
      <c r="D178" s="23"/>
      <c r="E178" s="130" t="s">
        <v>187</v>
      </c>
      <c r="F178" s="23"/>
      <c r="G178" s="23"/>
      <c r="H178" s="33"/>
      <c r="J178" s="31" t="s">
        <v>84</v>
      </c>
      <c r="K178" s="32" t="s">
        <v>85</v>
      </c>
      <c r="L178" s="32"/>
      <c r="M178" s="23"/>
      <c r="N178" s="32" t="s">
        <v>187</v>
      </c>
      <c r="O178" s="23"/>
      <c r="P178" s="23"/>
      <c r="Q178" s="33"/>
      <c r="S178" s="31" t="s">
        <v>84</v>
      </c>
      <c r="T178" s="32" t="s">
        <v>85</v>
      </c>
      <c r="U178" s="32"/>
      <c r="V178" s="23"/>
      <c r="W178" s="32" t="s">
        <v>187</v>
      </c>
      <c r="X178" s="23"/>
      <c r="Y178" s="23"/>
      <c r="Z178" s="33"/>
      <c r="AB178" s="31" t="s">
        <v>84</v>
      </c>
      <c r="AC178" s="32" t="s">
        <v>85</v>
      </c>
      <c r="AD178" s="32"/>
      <c r="AE178" s="23"/>
      <c r="AF178" s="32" t="s">
        <v>187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30" t="s">
        <v>189</v>
      </c>
      <c r="C181" s="130"/>
      <c r="D181" s="23"/>
      <c r="E181" s="130" t="s">
        <v>190</v>
      </c>
      <c r="F181" s="23"/>
      <c r="G181" s="23"/>
      <c r="H181" s="33"/>
      <c r="J181" s="31" t="s">
        <v>188</v>
      </c>
      <c r="K181" s="32" t="s">
        <v>189</v>
      </c>
      <c r="L181" s="32"/>
      <c r="M181" s="23"/>
      <c r="N181" s="32" t="s">
        <v>190</v>
      </c>
      <c r="O181" s="23"/>
      <c r="P181" s="23"/>
      <c r="Q181" s="33"/>
      <c r="S181" s="31" t="s">
        <v>188</v>
      </c>
      <c r="T181" s="32" t="s">
        <v>189</v>
      </c>
      <c r="U181" s="32"/>
      <c r="V181" s="23"/>
      <c r="W181" s="32" t="s">
        <v>190</v>
      </c>
      <c r="X181" s="23"/>
      <c r="Y181" s="23"/>
      <c r="Z181" s="33"/>
      <c r="AB181" s="31" t="s">
        <v>188</v>
      </c>
      <c r="AC181" s="32" t="s">
        <v>189</v>
      </c>
      <c r="AD181" s="32"/>
      <c r="AE181" s="23"/>
      <c r="AF181" s="32" t="s">
        <v>190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191</v>
      </c>
      <c r="B184" s="130" t="s">
        <v>138</v>
      </c>
      <c r="C184" s="130"/>
      <c r="D184" s="23"/>
      <c r="E184" s="130" t="s">
        <v>139</v>
      </c>
      <c r="F184" s="23"/>
      <c r="G184" s="23"/>
      <c r="H184" s="33"/>
      <c r="J184" s="31" t="s">
        <v>191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191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191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130" t="s">
        <v>176</v>
      </c>
      <c r="C187" s="130"/>
      <c r="D187" s="23"/>
      <c r="E187" s="130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192</v>
      </c>
      <c r="B190" s="130" t="s">
        <v>53</v>
      </c>
      <c r="C190" s="130"/>
      <c r="D190" s="23"/>
      <c r="E190" s="130" t="s">
        <v>193</v>
      </c>
      <c r="F190" s="23"/>
      <c r="G190" s="23"/>
      <c r="H190" s="33"/>
      <c r="J190" s="31" t="s">
        <v>192</v>
      </c>
      <c r="K190" s="32" t="s">
        <v>53</v>
      </c>
      <c r="L190" s="32"/>
      <c r="M190" s="23"/>
      <c r="N190" s="32" t="s">
        <v>193</v>
      </c>
      <c r="O190" s="23"/>
      <c r="P190" s="23"/>
      <c r="Q190" s="33"/>
      <c r="S190" s="31" t="s">
        <v>192</v>
      </c>
      <c r="T190" s="32" t="s">
        <v>53</v>
      </c>
      <c r="U190" s="32"/>
      <c r="V190" s="23"/>
      <c r="W190" s="32" t="s">
        <v>193</v>
      </c>
      <c r="X190" s="23"/>
      <c r="Y190" s="23"/>
      <c r="Z190" s="33"/>
      <c r="AB190" s="31" t="s">
        <v>192</v>
      </c>
      <c r="AC190" s="32" t="s">
        <v>53</v>
      </c>
      <c r="AD190" s="32"/>
      <c r="AE190" s="23"/>
      <c r="AF190" s="32" t="s">
        <v>193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-30936.1974854393</v>
      </c>
      <c r="B191" s="99" t="str">
        <f aca="false">B123</f>
        <v>199.99</v>
      </c>
      <c r="C191" s="99"/>
      <c r="D191" s="23"/>
      <c r="E191" s="99" t="n">
        <f aca="false">E188+A191+B191+A194</f>
        <v>27798.7925145607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194</v>
      </c>
      <c r="B193" s="130" t="s">
        <v>195</v>
      </c>
      <c r="C193" s="130"/>
      <c r="D193" s="23"/>
      <c r="E193" s="130" t="s">
        <v>196</v>
      </c>
      <c r="F193" s="23"/>
      <c r="G193" s="23"/>
      <c r="H193" s="33"/>
      <c r="J193" s="31" t="s">
        <v>194</v>
      </c>
      <c r="K193" s="32" t="s">
        <v>195</v>
      </c>
      <c r="L193" s="32"/>
      <c r="M193" s="23"/>
      <c r="N193" s="32" t="s">
        <v>196</v>
      </c>
      <c r="O193" s="23"/>
      <c r="P193" s="23"/>
      <c r="Q193" s="33"/>
      <c r="S193" s="31" t="s">
        <v>194</v>
      </c>
      <c r="T193" s="32" t="s">
        <v>195</v>
      </c>
      <c r="U193" s="32"/>
      <c r="V193" s="23"/>
      <c r="W193" s="32" t="s">
        <v>196</v>
      </c>
      <c r="X193" s="23"/>
      <c r="Y193" s="23"/>
      <c r="Z193" s="33"/>
      <c r="AB193" s="31" t="s">
        <v>194</v>
      </c>
      <c r="AC193" s="32" t="s">
        <v>195</v>
      </c>
      <c r="AD193" s="32"/>
      <c r="AE193" s="23"/>
      <c r="AF193" s="32" t="s">
        <v>196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197</v>
      </c>
      <c r="B196" s="130" t="s">
        <v>198</v>
      </c>
      <c r="C196" s="130"/>
      <c r="D196" s="130"/>
      <c r="E196" s="163" t="s">
        <v>199</v>
      </c>
      <c r="F196" s="23"/>
      <c r="G196" s="23"/>
      <c r="H196" s="33"/>
      <c r="J196" s="31" t="s">
        <v>197</v>
      </c>
      <c r="K196" s="32" t="s">
        <v>198</v>
      </c>
      <c r="L196" s="32"/>
      <c r="M196" s="32"/>
      <c r="N196" s="39" t="s">
        <v>199</v>
      </c>
      <c r="O196" s="23"/>
      <c r="P196" s="23"/>
      <c r="Q196" s="33"/>
      <c r="S196" s="31" t="s">
        <v>197</v>
      </c>
      <c r="T196" s="32" t="s">
        <v>198</v>
      </c>
      <c r="U196" s="32"/>
      <c r="V196" s="32"/>
      <c r="W196" s="39" t="s">
        <v>199</v>
      </c>
      <c r="X196" s="32"/>
      <c r="Y196" s="32"/>
      <c r="Z196" s="33"/>
      <c r="AB196" s="31" t="s">
        <v>197</v>
      </c>
      <c r="AC196" s="32" t="s">
        <v>198</v>
      </c>
      <c r="AD196" s="32"/>
      <c r="AE196" s="32"/>
      <c r="AF196" s="39" t="s">
        <v>199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200</v>
      </c>
      <c r="B199" s="163" t="s">
        <v>201</v>
      </c>
      <c r="C199" s="130"/>
      <c r="D199" s="130"/>
      <c r="E199" s="163" t="s">
        <v>202</v>
      </c>
      <c r="F199" s="23"/>
      <c r="G199" s="23"/>
      <c r="H199" s="33"/>
      <c r="J199" s="60" t="s">
        <v>200</v>
      </c>
      <c r="K199" s="39" t="s">
        <v>201</v>
      </c>
      <c r="L199" s="32"/>
      <c r="M199" s="32"/>
      <c r="N199" s="39" t="s">
        <v>202</v>
      </c>
      <c r="O199" s="23"/>
      <c r="P199" s="23"/>
      <c r="Q199" s="33"/>
      <c r="S199" s="60" t="s">
        <v>200</v>
      </c>
      <c r="T199" s="39" t="s">
        <v>201</v>
      </c>
      <c r="U199" s="32"/>
      <c r="V199" s="32"/>
      <c r="W199" s="39" t="s">
        <v>202</v>
      </c>
      <c r="X199" s="32"/>
      <c r="Y199" s="32"/>
      <c r="Z199" s="33"/>
      <c r="AB199" s="60" t="s">
        <v>200</v>
      </c>
      <c r="AC199" s="39" t="s">
        <v>201</v>
      </c>
      <c r="AD199" s="32"/>
      <c r="AE199" s="32"/>
      <c r="AF199" s="39" t="s">
        <v>202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203</v>
      </c>
      <c r="B202" s="130"/>
      <c r="C202" s="130"/>
      <c r="D202" s="67"/>
      <c r="E202" s="67"/>
      <c r="F202" s="67"/>
      <c r="G202" s="67"/>
      <c r="H202" s="68"/>
      <c r="J202" s="66" t="s">
        <v>203</v>
      </c>
      <c r="K202" s="32"/>
      <c r="L202" s="32"/>
      <c r="M202" s="67"/>
      <c r="N202" s="67"/>
      <c r="O202" s="67"/>
      <c r="P202" s="67"/>
      <c r="Q202" s="68"/>
      <c r="S202" s="66" t="s">
        <v>203</v>
      </c>
      <c r="T202" s="32"/>
      <c r="U202" s="32"/>
      <c r="V202" s="67"/>
      <c r="W202" s="67"/>
      <c r="X202" s="67"/>
      <c r="Y202" s="67"/>
      <c r="Z202" s="68"/>
      <c r="AB202" s="66" t="s">
        <v>203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84</v>
      </c>
      <c r="B204" s="71" t="s">
        <v>85</v>
      </c>
      <c r="C204" s="71"/>
      <c r="D204" s="71"/>
      <c r="E204" s="23"/>
      <c r="F204" s="23"/>
      <c r="G204" s="23"/>
      <c r="H204" s="33"/>
      <c r="J204" s="184" t="s">
        <v>84</v>
      </c>
      <c r="K204" s="185" t="s">
        <v>85</v>
      </c>
      <c r="L204" s="185"/>
      <c r="M204" s="185"/>
      <c r="N204" s="23"/>
      <c r="O204" s="23"/>
      <c r="P204" s="23"/>
      <c r="Q204" s="33"/>
      <c r="S204" s="184" t="s">
        <v>84</v>
      </c>
      <c r="T204" s="71" t="s">
        <v>85</v>
      </c>
      <c r="U204" s="71"/>
      <c r="V204" s="71"/>
      <c r="W204" s="23"/>
      <c r="X204" s="23"/>
      <c r="Y204" s="23"/>
      <c r="Z204" s="33"/>
      <c r="AB204" s="184" t="s">
        <v>84</v>
      </c>
      <c r="AC204" s="71" t="s">
        <v>85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674.650078580022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182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127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204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184</v>
      </c>
      <c r="B220" s="189" t="s">
        <v>185</v>
      </c>
      <c r="C220" s="189"/>
      <c r="D220" s="189"/>
      <c r="E220" s="189" t="s">
        <v>186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674.650078580022</v>
      </c>
      <c r="B221" s="174" t="n">
        <f aca="false">B176</f>
        <v>0</v>
      </c>
      <c r="C221" s="171"/>
      <c r="D221" s="171"/>
      <c r="E221" s="174" t="n">
        <f aca="false">E176</f>
        <v>674.650078580022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188</v>
      </c>
      <c r="B223" s="130" t="s">
        <v>189</v>
      </c>
      <c r="C223" s="130"/>
      <c r="D223" s="109"/>
      <c r="E223" s="130" t="s">
        <v>190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191</v>
      </c>
      <c r="B226" s="130" t="s">
        <v>138</v>
      </c>
      <c r="C226" s="130"/>
      <c r="D226" s="109"/>
      <c r="E226" s="130" t="s">
        <v>139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140</v>
      </c>
      <c r="B229" s="130" t="s">
        <v>176</v>
      </c>
      <c r="C229" s="130"/>
      <c r="D229" s="109"/>
      <c r="E229" s="130" t="s">
        <v>181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192</v>
      </c>
      <c r="B232" s="130" t="s">
        <v>53</v>
      </c>
      <c r="C232" s="130"/>
      <c r="D232" s="109"/>
      <c r="E232" s="130" t="s">
        <v>193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-30936.1974854393</v>
      </c>
      <c r="B233" s="99" t="str">
        <f aca="false">B191</f>
        <v>199.99</v>
      </c>
      <c r="C233" s="99"/>
      <c r="D233" s="109"/>
      <c r="E233" s="99" t="n">
        <f aca="false">E191</f>
        <v>27798.7925145607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194</v>
      </c>
      <c r="B235" s="130" t="s">
        <v>195</v>
      </c>
      <c r="C235" s="130"/>
      <c r="D235" s="109"/>
      <c r="E235" s="130" t="s">
        <v>205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184</v>
      </c>
      <c r="B238" s="130" t="s">
        <v>185</v>
      </c>
      <c r="C238" s="130"/>
      <c r="D238" s="130"/>
      <c r="E238" s="130" t="s">
        <v>186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674.650078580022</v>
      </c>
      <c r="B239" s="99" t="n">
        <f aca="false">B176</f>
        <v>0</v>
      </c>
      <c r="C239" s="183"/>
      <c r="D239" s="183"/>
      <c r="E239" s="99" t="n">
        <f aca="false">E176</f>
        <v>674.650078580022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206</v>
      </c>
      <c r="B241" s="130" t="s">
        <v>207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208</v>
      </c>
      <c r="B244" s="163" t="s">
        <v>74</v>
      </c>
      <c r="C244" s="130"/>
      <c r="D244" s="130"/>
      <c r="E244" s="163" t="s">
        <v>132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209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210</v>
      </c>
      <c r="B248" s="130" t="s">
        <v>198</v>
      </c>
      <c r="C248" s="130"/>
      <c r="D248" s="130"/>
      <c r="E248" s="163" t="s">
        <v>199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200</v>
      </c>
      <c r="B251" s="163" t="s">
        <v>201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211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212</v>
      </c>
      <c r="B262" s="193" t="n">
        <f aca="false">B72</f>
        <v>0.065</v>
      </c>
      <c r="C262" s="194"/>
      <c r="D262" s="195" t="s">
        <v>213</v>
      </c>
      <c r="E262" s="195"/>
      <c r="F262" s="193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88" t="s">
        <v>214</v>
      </c>
      <c r="B263" s="196"/>
      <c r="C263" s="194"/>
      <c r="D263" s="195" t="s">
        <v>215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216</v>
      </c>
      <c r="B264" s="196" t="n">
        <f aca="false">F271+B272</f>
        <v>99.99</v>
      </c>
      <c r="C264" s="194"/>
      <c r="D264" s="195" t="s">
        <v>217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212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218</v>
      </c>
      <c r="B268" s="201" t="n">
        <f aca="false">B73</f>
        <v>0.072</v>
      </c>
      <c r="C268" s="32"/>
      <c r="D268" s="163" t="s">
        <v>219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213</v>
      </c>
      <c r="B269" s="205" t="n">
        <f aca="false">B92</f>
        <v>0.137</v>
      </c>
      <c r="C269" s="43"/>
      <c r="D269" s="163" t="s">
        <v>214</v>
      </c>
      <c r="E269" s="163"/>
      <c r="F269" s="143" t="n">
        <f aca="false">(B98*B68)-(C98*B68)</f>
        <v>21588.8025145607</v>
      </c>
      <c r="G269" s="23"/>
      <c r="H269" s="33"/>
    </row>
    <row r="270" customFormat="false" ht="17.35" hidden="false" customHeight="false" outlineLevel="0" collapsed="false">
      <c r="A270" s="31" t="s">
        <v>220</v>
      </c>
      <c r="B270" s="205" t="n">
        <f aca="false">B76</f>
        <v>0.009375</v>
      </c>
      <c r="C270" s="32"/>
      <c r="D270" s="163" t="s">
        <v>220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221</v>
      </c>
      <c r="B271" s="201" t="n">
        <f aca="false">A117</f>
        <v>0.2</v>
      </c>
      <c r="C271" s="32"/>
      <c r="D271" s="163" t="s">
        <v>221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222</v>
      </c>
      <c r="B272" s="143" t="n">
        <f aca="false">A252</f>
        <v>99.99</v>
      </c>
      <c r="C272" s="32"/>
      <c r="D272" s="39" t="s">
        <v>217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223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224</v>
      </c>
      <c r="B275" s="148" t="n">
        <v>0</v>
      </c>
      <c r="C275" s="32"/>
      <c r="D275" s="206" t="s">
        <v>225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226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227</v>
      </c>
      <c r="B277" s="207" t="s">
        <v>4</v>
      </c>
      <c r="C277" s="32"/>
      <c r="D277" s="163" t="s">
        <v>228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229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230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231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1" colorId="64" zoomScale="75" zoomScaleNormal="75" zoomScalePageLayoutView="100" workbookViewId="0">
      <selection pane="topLeft" activeCell="F131" activeCellId="0" sqref="F13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 t="n">
        <v>23125</v>
      </c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/>
      <c r="F10" s="151"/>
      <c r="G10" s="153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 t="n">
        <v>0</v>
      </c>
      <c r="C13" s="151"/>
      <c r="D13" s="151"/>
      <c r="E13" s="151"/>
      <c r="F13" s="151"/>
      <c r="G13" s="153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/>
      <c r="F14" s="151"/>
      <c r="G14" s="153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/>
      <c r="F16" s="151"/>
      <c r="G16" s="153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72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73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74</v>
      </c>
      <c r="B48" s="43"/>
      <c r="C48" s="43"/>
      <c r="D48" s="43"/>
      <c r="E48" s="43"/>
      <c r="F48" s="43"/>
      <c r="G48" s="43"/>
      <c r="H48" s="47"/>
      <c r="J48" s="55" t="s">
        <v>75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76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77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78</v>
      </c>
      <c r="B52" s="32"/>
      <c r="C52" s="32" t="s">
        <v>79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80</v>
      </c>
      <c r="K53" s="64" t="s">
        <v>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82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83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84</v>
      </c>
      <c r="B58" s="71" t="s">
        <v>85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86</v>
      </c>
      <c r="B67" s="32" t="n">
        <v>1</v>
      </c>
      <c r="C67" s="32"/>
      <c r="D67" s="32"/>
      <c r="E67" s="23"/>
      <c r="F67" s="23"/>
      <c r="G67" s="23"/>
      <c r="H67" s="33"/>
      <c r="J67" s="31" t="s">
        <v>86</v>
      </c>
      <c r="K67" s="32" t="n">
        <v>1</v>
      </c>
      <c r="L67" s="32"/>
      <c r="M67" s="32"/>
      <c r="N67" s="23"/>
      <c r="O67" s="23"/>
      <c r="P67" s="23"/>
      <c r="Q67" s="33"/>
      <c r="S67" s="31" t="s">
        <v>86</v>
      </c>
      <c r="T67" s="32" t="n">
        <v>1</v>
      </c>
      <c r="U67" s="32"/>
      <c r="V67" s="32"/>
      <c r="W67" s="23"/>
      <c r="X67" s="23"/>
      <c r="Y67" s="23"/>
      <c r="Z67" s="33"/>
      <c r="AB67" s="31" t="s">
        <v>86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87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87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87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87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88</v>
      </c>
      <c r="B69" s="77" t="n">
        <v>10</v>
      </c>
      <c r="C69" s="32"/>
      <c r="D69" s="32"/>
      <c r="E69" s="23"/>
      <c r="F69" s="23"/>
      <c r="G69" s="23"/>
      <c r="H69" s="33"/>
      <c r="J69" s="76" t="s">
        <v>88</v>
      </c>
      <c r="K69" s="77" t="n">
        <v>20</v>
      </c>
      <c r="L69" s="32"/>
      <c r="M69" s="32"/>
      <c r="N69" s="23"/>
      <c r="O69" s="23"/>
      <c r="P69" s="23"/>
      <c r="Q69" s="33"/>
      <c r="S69" s="76" t="s">
        <v>88</v>
      </c>
      <c r="T69" s="77" t="n">
        <v>10</v>
      </c>
      <c r="U69" s="32"/>
      <c r="V69" s="32"/>
      <c r="W69" s="23"/>
      <c r="X69" s="23"/>
      <c r="Y69" s="23"/>
      <c r="Z69" s="33"/>
      <c r="AB69" s="76" t="s">
        <v>88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89</v>
      </c>
      <c r="B71" s="79" t="n">
        <v>0</v>
      </c>
      <c r="C71" s="32"/>
      <c r="D71" s="32"/>
      <c r="E71" s="23"/>
      <c r="F71" s="23"/>
      <c r="G71" s="23"/>
      <c r="H71" s="33"/>
      <c r="J71" s="78" t="s">
        <v>89</v>
      </c>
      <c r="K71" s="79" t="n">
        <v>0.06</v>
      </c>
      <c r="L71" s="32"/>
      <c r="M71" s="32"/>
      <c r="N71" s="23"/>
      <c r="O71" s="23"/>
      <c r="P71" s="23"/>
      <c r="Q71" s="33"/>
      <c r="S71" s="78" t="s">
        <v>89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89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90</v>
      </c>
      <c r="B72" s="81" t="n">
        <v>0.065</v>
      </c>
      <c r="C72" s="32"/>
      <c r="D72" s="32"/>
      <c r="E72" s="23"/>
      <c r="F72" s="23"/>
      <c r="G72" s="23"/>
      <c r="H72" s="33"/>
      <c r="J72" s="80" t="s">
        <v>90</v>
      </c>
      <c r="K72" s="81" t="n">
        <v>0.08</v>
      </c>
      <c r="L72" s="32"/>
      <c r="M72" s="32"/>
      <c r="N72" s="23"/>
      <c r="O72" s="23"/>
      <c r="P72" s="23"/>
      <c r="Q72" s="33"/>
      <c r="S72" s="80" t="s">
        <v>90</v>
      </c>
      <c r="T72" s="81" t="n">
        <v>0.059</v>
      </c>
      <c r="U72" s="32"/>
      <c r="V72" s="32"/>
      <c r="W72" s="23"/>
      <c r="X72" s="23"/>
      <c r="Y72" s="23"/>
      <c r="Z72" s="33"/>
      <c r="AB72" s="80" t="s">
        <v>90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91</v>
      </c>
      <c r="B73" s="83" t="n">
        <v>0.05</v>
      </c>
      <c r="C73" s="32"/>
      <c r="D73" s="32"/>
      <c r="E73" s="23"/>
      <c r="F73" s="23"/>
      <c r="G73" s="23"/>
      <c r="H73" s="33"/>
      <c r="J73" s="82" t="s">
        <v>91</v>
      </c>
      <c r="K73" s="83" t="n">
        <v>0.1</v>
      </c>
      <c r="L73" s="32"/>
      <c r="M73" s="32"/>
      <c r="N73" s="23"/>
      <c r="O73" s="23"/>
      <c r="P73" s="23"/>
      <c r="Q73" s="33"/>
      <c r="S73" s="82" t="s">
        <v>91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91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92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92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92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92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93</v>
      </c>
      <c r="B75" s="79" t="n">
        <v>0.005</v>
      </c>
      <c r="C75" s="32"/>
      <c r="D75" s="32"/>
      <c r="E75" s="23"/>
      <c r="F75" s="23"/>
      <c r="G75" s="23"/>
      <c r="H75" s="33"/>
      <c r="J75" s="78" t="s">
        <v>93</v>
      </c>
      <c r="K75" s="79" t="n">
        <v>0.05</v>
      </c>
      <c r="L75" s="32"/>
      <c r="M75" s="32"/>
      <c r="N75" s="23"/>
      <c r="O75" s="23"/>
      <c r="P75" s="23"/>
      <c r="Q75" s="33"/>
      <c r="S75" s="78" t="s">
        <v>93</v>
      </c>
      <c r="T75" s="79" t="n">
        <v>0.005</v>
      </c>
      <c r="U75" s="32"/>
      <c r="V75" s="32"/>
      <c r="W75" s="23"/>
      <c r="X75" s="23"/>
      <c r="Y75" s="23"/>
      <c r="Z75" s="33"/>
      <c r="AB75" s="78" t="s">
        <v>93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94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94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94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94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95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95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95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95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96</v>
      </c>
      <c r="B78" s="79" t="n">
        <v>0</v>
      </c>
      <c r="C78" s="32"/>
      <c r="D78" s="32"/>
      <c r="E78" s="23"/>
      <c r="F78" s="23"/>
      <c r="G78" s="23"/>
      <c r="H78" s="33"/>
      <c r="J78" s="78" t="s">
        <v>96</v>
      </c>
      <c r="K78" s="79" t="n">
        <v>0</v>
      </c>
      <c r="L78" s="32"/>
      <c r="M78" s="32"/>
      <c r="N78" s="23"/>
      <c r="O78" s="23"/>
      <c r="P78" s="23"/>
      <c r="Q78" s="33"/>
      <c r="S78" s="78" t="s">
        <v>96</v>
      </c>
      <c r="T78" s="79" t="n">
        <v>0</v>
      </c>
      <c r="U78" s="32"/>
      <c r="V78" s="32"/>
      <c r="W78" s="23"/>
      <c r="X78" s="23"/>
      <c r="Y78" s="23"/>
      <c r="Z78" s="33"/>
      <c r="AB78" s="78" t="s">
        <v>96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97</v>
      </c>
      <c r="B79" s="81" t="n">
        <v>0</v>
      </c>
      <c r="C79" s="32"/>
      <c r="D79" s="32"/>
      <c r="E79" s="23"/>
      <c r="F79" s="23"/>
      <c r="G79" s="23"/>
      <c r="H79" s="33"/>
      <c r="J79" s="80" t="s">
        <v>97</v>
      </c>
      <c r="K79" s="81" t="n">
        <v>0</v>
      </c>
      <c r="L79" s="32"/>
      <c r="M79" s="32"/>
      <c r="N79" s="23"/>
      <c r="O79" s="23"/>
      <c r="P79" s="23"/>
      <c r="Q79" s="33"/>
      <c r="S79" s="80" t="s">
        <v>97</v>
      </c>
      <c r="T79" s="81" t="n">
        <v>0</v>
      </c>
      <c r="U79" s="32"/>
      <c r="V79" s="32"/>
      <c r="W79" s="23"/>
      <c r="X79" s="23"/>
      <c r="Y79" s="23"/>
      <c r="Z79" s="33"/>
      <c r="AB79" s="80" t="s">
        <v>97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98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98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98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98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99</v>
      </c>
      <c r="B81" s="86" t="n">
        <v>0</v>
      </c>
      <c r="C81" s="32"/>
      <c r="D81" s="32"/>
      <c r="E81" s="23"/>
      <c r="F81" s="23"/>
      <c r="G81" s="23"/>
      <c r="H81" s="33"/>
      <c r="J81" s="78" t="s">
        <v>99</v>
      </c>
      <c r="K81" s="86" t="n">
        <v>0</v>
      </c>
      <c r="L81" s="32"/>
      <c r="M81" s="32"/>
      <c r="N81" s="23"/>
      <c r="O81" s="23"/>
      <c r="P81" s="23"/>
      <c r="Q81" s="33"/>
      <c r="S81" s="78" t="s">
        <v>99</v>
      </c>
      <c r="T81" s="86" t="n">
        <v>0</v>
      </c>
      <c r="U81" s="32"/>
      <c r="V81" s="32"/>
      <c r="W81" s="23"/>
      <c r="X81" s="23"/>
      <c r="Y81" s="23"/>
      <c r="Z81" s="33"/>
      <c r="AB81" s="78" t="s">
        <v>99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100</v>
      </c>
      <c r="B82" s="77" t="n">
        <v>0</v>
      </c>
      <c r="C82" s="32"/>
      <c r="D82" s="32"/>
      <c r="E82" s="23"/>
      <c r="F82" s="23"/>
      <c r="G82" s="23"/>
      <c r="H82" s="33"/>
      <c r="J82" s="80" t="s">
        <v>100</v>
      </c>
      <c r="K82" s="77" t="n">
        <v>0</v>
      </c>
      <c r="L82" s="32"/>
      <c r="M82" s="32"/>
      <c r="N82" s="23"/>
      <c r="O82" s="23"/>
      <c r="P82" s="23"/>
      <c r="Q82" s="33"/>
      <c r="S82" s="80" t="s">
        <v>100</v>
      </c>
      <c r="T82" s="77" t="n">
        <v>0</v>
      </c>
      <c r="U82" s="32"/>
      <c r="V82" s="32"/>
      <c r="W82" s="23"/>
      <c r="X82" s="23"/>
      <c r="Y82" s="23"/>
      <c r="Z82" s="33"/>
      <c r="AB82" s="80" t="s">
        <v>100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101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101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101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101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102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102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102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102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103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103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103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103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104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104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104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104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105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105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105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105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106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106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106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106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107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107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107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107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108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108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108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108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109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109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109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109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110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110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110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110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111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111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111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111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112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112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112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112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113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113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113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113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114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114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114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114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115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115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115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115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116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116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116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116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117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117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117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117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118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118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118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118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119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119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119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119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120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120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120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120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121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121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121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121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122</v>
      </c>
      <c r="B109" s="96"/>
      <c r="C109" s="96"/>
      <c r="D109" s="96"/>
      <c r="E109" s="96"/>
      <c r="F109" s="96"/>
      <c r="G109" s="96"/>
      <c r="H109" s="96"/>
      <c r="J109" s="24" t="s">
        <v>123</v>
      </c>
      <c r="K109" s="24"/>
      <c r="L109" s="24"/>
      <c r="M109" s="24"/>
      <c r="N109" s="24"/>
      <c r="O109" s="24"/>
      <c r="P109" s="24"/>
      <c r="Q109" s="24"/>
      <c r="S109" s="96" t="s">
        <v>124</v>
      </c>
      <c r="T109" s="96"/>
      <c r="U109" s="96"/>
      <c r="V109" s="96"/>
      <c r="W109" s="96"/>
      <c r="X109" s="96"/>
      <c r="Y109" s="96"/>
      <c r="Z109" s="96"/>
      <c r="AB109" s="96" t="s">
        <v>125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99" t="s">
        <v>130</v>
      </c>
      <c r="C114" s="99"/>
      <c r="D114" s="99"/>
      <c r="E114" s="100" t="s">
        <v>19</v>
      </c>
      <c r="F114" s="100"/>
      <c r="G114" s="100"/>
      <c r="H114" s="98"/>
      <c r="J114" s="36" t="s">
        <v>129</v>
      </c>
      <c r="K114" s="101" t="s">
        <v>130</v>
      </c>
      <c r="L114" s="101"/>
      <c r="M114" s="101"/>
      <c r="N114" s="100" t="s">
        <v>18</v>
      </c>
      <c r="O114" s="100"/>
      <c r="P114" s="100"/>
      <c r="Q114" s="98"/>
      <c r="S114" s="36" t="s">
        <v>129</v>
      </c>
      <c r="T114" s="99" t="s">
        <v>130</v>
      </c>
      <c r="U114" s="99"/>
      <c r="V114" s="99"/>
      <c r="W114" s="100" t="s">
        <v>18</v>
      </c>
      <c r="X114" s="100"/>
      <c r="Y114" s="100"/>
      <c r="Z114" s="98"/>
      <c r="AB114" s="36" t="s">
        <v>129</v>
      </c>
      <c r="AC114" s="99" t="s">
        <v>130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98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98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98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134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134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135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135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98"/>
      <c r="J122" s="106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98"/>
      <c r="S122" s="106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98"/>
      <c r="AB122" s="106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145</v>
      </c>
      <c r="C128" s="110"/>
      <c r="D128" s="110" t="s">
        <v>146</v>
      </c>
      <c r="E128" s="110"/>
      <c r="F128" s="110" t="s">
        <v>147</v>
      </c>
      <c r="G128" s="110"/>
      <c r="H128" s="111" t="s">
        <v>148</v>
      </c>
      <c r="J128" s="78"/>
      <c r="K128" s="110" t="s">
        <v>145</v>
      </c>
      <c r="L128" s="110"/>
      <c r="M128" s="110" t="s">
        <v>146</v>
      </c>
      <c r="N128" s="110"/>
      <c r="O128" s="110" t="s">
        <v>147</v>
      </c>
      <c r="P128" s="110"/>
      <c r="Q128" s="111" t="s">
        <v>148</v>
      </c>
      <c r="S128" s="78"/>
      <c r="T128" s="110" t="s">
        <v>145</v>
      </c>
      <c r="U128" s="110"/>
      <c r="V128" s="110" t="s">
        <v>146</v>
      </c>
      <c r="W128" s="110"/>
      <c r="X128" s="110" t="s">
        <v>147</v>
      </c>
      <c r="Y128" s="110"/>
      <c r="Z128" s="111" t="s">
        <v>148</v>
      </c>
      <c r="AB128" s="78"/>
      <c r="AC128" s="110" t="s">
        <v>145</v>
      </c>
      <c r="AD128" s="110"/>
      <c r="AE128" s="110" t="s">
        <v>146</v>
      </c>
      <c r="AF128" s="110"/>
      <c r="AG128" s="110" t="s">
        <v>147</v>
      </c>
      <c r="AH128" s="110"/>
      <c r="AI128" s="111" t="s">
        <v>148</v>
      </c>
    </row>
    <row r="129" customFormat="false" ht="19.7" hidden="false" customHeight="false" outlineLevel="0" collapsed="false">
      <c r="A129" s="80"/>
      <c r="B129" s="112" t="s">
        <v>149</v>
      </c>
      <c r="C129" s="113" t="s">
        <v>150</v>
      </c>
      <c r="D129" s="112" t="s">
        <v>149</v>
      </c>
      <c r="E129" s="114" t="s">
        <v>150</v>
      </c>
      <c r="F129" s="112" t="s">
        <v>149</v>
      </c>
      <c r="G129" s="114" t="s">
        <v>150</v>
      </c>
      <c r="H129" s="115"/>
      <c r="J129" s="80"/>
      <c r="K129" s="112" t="s">
        <v>149</v>
      </c>
      <c r="L129" s="113" t="s">
        <v>150</v>
      </c>
      <c r="M129" s="112" t="s">
        <v>149</v>
      </c>
      <c r="N129" s="114" t="s">
        <v>150</v>
      </c>
      <c r="O129" s="112" t="s">
        <v>149</v>
      </c>
      <c r="P129" s="114" t="s">
        <v>150</v>
      </c>
      <c r="Q129" s="115"/>
      <c r="S129" s="80"/>
      <c r="T129" s="112" t="s">
        <v>149</v>
      </c>
      <c r="U129" s="113" t="s">
        <v>150</v>
      </c>
      <c r="V129" s="112" t="s">
        <v>149</v>
      </c>
      <c r="W129" s="114" t="s">
        <v>150</v>
      </c>
      <c r="X129" s="112" t="s">
        <v>149</v>
      </c>
      <c r="Y129" s="114" t="s">
        <v>150</v>
      </c>
      <c r="Z129" s="115"/>
      <c r="AB129" s="80"/>
      <c r="AC129" s="112" t="s">
        <v>149</v>
      </c>
      <c r="AD129" s="113" t="s">
        <v>150</v>
      </c>
      <c r="AE129" s="112" t="s">
        <v>149</v>
      </c>
      <c r="AF129" s="114" t="s">
        <v>150</v>
      </c>
      <c r="AG129" s="112" t="s">
        <v>149</v>
      </c>
      <c r="AH129" s="114" t="s">
        <v>150</v>
      </c>
      <c r="AI129" s="115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152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152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152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149</v>
      </c>
      <c r="H136" s="134" t="s">
        <v>150</v>
      </c>
      <c r="J136" s="131"/>
      <c r="K136" s="135"/>
      <c r="L136" s="135"/>
      <c r="M136" s="135"/>
      <c r="N136" s="135"/>
      <c r="O136" s="135"/>
      <c r="P136" s="136" t="s">
        <v>149</v>
      </c>
      <c r="Q136" s="134" t="s">
        <v>150</v>
      </c>
      <c r="S136" s="131"/>
      <c r="T136" s="135"/>
      <c r="U136" s="135"/>
      <c r="V136" s="135"/>
      <c r="W136" s="135"/>
      <c r="X136" s="135"/>
      <c r="Y136" s="136" t="s">
        <v>149</v>
      </c>
      <c r="Z136" s="134" t="s">
        <v>150</v>
      </c>
      <c r="AB136" s="131"/>
      <c r="AC136" s="135"/>
      <c r="AD136" s="135"/>
      <c r="AE136" s="135"/>
      <c r="AF136" s="135"/>
      <c r="AG136" s="135"/>
      <c r="AH136" s="136" t="s">
        <v>149</v>
      </c>
      <c r="AI136" s="134" t="s">
        <v>150</v>
      </c>
    </row>
    <row r="137" customFormat="false" ht="17.35" hidden="false" customHeight="false" outlineLevel="0" collapsed="false">
      <c r="A137" s="137" t="s">
        <v>156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156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156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156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157</v>
      </c>
      <c r="B139" s="141" t="s">
        <v>158</v>
      </c>
      <c r="C139" s="141"/>
      <c r="D139" s="141" t="s">
        <v>159</v>
      </c>
      <c r="E139" s="141"/>
      <c r="F139" s="141" t="s">
        <v>153</v>
      </c>
      <c r="G139" s="141"/>
      <c r="H139" s="142" t="s">
        <v>150</v>
      </c>
      <c r="J139" s="144" t="s">
        <v>157</v>
      </c>
      <c r="K139" s="145" t="s">
        <v>158</v>
      </c>
      <c r="L139" s="145"/>
      <c r="M139" s="141" t="s">
        <v>159</v>
      </c>
      <c r="N139" s="141"/>
      <c r="O139" s="141" t="s">
        <v>153</v>
      </c>
      <c r="P139" s="141"/>
      <c r="Q139" s="142" t="s">
        <v>150</v>
      </c>
      <c r="S139" s="144" t="s">
        <v>157</v>
      </c>
      <c r="T139" s="141" t="s">
        <v>158</v>
      </c>
      <c r="U139" s="141"/>
      <c r="V139" s="141" t="s">
        <v>159</v>
      </c>
      <c r="W139" s="141"/>
      <c r="X139" s="141" t="s">
        <v>153</v>
      </c>
      <c r="Y139" s="141"/>
      <c r="Z139" s="142" t="s">
        <v>150</v>
      </c>
      <c r="AB139" s="144" t="s">
        <v>157</v>
      </c>
      <c r="AC139" s="141" t="s">
        <v>158</v>
      </c>
      <c r="AD139" s="141"/>
      <c r="AE139" s="141" t="s">
        <v>159</v>
      </c>
      <c r="AF139" s="141"/>
      <c r="AG139" s="141" t="s">
        <v>153</v>
      </c>
      <c r="AH139" s="141"/>
      <c r="AI139" s="142" t="s">
        <v>150</v>
      </c>
    </row>
    <row r="140" customFormat="false" ht="17.35" hidden="false" customHeight="false" outlineLevel="0" collapsed="false">
      <c r="A140" s="31" t="s">
        <v>160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160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160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160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161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161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161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162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162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162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163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163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163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163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164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164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164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164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165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165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165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165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166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166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166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166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167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167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167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167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168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168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168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168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169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169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169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169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170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170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170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170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171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171</v>
      </c>
      <c r="K152" s="156"/>
      <c r="L152" s="156"/>
      <c r="M152" s="156"/>
      <c r="N152" s="156"/>
      <c r="O152" s="156"/>
      <c r="P152" s="38"/>
      <c r="Q152" s="33"/>
      <c r="S152" s="107" t="s">
        <v>171</v>
      </c>
      <c r="T152" s="107"/>
      <c r="U152" s="107"/>
      <c r="V152" s="107"/>
      <c r="W152" s="107"/>
      <c r="X152" s="107"/>
      <c r="Y152" s="38"/>
      <c r="Z152" s="33"/>
      <c r="AB152" s="107" t="s">
        <v>171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172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172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172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172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172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172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172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172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172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172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172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172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173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173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173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173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174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174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174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174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176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176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176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177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177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177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178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178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178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179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179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179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180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180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180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181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181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181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181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183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183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183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184</v>
      </c>
      <c r="B175" s="171" t="s">
        <v>185</v>
      </c>
      <c r="C175" s="171"/>
      <c r="D175" s="171"/>
      <c r="E175" s="171" t="s">
        <v>186</v>
      </c>
      <c r="F175" s="23"/>
      <c r="G175" s="23"/>
      <c r="H175" s="33"/>
      <c r="J175" s="170" t="s">
        <v>184</v>
      </c>
      <c r="K175" s="172" t="s">
        <v>185</v>
      </c>
      <c r="L175" s="172"/>
      <c r="M175" s="172"/>
      <c r="N175" s="172" t="s">
        <v>186</v>
      </c>
      <c r="O175" s="23"/>
      <c r="P175" s="23"/>
      <c r="Q175" s="33"/>
      <c r="S175" s="170" t="s">
        <v>184</v>
      </c>
      <c r="T175" s="172" t="s">
        <v>185</v>
      </c>
      <c r="U175" s="172"/>
      <c r="V175" s="172"/>
      <c r="W175" s="172" t="s">
        <v>186</v>
      </c>
      <c r="X175" s="23"/>
      <c r="Y175" s="23"/>
      <c r="Z175" s="33"/>
      <c r="AB175" s="170" t="s">
        <v>184</v>
      </c>
      <c r="AC175" s="172" t="s">
        <v>185</v>
      </c>
      <c r="AD175" s="172"/>
      <c r="AE175" s="172"/>
      <c r="AF175" s="172" t="s">
        <v>186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84</v>
      </c>
      <c r="B178" s="130" t="s">
        <v>85</v>
      </c>
      <c r="C178" s="130"/>
      <c r="D178" s="23"/>
      <c r="E178" s="130" t="s">
        <v>187</v>
      </c>
      <c r="F178" s="23"/>
      <c r="G178" s="23"/>
      <c r="H178" s="33"/>
      <c r="J178" s="31" t="s">
        <v>84</v>
      </c>
      <c r="K178" s="32" t="s">
        <v>85</v>
      </c>
      <c r="L178" s="32"/>
      <c r="M178" s="23"/>
      <c r="N178" s="32" t="s">
        <v>187</v>
      </c>
      <c r="O178" s="23"/>
      <c r="P178" s="23"/>
      <c r="Q178" s="33"/>
      <c r="S178" s="31" t="s">
        <v>84</v>
      </c>
      <c r="T178" s="32" t="s">
        <v>85</v>
      </c>
      <c r="U178" s="32"/>
      <c r="V178" s="23"/>
      <c r="W178" s="32" t="s">
        <v>187</v>
      </c>
      <c r="X178" s="23"/>
      <c r="Y178" s="23"/>
      <c r="Z178" s="33"/>
      <c r="AB178" s="31" t="s">
        <v>84</v>
      </c>
      <c r="AC178" s="32" t="s">
        <v>85</v>
      </c>
      <c r="AD178" s="32"/>
      <c r="AE178" s="23"/>
      <c r="AF178" s="32" t="s">
        <v>187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188</v>
      </c>
      <c r="B181" s="130" t="s">
        <v>189</v>
      </c>
      <c r="C181" s="130"/>
      <c r="D181" s="23"/>
      <c r="E181" s="130" t="s">
        <v>190</v>
      </c>
      <c r="F181" s="23"/>
      <c r="G181" s="23"/>
      <c r="H181" s="33"/>
      <c r="J181" s="31" t="s">
        <v>188</v>
      </c>
      <c r="K181" s="32" t="s">
        <v>189</v>
      </c>
      <c r="L181" s="32"/>
      <c r="M181" s="23"/>
      <c r="N181" s="32" t="s">
        <v>190</v>
      </c>
      <c r="O181" s="23"/>
      <c r="P181" s="23"/>
      <c r="Q181" s="33"/>
      <c r="S181" s="31" t="s">
        <v>188</v>
      </c>
      <c r="T181" s="32" t="s">
        <v>189</v>
      </c>
      <c r="U181" s="32"/>
      <c r="V181" s="23"/>
      <c r="W181" s="32" t="s">
        <v>190</v>
      </c>
      <c r="X181" s="23"/>
      <c r="Y181" s="23"/>
      <c r="Z181" s="33"/>
      <c r="AB181" s="31" t="s">
        <v>188</v>
      </c>
      <c r="AC181" s="32" t="s">
        <v>189</v>
      </c>
      <c r="AD181" s="32"/>
      <c r="AE181" s="23"/>
      <c r="AF181" s="32" t="s">
        <v>190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191</v>
      </c>
      <c r="B184" s="130" t="s">
        <v>138</v>
      </c>
      <c r="C184" s="130"/>
      <c r="D184" s="23"/>
      <c r="E184" s="130" t="s">
        <v>139</v>
      </c>
      <c r="F184" s="23"/>
      <c r="G184" s="23"/>
      <c r="H184" s="33"/>
      <c r="J184" s="31" t="s">
        <v>191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191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191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130" t="s">
        <v>176</v>
      </c>
      <c r="C187" s="130"/>
      <c r="D187" s="23"/>
      <c r="E187" s="130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192</v>
      </c>
      <c r="B190" s="130" t="s">
        <v>53</v>
      </c>
      <c r="C190" s="130"/>
      <c r="D190" s="23"/>
      <c r="E190" s="130" t="s">
        <v>193</v>
      </c>
      <c r="F190" s="23"/>
      <c r="G190" s="23"/>
      <c r="H190" s="33"/>
      <c r="J190" s="31" t="s">
        <v>192</v>
      </c>
      <c r="K190" s="32" t="s">
        <v>53</v>
      </c>
      <c r="L190" s="32"/>
      <c r="M190" s="23"/>
      <c r="N190" s="32" t="s">
        <v>193</v>
      </c>
      <c r="O190" s="23"/>
      <c r="P190" s="23"/>
      <c r="Q190" s="33"/>
      <c r="S190" s="31" t="s">
        <v>192</v>
      </c>
      <c r="T190" s="32" t="s">
        <v>53</v>
      </c>
      <c r="U190" s="32"/>
      <c r="V190" s="23"/>
      <c r="W190" s="32" t="s">
        <v>193</v>
      </c>
      <c r="X190" s="23"/>
      <c r="Y190" s="23"/>
      <c r="Z190" s="33"/>
      <c r="AB190" s="31" t="s">
        <v>192</v>
      </c>
      <c r="AC190" s="32" t="s">
        <v>53</v>
      </c>
      <c r="AD190" s="32"/>
      <c r="AE190" s="23"/>
      <c r="AF190" s="32" t="s">
        <v>193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194</v>
      </c>
      <c r="B193" s="130" t="s">
        <v>195</v>
      </c>
      <c r="C193" s="130"/>
      <c r="D193" s="23"/>
      <c r="E193" s="130" t="s">
        <v>196</v>
      </c>
      <c r="F193" s="23"/>
      <c r="G193" s="23"/>
      <c r="H193" s="33"/>
      <c r="J193" s="31" t="s">
        <v>194</v>
      </c>
      <c r="K193" s="32" t="s">
        <v>195</v>
      </c>
      <c r="L193" s="32"/>
      <c r="M193" s="23"/>
      <c r="N193" s="32" t="s">
        <v>196</v>
      </c>
      <c r="O193" s="23"/>
      <c r="P193" s="23"/>
      <c r="Q193" s="33"/>
      <c r="S193" s="31" t="s">
        <v>194</v>
      </c>
      <c r="T193" s="32" t="s">
        <v>195</v>
      </c>
      <c r="U193" s="32"/>
      <c r="V193" s="23"/>
      <c r="W193" s="32" t="s">
        <v>196</v>
      </c>
      <c r="X193" s="23"/>
      <c r="Y193" s="23"/>
      <c r="Z193" s="33"/>
      <c r="AB193" s="31" t="s">
        <v>194</v>
      </c>
      <c r="AC193" s="32" t="s">
        <v>195</v>
      </c>
      <c r="AD193" s="32"/>
      <c r="AE193" s="23"/>
      <c r="AF193" s="32" t="s">
        <v>196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197</v>
      </c>
      <c r="B196" s="130" t="s">
        <v>198</v>
      </c>
      <c r="C196" s="130"/>
      <c r="D196" s="130"/>
      <c r="E196" s="163" t="s">
        <v>199</v>
      </c>
      <c r="F196" s="23"/>
      <c r="G196" s="23"/>
      <c r="H196" s="33"/>
      <c r="J196" s="31" t="s">
        <v>197</v>
      </c>
      <c r="K196" s="32" t="s">
        <v>198</v>
      </c>
      <c r="L196" s="32"/>
      <c r="M196" s="32"/>
      <c r="N196" s="39" t="s">
        <v>199</v>
      </c>
      <c r="O196" s="23"/>
      <c r="P196" s="23"/>
      <c r="Q196" s="33"/>
      <c r="S196" s="31" t="s">
        <v>197</v>
      </c>
      <c r="T196" s="32" t="s">
        <v>198</v>
      </c>
      <c r="U196" s="32"/>
      <c r="V196" s="32"/>
      <c r="W196" s="39" t="s">
        <v>199</v>
      </c>
      <c r="X196" s="32"/>
      <c r="Y196" s="32"/>
      <c r="Z196" s="33"/>
      <c r="AB196" s="31" t="s">
        <v>197</v>
      </c>
      <c r="AC196" s="32" t="s">
        <v>198</v>
      </c>
      <c r="AD196" s="32"/>
      <c r="AE196" s="32"/>
      <c r="AF196" s="39" t="s">
        <v>199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200</v>
      </c>
      <c r="B199" s="163" t="s">
        <v>201</v>
      </c>
      <c r="C199" s="130"/>
      <c r="D199" s="130"/>
      <c r="E199" s="163" t="s">
        <v>202</v>
      </c>
      <c r="F199" s="23"/>
      <c r="G199" s="23"/>
      <c r="H199" s="33"/>
      <c r="J199" s="60" t="s">
        <v>200</v>
      </c>
      <c r="K199" s="39" t="s">
        <v>201</v>
      </c>
      <c r="L199" s="32"/>
      <c r="M199" s="32"/>
      <c r="N199" s="39" t="s">
        <v>202</v>
      </c>
      <c r="O199" s="23"/>
      <c r="P199" s="23"/>
      <c r="Q199" s="33"/>
      <c r="S199" s="60" t="s">
        <v>200</v>
      </c>
      <c r="T199" s="39" t="s">
        <v>201</v>
      </c>
      <c r="U199" s="32"/>
      <c r="V199" s="32"/>
      <c r="W199" s="39" t="s">
        <v>202</v>
      </c>
      <c r="X199" s="32"/>
      <c r="Y199" s="32"/>
      <c r="Z199" s="33"/>
      <c r="AB199" s="60" t="s">
        <v>200</v>
      </c>
      <c r="AC199" s="39" t="s">
        <v>201</v>
      </c>
      <c r="AD199" s="32"/>
      <c r="AE199" s="32"/>
      <c r="AF199" s="39" t="s">
        <v>202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203</v>
      </c>
      <c r="B202" s="130"/>
      <c r="C202" s="130"/>
      <c r="D202" s="67"/>
      <c r="E202" s="67"/>
      <c r="F202" s="67"/>
      <c r="G202" s="67"/>
      <c r="H202" s="68"/>
      <c r="J202" s="66" t="s">
        <v>203</v>
      </c>
      <c r="K202" s="32"/>
      <c r="L202" s="32"/>
      <c r="M202" s="67"/>
      <c r="N202" s="67"/>
      <c r="O202" s="67"/>
      <c r="P202" s="67"/>
      <c r="Q202" s="68"/>
      <c r="S202" s="66" t="s">
        <v>203</v>
      </c>
      <c r="T202" s="32"/>
      <c r="U202" s="32"/>
      <c r="V202" s="67"/>
      <c r="W202" s="67"/>
      <c r="X202" s="67"/>
      <c r="Y202" s="67"/>
      <c r="Z202" s="68"/>
      <c r="AB202" s="66" t="s">
        <v>203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84</v>
      </c>
      <c r="B204" s="71" t="s">
        <v>85</v>
      </c>
      <c r="C204" s="71"/>
      <c r="D204" s="71"/>
      <c r="E204" s="23"/>
      <c r="F204" s="23"/>
      <c r="G204" s="23"/>
      <c r="H204" s="33"/>
      <c r="J204" s="184" t="s">
        <v>84</v>
      </c>
      <c r="K204" s="185" t="s">
        <v>85</v>
      </c>
      <c r="L204" s="185"/>
      <c r="M204" s="185"/>
      <c r="N204" s="23"/>
      <c r="O204" s="23"/>
      <c r="P204" s="23"/>
      <c r="Q204" s="33"/>
      <c r="S204" s="184" t="s">
        <v>84</v>
      </c>
      <c r="T204" s="71" t="s">
        <v>85</v>
      </c>
      <c r="U204" s="71"/>
      <c r="V204" s="71"/>
      <c r="W204" s="23"/>
      <c r="X204" s="23"/>
      <c r="Y204" s="23"/>
      <c r="Z204" s="33"/>
      <c r="AB204" s="184" t="s">
        <v>84</v>
      </c>
      <c r="AC204" s="71" t="s">
        <v>85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182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127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204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184</v>
      </c>
      <c r="B220" s="189" t="s">
        <v>185</v>
      </c>
      <c r="C220" s="189"/>
      <c r="D220" s="189"/>
      <c r="E220" s="189" t="s">
        <v>186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188</v>
      </c>
      <c r="B223" s="130" t="s">
        <v>189</v>
      </c>
      <c r="C223" s="130"/>
      <c r="D223" s="109"/>
      <c r="E223" s="130" t="s">
        <v>190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191</v>
      </c>
      <c r="B226" s="130" t="s">
        <v>138</v>
      </c>
      <c r="C226" s="130"/>
      <c r="D226" s="109"/>
      <c r="E226" s="130" t="s">
        <v>139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140</v>
      </c>
      <c r="B229" s="130" t="s">
        <v>176</v>
      </c>
      <c r="C229" s="130"/>
      <c r="D229" s="109"/>
      <c r="E229" s="130" t="s">
        <v>181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192</v>
      </c>
      <c r="B232" s="130" t="s">
        <v>53</v>
      </c>
      <c r="C232" s="130"/>
      <c r="D232" s="109"/>
      <c r="E232" s="130" t="s">
        <v>193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194</v>
      </c>
      <c r="B235" s="130" t="s">
        <v>195</v>
      </c>
      <c r="C235" s="130"/>
      <c r="D235" s="109"/>
      <c r="E235" s="130" t="s">
        <v>205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184</v>
      </c>
      <c r="B238" s="130" t="s">
        <v>185</v>
      </c>
      <c r="C238" s="130"/>
      <c r="D238" s="130"/>
      <c r="E238" s="130" t="s">
        <v>186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206</v>
      </c>
      <c r="B241" s="130" t="s">
        <v>207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208</v>
      </c>
      <c r="B244" s="163" t="s">
        <v>74</v>
      </c>
      <c r="C244" s="130"/>
      <c r="D244" s="130"/>
      <c r="E244" s="163" t="s">
        <v>132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209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210</v>
      </c>
      <c r="B248" s="130" t="s">
        <v>198</v>
      </c>
      <c r="C248" s="130"/>
      <c r="D248" s="130"/>
      <c r="E248" s="163" t="s">
        <v>199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200</v>
      </c>
      <c r="B251" s="163" t="s">
        <v>201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211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212</v>
      </c>
      <c r="B262" s="193" t="n">
        <f aca="false">B72</f>
        <v>0.065</v>
      </c>
      <c r="C262" s="194"/>
      <c r="D262" s="195" t="s">
        <v>213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214</v>
      </c>
      <c r="B263" s="196"/>
      <c r="C263" s="194"/>
      <c r="D263" s="195" t="s">
        <v>215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216</v>
      </c>
      <c r="B264" s="196" t="n">
        <f aca="false">F271+B272</f>
        <v>99.9916666666667</v>
      </c>
      <c r="C264" s="194"/>
      <c r="D264" s="195" t="s">
        <v>217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212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218</v>
      </c>
      <c r="B268" s="201" t="n">
        <f aca="false">B73</f>
        <v>0.05</v>
      </c>
      <c r="C268" s="32"/>
      <c r="D268" s="163" t="s">
        <v>219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213</v>
      </c>
      <c r="B269" s="205" t="n">
        <f aca="false">B92</f>
        <v>0.115</v>
      </c>
      <c r="C269" s="43"/>
      <c r="D269" s="163" t="s">
        <v>214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220</v>
      </c>
      <c r="B270" s="205" t="n">
        <f aca="false">B76</f>
        <v>0.009375</v>
      </c>
      <c r="C270" s="32"/>
      <c r="D270" s="163" t="s">
        <v>220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221</v>
      </c>
      <c r="B271" s="201" t="n">
        <f aca="false">A117</f>
        <v>0.2</v>
      </c>
      <c r="C271" s="32"/>
      <c r="D271" s="163" t="s">
        <v>221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222</v>
      </c>
      <c r="B272" s="143" t="n">
        <f aca="false">A252</f>
        <v>99.9916666666667</v>
      </c>
      <c r="C272" s="32"/>
      <c r="D272" s="39" t="s">
        <v>217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223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224</v>
      </c>
      <c r="B275" s="148" t="n">
        <v>0</v>
      </c>
      <c r="C275" s="32"/>
      <c r="D275" s="206" t="s">
        <v>225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226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227</v>
      </c>
      <c r="B277" s="207" t="s">
        <v>4</v>
      </c>
      <c r="C277" s="32"/>
      <c r="D277" s="163" t="s">
        <v>228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229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230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231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347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128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182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183</v>
      </c>
      <c r="B30" s="169" t="s">
        <v>348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84</v>
      </c>
      <c r="B32" s="211" t="s">
        <v>85</v>
      </c>
      <c r="C32" s="211"/>
      <c r="D32" s="457" t="s">
        <v>349</v>
      </c>
      <c r="E32" s="212"/>
      <c r="F32" s="63"/>
      <c r="G32" s="214" t="s">
        <v>36</v>
      </c>
      <c r="I32" s="445" t="n">
        <v>1096.67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2094.93478535204</v>
      </c>
      <c r="E33" s="212"/>
      <c r="F33" s="63"/>
      <c r="G33" s="215" t="s">
        <v>350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351</v>
      </c>
      <c r="B35" s="211" t="s">
        <v>352</v>
      </c>
      <c r="C35" s="211"/>
      <c r="D35" s="211" t="s">
        <v>353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2067.51803535204</v>
      </c>
      <c r="B36" s="99" t="n">
        <f aca="false">IF(B26="YES", H42, "")</f>
        <v>27.41675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354</v>
      </c>
      <c r="B39" s="211" t="s">
        <v>355</v>
      </c>
      <c r="C39" s="211"/>
      <c r="D39" s="211" t="s">
        <v>356</v>
      </c>
      <c r="E39" s="212"/>
      <c r="F39" s="63"/>
      <c r="G39" s="63" t="s">
        <v>86</v>
      </c>
      <c r="H39" s="234" t="n">
        <f aca="false">H33</f>
        <v>23958.33</v>
      </c>
      <c r="I39" s="234" t="n">
        <f aca="false">(I48*H46)+H44</f>
        <v>15905.4488975102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27.41675</v>
      </c>
      <c r="C40" s="103"/>
      <c r="D40" s="181" t="n">
        <f aca="false">I32</f>
        <v>1096.67</v>
      </c>
      <c r="E40" s="212"/>
      <c r="F40" s="63"/>
      <c r="G40" s="63" t="s">
        <v>108</v>
      </c>
      <c r="H40" s="234" t="n">
        <f aca="false">A40/1.2</f>
        <v>0</v>
      </c>
      <c r="I40" s="234" t="n">
        <f aca="false">H39-I39</f>
        <v>8052.8811024898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357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358</v>
      </c>
      <c r="H42" s="234" t="n">
        <f aca="false">(I32/H34)*(C45/100)</f>
        <v>27.41675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359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78</v>
      </c>
      <c r="B44" s="211"/>
      <c r="C44" s="373" t="s">
        <v>79</v>
      </c>
      <c r="D44" s="373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363</v>
      </c>
      <c r="H47" s="234" t="n">
        <f aca="false">H45/H46</f>
        <v>2067.51803535204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463" t="s">
        <v>364</v>
      </c>
      <c r="H48" s="234" t="n">
        <f aca="false">IF(B26="YES", H47+H42, H47)</f>
        <v>2094.93478535204</v>
      </c>
      <c r="I48" s="234" t="n">
        <f aca="false">I49-H42</f>
        <v>1372.58325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365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2094.93478535204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86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86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87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87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304" t="s">
        <v>277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308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B60*B63</f>
        <v>2012.49972</v>
      </c>
      <c r="C64" s="464" t="n">
        <v>10000</v>
      </c>
      <c r="D64" s="277" t="n">
        <f aca="false">B64</f>
        <v>2012.49972</v>
      </c>
      <c r="E64" s="465" t="n">
        <f aca="false">D64/(B58+B57)</f>
        <v>167.70831</v>
      </c>
      <c r="F64" s="63"/>
      <c r="G64" s="310" t="s">
        <v>92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92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77"/>
      <c r="E65" s="212"/>
      <c r="F65" s="63"/>
      <c r="G65" s="304" t="s">
        <v>93</v>
      </c>
      <c r="H65" s="305" t="n">
        <v>0.01</v>
      </c>
      <c r="I65" s="211"/>
      <c r="J65" s="211"/>
      <c r="K65" s="212"/>
      <c r="L65" s="63"/>
      <c r="M65" s="304" t="s">
        <v>93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</v>
      </c>
      <c r="C66" s="466" t="s">
        <v>220</v>
      </c>
      <c r="D66" s="211"/>
      <c r="E66" s="212"/>
      <c r="F66" s="63"/>
      <c r="G66" s="210" t="s">
        <v>94</v>
      </c>
      <c r="H66" s="308" t="n">
        <f aca="false">H65+(H65*0.5*(H29/12-1))</f>
        <v>0.01</v>
      </c>
      <c r="I66" s="211"/>
      <c r="J66" s="211"/>
      <c r="K66" s="212"/>
      <c r="L66" s="63"/>
      <c r="M66" s="210" t="s">
        <v>94</v>
      </c>
      <c r="N66" s="308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(B61*B66)</f>
        <v>374.04</v>
      </c>
      <c r="C67" s="467" t="s">
        <v>220</v>
      </c>
      <c r="D67" s="468"/>
      <c r="E67" s="212"/>
      <c r="F67" s="63"/>
      <c r="G67" s="310" t="s">
        <v>95</v>
      </c>
      <c r="H67" s="129" t="n">
        <f aca="false">(H61*H66)/1.2</f>
        <v>0</v>
      </c>
      <c r="I67" s="211"/>
      <c r="J67" s="277"/>
      <c r="K67" s="212"/>
      <c r="L67" s="63"/>
      <c r="M67" s="310" t="s">
        <v>95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469"/>
      <c r="D68" s="277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304" t="s">
        <v>96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407" t="s">
        <v>97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310" t="s">
        <v>98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304" t="s">
        <v>99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407" t="s">
        <v>100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226</v>
      </c>
      <c r="F73" s="63"/>
      <c r="G73" s="310" t="s">
        <v>101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310" t="s">
        <v>101</v>
      </c>
      <c r="N73" s="129" t="n">
        <f aca="false">N72*H29</f>
        <v>54</v>
      </c>
      <c r="O73" s="211"/>
      <c r="P73" s="277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165</v>
      </c>
      <c r="C74" s="211"/>
      <c r="D74" s="211"/>
      <c r="E74" s="212"/>
      <c r="F74" s="63"/>
      <c r="G74" s="304" t="s">
        <v>279</v>
      </c>
      <c r="H74" s="410" t="n">
        <v>165</v>
      </c>
      <c r="I74" s="211"/>
      <c r="J74" s="211"/>
      <c r="K74" s="212"/>
      <c r="L74" s="63"/>
      <c r="M74" s="413" t="s">
        <v>279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</v>
      </c>
      <c r="C75" s="211"/>
      <c r="D75" s="211"/>
      <c r="E75" s="212"/>
      <c r="F75" s="63"/>
      <c r="G75" s="407" t="s">
        <v>280</v>
      </c>
      <c r="H75" s="411" t="n">
        <v>0</v>
      </c>
      <c r="I75" s="211"/>
      <c r="J75" s="211"/>
      <c r="K75" s="212"/>
      <c r="L75" s="63"/>
      <c r="M75" s="415" t="s">
        <v>280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((B74+B75)/12)*(H29+1)</f>
        <v>178.75</v>
      </c>
      <c r="C76" s="211"/>
      <c r="D76" s="277" t="n">
        <f aca="false">B76</f>
        <v>178.75</v>
      </c>
      <c r="E76" s="212"/>
      <c r="F76" s="63"/>
      <c r="G76" s="310" t="s">
        <v>281</v>
      </c>
      <c r="H76" s="129" t="n">
        <f aca="false">((H74+H75)/12)*(H29-11)</f>
        <v>13.75</v>
      </c>
      <c r="I76" s="211"/>
      <c r="J76" s="277" t="n">
        <f aca="false">H76</f>
        <v>13.75</v>
      </c>
      <c r="K76" s="212"/>
      <c r="L76" s="63"/>
      <c r="M76" s="417" t="s">
        <v>281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282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37.037037037037</v>
      </c>
      <c r="F77" s="63"/>
      <c r="G77" s="304" t="s">
        <v>282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282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284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284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102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102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69.8958333333333</v>
      </c>
      <c r="F80" s="63"/>
      <c r="G80" s="420" t="s">
        <v>103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103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3517.91638666667</v>
      </c>
      <c r="C81" s="472"/>
      <c r="D81" s="473"/>
      <c r="E81" s="465"/>
      <c r="F81" s="63"/>
      <c r="G81" s="422" t="s">
        <v>104</v>
      </c>
      <c r="H81" s="423" t="n">
        <f aca="false">SUM(J64:J80)</f>
        <v>627.75</v>
      </c>
      <c r="I81" s="211"/>
      <c r="J81" s="211"/>
      <c r="K81" s="212"/>
      <c r="L81" s="63"/>
      <c r="M81" s="422" t="s">
        <v>104</v>
      </c>
      <c r="N81" s="42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293.159698888889</v>
      </c>
      <c r="C82" s="472"/>
      <c r="D82" s="211"/>
      <c r="E82" s="465"/>
      <c r="F82" s="63"/>
      <c r="G82" s="210" t="s">
        <v>105</v>
      </c>
      <c r="H82" s="419" t="n">
        <f aca="false">H81/H29</f>
        <v>52.3125</v>
      </c>
      <c r="I82" s="211"/>
      <c r="J82" s="211"/>
      <c r="K82" s="212"/>
      <c r="L82" s="63"/>
      <c r="M82" s="210" t="s">
        <v>105</v>
      </c>
      <c r="N82" s="41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H47</f>
        <v>2067.51803535204</v>
      </c>
      <c r="C83" s="472"/>
      <c r="D83" s="211"/>
      <c r="E83" s="465" t="n">
        <f aca="false">B83+E80+E77+E64</f>
        <v>2342.15921572241</v>
      </c>
      <c r="F83" s="63"/>
      <c r="G83" s="424" t="s">
        <v>106</v>
      </c>
      <c r="H83" s="425" t="n">
        <f aca="false">H47</f>
        <v>2067.51803535204</v>
      </c>
      <c r="I83" s="211"/>
      <c r="J83" s="211"/>
      <c r="K83" s="212"/>
      <c r="L83" s="63"/>
      <c r="M83" s="424" t="s">
        <v>106</v>
      </c>
      <c r="N83" s="425" t="n">
        <f aca="false">H47</f>
        <v>2067.51803535204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63"/>
      <c r="G85" s="404" t="s">
        <v>116</v>
      </c>
      <c r="H85" s="127" t="n">
        <f aca="false">((H83*H29)+H81)*1.2</f>
        <v>30525.5597090693</v>
      </c>
      <c r="I85" s="211"/>
      <c r="J85" s="211"/>
      <c r="K85" s="212"/>
      <c r="L85" s="63"/>
      <c r="M85" s="404" t="s">
        <v>116</v>
      </c>
      <c r="N85" s="127" t="n">
        <f aca="false">((N83*H29)+N81)</f>
        <v>25424.2164242244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(((B83*H29)+B81)/(1-B70))*B70</f>
        <v>239.972081092664</v>
      </c>
      <c r="C86" s="472" t="s">
        <v>229</v>
      </c>
      <c r="D86" s="211"/>
      <c r="E86" s="465" t="n">
        <f aca="false">B86/(B58+B57)</f>
        <v>19.9976734243886</v>
      </c>
      <c r="F86" s="63"/>
      <c r="G86" s="210" t="s">
        <v>117</v>
      </c>
      <c r="H86" s="419" t="n">
        <f aca="false">((((H83*H29)+H81))/(1-H70))*H70</f>
        <v>215.489025780038</v>
      </c>
      <c r="I86" s="211"/>
      <c r="J86" s="211"/>
      <c r="K86" s="212"/>
      <c r="L86" s="63"/>
      <c r="M86" s="210" t="s">
        <v>117</v>
      </c>
      <c r="N86" s="419" t="n">
        <f aca="false">(N85/(1-N70))*N70</f>
        <v>215.37254736132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63"/>
      <c r="G87" s="310" t="s">
        <v>118</v>
      </c>
      <c r="H87" s="129" t="n">
        <f aca="false">IF(H110="YES",((H85+H86)-K114),(H85+H86))</f>
        <v>30741.0487348493</v>
      </c>
      <c r="I87" s="211"/>
      <c r="J87" s="211"/>
      <c r="K87" s="212"/>
      <c r="L87" s="63"/>
      <c r="M87" s="310" t="s">
        <v>118</v>
      </c>
      <c r="N87" s="129" t="n">
        <f aca="false">IF(N110="YES",((N85+N86)-Q114),(N85+N86))</f>
        <v>25639.5889715857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23" t="n">
        <f aca="false">IF(B99=Y98, (I32+(I32*B105))/(B58), (I32+(I32*B105))/(B57+B58))*(C45/100)</f>
        <v>35.641775</v>
      </c>
      <c r="C89" s="472"/>
      <c r="D89" s="211"/>
      <c r="E89" s="212"/>
      <c r="F89" s="63"/>
      <c r="G89" s="422" t="s">
        <v>119</v>
      </c>
      <c r="H89" s="423" t="n">
        <f aca="false">IF(H99=Y98, (D40+(D40*H105))/(H58), (D40+(D40*H105))/(H57+H58))*1.2</f>
        <v>92.8944</v>
      </c>
      <c r="I89" s="211"/>
      <c r="J89" s="211"/>
      <c r="K89" s="212"/>
      <c r="L89" s="63"/>
      <c r="M89" s="422" t="s">
        <v>119</v>
      </c>
      <c r="N89" s="423" t="n">
        <f aca="false">IF(N99=Y98, (D40+(D40*N105))/(N58), (D40+(D40*N105))/(N57+N58))</f>
        <v>77.412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IF(B99=Y98, (B87-D105)/(B58), B87/(B57+B58))</f>
        <v>2380.67540766531</v>
      </c>
      <c r="C90" s="472"/>
      <c r="D90" s="211"/>
      <c r="E90" s="475"/>
      <c r="F90" s="63"/>
      <c r="G90" s="427" t="s">
        <v>120</v>
      </c>
      <c r="H90" s="428" t="n">
        <f aca="false">IF(H99=Y98, (H87-J105)/(H58), H87/(H57+H58))</f>
        <v>1808.2969844029</v>
      </c>
      <c r="I90" s="211"/>
      <c r="J90" s="211"/>
      <c r="K90" s="212"/>
      <c r="L90" s="63"/>
      <c r="M90" s="427" t="s">
        <v>120</v>
      </c>
      <c r="N90" s="428" t="n">
        <f aca="false">IF(N99=Y98, (N87-P105)/(N58), N87/(N57+N58))</f>
        <v>1508.21111597563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2416.31718266531</v>
      </c>
      <c r="C91" s="472"/>
      <c r="D91" s="476"/>
      <c r="E91" s="412"/>
      <c r="F91" s="63"/>
      <c r="G91" s="429" t="s">
        <v>121</v>
      </c>
      <c r="H91" s="430" t="n">
        <f aca="false">IF(G105="YES", H90+H89, H90)</f>
        <v>1901.1913844029</v>
      </c>
      <c r="I91" s="211"/>
      <c r="J91" s="211"/>
      <c r="K91" s="212"/>
      <c r="L91" s="63"/>
      <c r="M91" s="429" t="s">
        <v>121</v>
      </c>
      <c r="N91" s="430" t="n">
        <f aca="false">IF(M105="YES", N90+N89, N90)</f>
        <v>1585.62311597563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209" t="s">
        <v>287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213" t="s">
        <v>126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265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210" t="s">
        <v>127</v>
      </c>
      <c r="N98" s="211" t="s">
        <v>23</v>
      </c>
      <c r="O98" s="211"/>
      <c r="P98" s="211" t="s">
        <v>288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289</v>
      </c>
      <c r="B99" s="331" t="s">
        <v>130</v>
      </c>
      <c r="C99" s="331"/>
      <c r="D99" s="103" t="n">
        <v>1000</v>
      </c>
      <c r="E99" s="103"/>
      <c r="F99" s="63"/>
      <c r="G99" s="216" t="s">
        <v>289</v>
      </c>
      <c r="H99" s="331" t="s">
        <v>261</v>
      </c>
      <c r="I99" s="331"/>
      <c r="J99" s="103" t="n">
        <v>0</v>
      </c>
      <c r="K99" s="103"/>
      <c r="L99" s="63"/>
      <c r="M99" s="216" t="s">
        <v>289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374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210" t="s">
        <v>290</v>
      </c>
      <c r="N101" s="211" t="s">
        <v>291</v>
      </c>
      <c r="O101" s="211"/>
      <c r="P101" s="211" t="s">
        <v>292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216" t="s">
        <v>128</v>
      </c>
      <c r="N104" s="63" t="s">
        <v>131</v>
      </c>
      <c r="O104" s="211"/>
      <c r="P104" s="211" t="s">
        <v>142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0.3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293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213" t="s">
        <v>294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295</v>
      </c>
      <c r="B110" s="218" t="s">
        <v>19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210" t="s">
        <v>295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</v>
      </c>
      <c r="E112" s="103" t="n">
        <v>6000</v>
      </c>
      <c r="F112" s="63"/>
      <c r="G112" s="210" t="s">
        <v>176</v>
      </c>
      <c r="H112" s="211"/>
      <c r="I112" s="211"/>
      <c r="J112" s="333" t="n">
        <v>0</v>
      </c>
      <c r="K112" s="103" t="n">
        <v>0</v>
      </c>
      <c r="L112" s="63"/>
      <c r="M112" s="210" t="s">
        <v>176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177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177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178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0</v>
      </c>
      <c r="K115" s="212"/>
      <c r="L115" s="63"/>
      <c r="M115" s="210" t="s">
        <v>179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f aca="false">D99</f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404" t="s">
        <v>138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296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296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213" t="s">
        <v>297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210" t="s">
        <v>183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12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300</v>
      </c>
      <c r="H126" s="434" t="s">
        <v>301</v>
      </c>
      <c r="I126" s="434"/>
      <c r="J126" s="434" t="s">
        <v>302</v>
      </c>
      <c r="K126" s="212"/>
      <c r="L126" s="63"/>
      <c r="M126" s="433" t="s">
        <v>303</v>
      </c>
      <c r="N126" s="434" t="s">
        <v>248</v>
      </c>
      <c r="O126" s="434"/>
      <c r="P126" s="434" t="s">
        <v>121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348" t="n">
        <f aca="false">H90</f>
        <v>1808.2969844029</v>
      </c>
      <c r="H127" s="174" t="n">
        <f aca="false">IF(G105="YES", H89*H57, 0)</f>
        <v>557.3664</v>
      </c>
      <c r="I127" s="174"/>
      <c r="J127" s="349" t="n">
        <f aca="false">H91</f>
        <v>1901.1913844029</v>
      </c>
      <c r="K127" s="212"/>
      <c r="L127" s="63"/>
      <c r="M127" s="348" t="n">
        <f aca="false">N90</f>
        <v>1508.21111597563</v>
      </c>
      <c r="N127" s="174" t="n">
        <f aca="false">IF(M105="YES", N89*N57, 0)</f>
        <v>464.472</v>
      </c>
      <c r="O127" s="174"/>
      <c r="P127" s="174" t="n">
        <f aca="false">N91</f>
        <v>1585.62311597563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2380.67540766531</v>
      </c>
      <c r="B128" s="338" t="n">
        <f aca="false">IF(A105="YES", B89, 0)</f>
        <v>35.641775</v>
      </c>
      <c r="C128" s="342"/>
      <c r="D128" s="338" t="n">
        <f aca="false">B91</f>
        <v>2416.31718266531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84</v>
      </c>
      <c r="H129" s="211" t="s">
        <v>85</v>
      </c>
      <c r="I129" s="211"/>
      <c r="J129" s="211" t="s">
        <v>87</v>
      </c>
      <c r="K129" s="212"/>
      <c r="L129" s="63"/>
      <c r="M129" s="210" t="s">
        <v>84</v>
      </c>
      <c r="N129" s="211" t="s">
        <v>85</v>
      </c>
      <c r="O129" s="211"/>
      <c r="P129" s="211" t="s">
        <v>87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2380.67540766531</v>
      </c>
      <c r="C131" s="280"/>
      <c r="D131" s="38" t="n">
        <f aca="false">IF(A105="YES", B89*B57, 0)</f>
        <v>35.641775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210" t="s">
        <v>309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10849.7819064174</v>
      </c>
      <c r="H133" s="99" t="n">
        <f aca="false">IF(G105="YES", H89*H57, 0)</f>
        <v>557.3664</v>
      </c>
      <c r="I133" s="217"/>
      <c r="J133" s="181" t="n">
        <f aca="false">H91*H57</f>
        <v>11407.1483064174</v>
      </c>
      <c r="K133" s="212"/>
      <c r="L133" s="63"/>
      <c r="M133" s="182" t="n">
        <f aca="false">N90*N57</f>
        <v>9049.26669585379</v>
      </c>
      <c r="N133" s="99" t="n">
        <f aca="false">IF(M105="YES", N89*N57, 0)</f>
        <v>464.472</v>
      </c>
      <c r="O133" s="217"/>
      <c r="P133" s="181" t="n">
        <f aca="false">N91*N57</f>
        <v>9513.73869585379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2416.31718266531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2380.67540766531</v>
      </c>
      <c r="B137" s="38" t="n">
        <f aca="false">IF(A105="YES", B89, 0)</f>
        <v>35.641775</v>
      </c>
      <c r="C137" s="280"/>
      <c r="D137" s="38" t="n">
        <f aca="false">B91</f>
        <v>2416.31718266531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210" t="s">
        <v>141</v>
      </c>
      <c r="N138" s="211" t="s">
        <v>316</v>
      </c>
      <c r="O138" s="211"/>
      <c r="P138" s="211" t="s">
        <v>317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210" t="s">
        <v>319</v>
      </c>
      <c r="N141" s="211" t="s">
        <v>320</v>
      </c>
      <c r="O141" s="211"/>
      <c r="P141" s="211" t="s">
        <v>321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((B36*H105)*0.1)*(G130), 0)</f>
        <v>6.58002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6.58002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210" t="s">
        <v>323</v>
      </c>
      <c r="N144" s="211" t="s">
        <v>324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329</v>
      </c>
      <c r="N147" s="163" t="s">
        <v>330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374.04</v>
      </c>
      <c r="B148" s="99" t="n">
        <f aca="false">B102</f>
        <v>400</v>
      </c>
      <c r="C148" s="38"/>
      <c r="D148" s="38" t="n">
        <f aca="false">IF(A105="YES", (B40*B105)*B125, 0)*0.1</f>
        <v>9.87003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883.90003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331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1901.1913844029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84</v>
      </c>
      <c r="N153" s="247" t="s">
        <v>85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1585.62311597563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2416.31718266531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41" t="n">
        <f aca="false">A161</f>
        <v>12</v>
      </c>
      <c r="C174" s="369"/>
      <c r="D174" s="341" t="n">
        <f aca="false">D125</f>
        <v>35000</v>
      </c>
      <c r="E174" s="339"/>
      <c r="F174" s="63"/>
      <c r="G174" s="452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2380.67540766531</v>
      </c>
      <c r="B177" s="367" t="n">
        <f aca="false">IF(A105="YES", B89, 0)</f>
        <v>35.641775</v>
      </c>
      <c r="C177" s="369"/>
      <c r="D177" s="367" t="n">
        <f aca="false">B91</f>
        <v>2416.31718266531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2380.67540766531</v>
      </c>
      <c r="C180" s="282"/>
      <c r="D180" s="99" t="n">
        <f aca="false">IF(A105="YES", B89*B57, 0)</f>
        <v>35.641775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2416.31718266531</v>
      </c>
      <c r="B183" s="99" t="n">
        <f aca="false">E114</f>
        <v>4000</v>
      </c>
      <c r="C183" s="282"/>
      <c r="D183" s="371" t="n">
        <f aca="false">B58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2380.67540766531</v>
      </c>
      <c r="B186" s="99" t="n">
        <f aca="false">IF(A105="YES", B89, 0)</f>
        <v>35.641775</v>
      </c>
      <c r="C186" s="282"/>
      <c r="D186" s="99" t="n">
        <f aca="false">B91</f>
        <v>2416.31718266531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374.04</v>
      </c>
      <c r="B197" s="99" t="n">
        <f aca="false">B102</f>
        <v>400</v>
      </c>
      <c r="C197" s="99"/>
      <c r="D197" s="99" t="n">
        <f aca="false">IF(A105="YES", (B40*B105)*B125, 0)*0.1</f>
        <v>9.87003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883.90003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D64</f>
        <v>2012.49972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374.04</v>
      </c>
      <c r="C211" s="337" t="s">
        <v>216</v>
      </c>
      <c r="D211" s="377" t="n">
        <f aca="false">B225+E221+B221+B223</f>
        <v>438.6903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2077.15002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D64</f>
        <v>2012.49972</v>
      </c>
      <c r="C217" s="381" t="s">
        <v>220</v>
      </c>
      <c r="D217" s="280"/>
      <c r="E217" s="309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B67</f>
        <v>374.04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(B77-(B77*(E219*100)))*0.1</f>
        <v>40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B78-(B78*(E219*100))</f>
        <v>200</v>
      </c>
      <c r="C223" s="351" t="s">
        <v>217</v>
      </c>
      <c r="D223" s="280"/>
      <c r="E223" s="33" t="n">
        <f aca="false">(B217-B211+D211)</f>
        <v>2077.15002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98.7003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B71</f>
        <v>200</v>
      </c>
      <c r="C229" s="351" t="s">
        <v>225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B68</f>
        <v>0.0075</v>
      </c>
      <c r="C231" s="351" t="s">
        <v>228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B86</f>
        <v>239.972081092664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B79</f>
        <v>200</v>
      </c>
      <c r="C233" s="387" t="s">
        <v>338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B80</f>
        <v>200</v>
      </c>
      <c r="C235" s="391" t="s">
        <v>339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 t="n">
        <v>0</v>
      </c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80</v>
      </c>
      <c r="H36" s="64" t="s">
        <v>81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84</v>
      </c>
      <c r="B51" s="247" t="s">
        <v>85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86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87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88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89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90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91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92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94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95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96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97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99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100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101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102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103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105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106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107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108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110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114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115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118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119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120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121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204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206</v>
      </c>
      <c r="B232" s="130" t="s">
        <v>207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208</v>
      </c>
      <c r="B235" s="163" t="s">
        <v>74</v>
      </c>
      <c r="C235" s="130"/>
      <c r="D235" s="130"/>
      <c r="E235" s="163" t="s">
        <v>132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B63</f>
        <v>0.065</v>
      </c>
      <c r="C253" s="194"/>
      <c r="D253" s="195" t="s">
        <v>213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240.991666666667</v>
      </c>
      <c r="C255" s="194"/>
      <c r="D255" s="195" t="s">
        <v>217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0.05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0.115</v>
      </c>
      <c r="C260" s="43"/>
      <c r="D260" s="163" t="s">
        <v>214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0.009375</v>
      </c>
      <c r="C261" s="32"/>
      <c r="D261" s="163" t="s">
        <v>220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0.3</v>
      </c>
      <c r="C262" s="32"/>
      <c r="D262" s="163" t="s">
        <v>221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99.9916666666667</v>
      </c>
      <c r="C263" s="32"/>
      <c r="D263" s="39" t="s">
        <v>217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80</v>
      </c>
      <c r="H36" s="64" t="s">
        <v>81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84</v>
      </c>
      <c r="B51" s="247" t="s">
        <v>85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86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87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88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89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90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91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92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94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95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96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97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99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100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101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102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103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105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106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107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108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110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114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115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118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119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120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121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150</v>
      </c>
      <c r="D120" s="112" t="s">
        <v>149</v>
      </c>
      <c r="E120" s="114" t="n">
        <v>0</v>
      </c>
      <c r="F120" s="112" t="s">
        <v>149</v>
      </c>
      <c r="G120" s="114" t="s">
        <v>150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204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206</v>
      </c>
      <c r="B232" s="130" t="s">
        <v>207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208</v>
      </c>
      <c r="B235" s="163" t="s">
        <v>74</v>
      </c>
      <c r="C235" s="130"/>
      <c r="D235" s="130"/>
      <c r="E235" s="163" t="s">
        <v>132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B63</f>
        <v>0.065</v>
      </c>
      <c r="C253" s="194"/>
      <c r="D253" s="195" t="s">
        <v>213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240.99</v>
      </c>
      <c r="C255" s="194"/>
      <c r="D255" s="195" t="s">
        <v>217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0.05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0.115</v>
      </c>
      <c r="C260" s="43"/>
      <c r="D260" s="163" t="s">
        <v>214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0.009375</v>
      </c>
      <c r="C261" s="32"/>
      <c r="D261" s="163" t="s">
        <v>220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0.3</v>
      </c>
      <c r="C262" s="32"/>
      <c r="D262" s="163" t="s">
        <v>221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</v>
      </c>
      <c r="C263" s="32"/>
      <c r="D263" s="39" t="s">
        <v>217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80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84</v>
      </c>
      <c r="B51" s="247" t="s">
        <v>85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86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87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88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89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90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91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92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94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95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96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97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99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100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101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102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103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105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106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107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108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110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114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115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118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119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120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121</v>
      </c>
      <c r="B96" s="94" t="n">
        <f aca="false">B94+B95</f>
        <v>1584.81640136705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523.884895833334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187</v>
      </c>
      <c r="B232" s="130" t="s">
        <v>207</v>
      </c>
      <c r="C232" s="130"/>
      <c r="D232" s="130"/>
      <c r="E232" s="130" t="s">
        <v>208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132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523.884895833334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B63</f>
        <v>0.065</v>
      </c>
      <c r="C253" s="194"/>
      <c r="D253" s="195" t="s">
        <v>213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66.6583333333334</v>
      </c>
      <c r="C255" s="194"/>
      <c r="D255" s="195" t="s">
        <v>217</v>
      </c>
      <c r="E255" s="195"/>
      <c r="F255" s="196" t="n">
        <f aca="false">(B254-F254)+B255</f>
        <v>-482.013541666667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0.05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0.115</v>
      </c>
      <c r="C260" s="43"/>
      <c r="D260" s="163" t="s">
        <v>214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0.009375</v>
      </c>
      <c r="C261" s="32"/>
      <c r="D261" s="163" t="s">
        <v>220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66.6583333333334</v>
      </c>
      <c r="C263" s="32"/>
      <c r="D263" s="39" t="s">
        <v>217</v>
      </c>
      <c r="E263" s="39"/>
      <c r="F263" s="143" t="n">
        <f aca="false">(B254-F254)+B255</f>
        <v>-482.013541666667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292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92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92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578.85</v>
      </c>
      <c r="C73" s="211"/>
      <c r="D73" s="277"/>
      <c r="E73" s="212"/>
      <c r="F73" s="63"/>
      <c r="G73" s="310" t="s">
        <v>95</v>
      </c>
      <c r="H73" s="129" t="n">
        <f aca="false">H67*H72</f>
        <v>289.425</v>
      </c>
      <c r="I73" s="211"/>
      <c r="J73" s="277"/>
      <c r="K73" s="212"/>
      <c r="L73" s="63"/>
      <c r="M73" s="310" t="s">
        <v>95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279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280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280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281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104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104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448.218055555556</v>
      </c>
      <c r="C88" s="211"/>
      <c r="D88" s="211"/>
      <c r="E88" s="212"/>
      <c r="F88" s="63"/>
      <c r="G88" s="210" t="s">
        <v>105</v>
      </c>
      <c r="H88" s="419" t="n">
        <f aca="false">H87/H29</f>
        <v>600.461111111111</v>
      </c>
      <c r="I88" s="211"/>
      <c r="J88" s="211"/>
      <c r="K88" s="212"/>
      <c r="L88" s="63"/>
      <c r="M88" s="210" t="s">
        <v>105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116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116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117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630.789698086146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287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6.864</v>
      </c>
      <c r="C134" s="394"/>
      <c r="D134" s="338" t="n">
        <f aca="false">B97</f>
        <v>630.789698086146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61.776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280"/>
      <c r="D143" s="38" t="n">
        <f aca="false">B97</f>
        <v>630.789698086146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6.864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61.776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282"/>
      <c r="D186" s="99" t="n">
        <f aca="false">B97</f>
        <v>630.789698086146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578.85</v>
      </c>
      <c r="C211" s="337" t="s">
        <v>216</v>
      </c>
      <c r="D211" s="377" t="n">
        <f aca="false">B225+E221+B221+B223</f>
        <v>358.998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3832.098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4051.95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578.85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19.008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92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92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578.85</v>
      </c>
      <c r="C73" s="211"/>
      <c r="D73" s="277"/>
      <c r="E73" s="212"/>
      <c r="F73" s="63"/>
      <c r="G73" s="310" t="s">
        <v>95</v>
      </c>
      <c r="H73" s="129" t="n">
        <f aca="false">H67*H72</f>
        <v>289.425</v>
      </c>
      <c r="I73" s="211"/>
      <c r="J73" s="277"/>
      <c r="K73" s="212"/>
      <c r="L73" s="63"/>
      <c r="M73" s="310" t="s">
        <v>95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280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281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5421.95</v>
      </c>
      <c r="C87" s="211"/>
      <c r="D87" s="211"/>
      <c r="E87" s="212"/>
      <c r="F87" s="63"/>
      <c r="G87" s="422" t="s">
        <v>104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104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451.829166666667</v>
      </c>
      <c r="C88" s="211"/>
      <c r="D88" s="211"/>
      <c r="E88" s="212"/>
      <c r="F88" s="63"/>
      <c r="G88" s="210" t="s">
        <v>105</v>
      </c>
      <c r="H88" s="419" t="n">
        <f aca="false">H87/H29</f>
        <v>600.461111111111</v>
      </c>
      <c r="I88" s="211"/>
      <c r="J88" s="211"/>
      <c r="K88" s="212"/>
      <c r="L88" s="63"/>
      <c r="M88" s="210" t="s">
        <v>105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116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116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117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818.133232822375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0</v>
      </c>
      <c r="C134" s="394"/>
      <c r="D134" s="338" t="n">
        <f aca="false">B97</f>
        <v>818.133232822375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7363.19909540137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0</v>
      </c>
      <c r="C143" s="280"/>
      <c r="D143" s="38" t="n">
        <f aca="false">B97</f>
        <v>818.133232822375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818.133232822375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0</v>
      </c>
      <c r="C177" s="395"/>
      <c r="D177" s="367" t="n">
        <f aca="false">B91</f>
        <v>13720.74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7363.19909540137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0</v>
      </c>
      <c r="C186" s="282"/>
      <c r="D186" s="99" t="n">
        <f aca="false">B97</f>
        <v>818.133232822375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578.85</v>
      </c>
      <c r="C211" s="337" t="s">
        <v>216</v>
      </c>
      <c r="D211" s="377" t="n">
        <f aca="false">B225+E221+B221+B223</f>
        <v>339.991666666667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3813.09166666667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4051.95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578.85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 t="n">
        <v>0</v>
      </c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92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92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578.85</v>
      </c>
      <c r="C73" s="211"/>
      <c r="D73" s="277"/>
      <c r="E73" s="212"/>
      <c r="F73" s="63"/>
      <c r="G73" s="310" t="s">
        <v>95</v>
      </c>
      <c r="H73" s="129" t="n">
        <f aca="false">H67*H72</f>
        <v>289.425</v>
      </c>
      <c r="I73" s="211"/>
      <c r="J73" s="277"/>
      <c r="K73" s="212"/>
      <c r="L73" s="63"/>
      <c r="M73" s="310" t="s">
        <v>95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0</v>
      </c>
      <c r="C80" s="211"/>
      <c r="D80" s="211"/>
      <c r="E80" s="412" t="n">
        <f aca="false">E79+D82</f>
        <v>660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0</v>
      </c>
      <c r="C81" s="211"/>
      <c r="D81" s="211"/>
      <c r="E81" s="212" t="n">
        <f aca="false">E80/12</f>
        <v>55</v>
      </c>
      <c r="F81" s="63"/>
      <c r="G81" s="407" t="s">
        <v>280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281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104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104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448.218055555556</v>
      </c>
      <c r="C88" s="211"/>
      <c r="D88" s="211"/>
      <c r="E88" s="212"/>
      <c r="F88" s="63"/>
      <c r="G88" s="210" t="s">
        <v>105</v>
      </c>
      <c r="H88" s="419" t="n">
        <f aca="false">H87/H29</f>
        <v>600.461111111111</v>
      </c>
      <c r="I88" s="211"/>
      <c r="J88" s="211"/>
      <c r="K88" s="212"/>
      <c r="L88" s="63"/>
      <c r="M88" s="210" t="s">
        <v>105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116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116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117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623.925698086146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0</v>
      </c>
      <c r="C134" s="394"/>
      <c r="D134" s="338" t="n">
        <f aca="false">B97</f>
        <v>623.925698086146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5615.33128277531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0</v>
      </c>
      <c r="C143" s="280"/>
      <c r="D143" s="38" t="n">
        <f aca="false">B97</f>
        <v>623.925698086146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623.925698086146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0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5615.33128277531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0</v>
      </c>
      <c r="C186" s="282"/>
      <c r="D186" s="99" t="n">
        <f aca="false">B97</f>
        <v>623.925698086146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578.85</v>
      </c>
      <c r="C211" s="337" t="s">
        <v>216</v>
      </c>
      <c r="D211" s="377" t="n">
        <f aca="false">B225+E221+B221+B223</f>
        <v>339.99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3813.09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4051.95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578.85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262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80</v>
      </c>
      <c r="H36" s="64" t="s">
        <v>81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84</v>
      </c>
      <c r="B51" s="247" t="s">
        <v>85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86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87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88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89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90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91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92</v>
      </c>
      <c r="B65" s="65" t="n">
        <f aca="false">(B89*B59)-B53</f>
        <v>51961.7272372354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94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95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96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97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99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100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101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102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103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105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106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107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108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110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114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115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52476.3332978415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118</v>
      </c>
      <c r="B92" s="65" t="n">
        <f aca="false">(B90+B91)</f>
        <v>52476.3332978415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119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120</v>
      </c>
      <c r="B95" s="92" t="n">
        <f aca="false">B92/(B85)</f>
        <v>1639.88541555755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121</v>
      </c>
      <c r="B96" s="94" t="n">
        <f aca="false">B94+B95</f>
        <v>1657.51041555755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1639.88541555755</v>
      </c>
      <c r="B167" s="174" t="n">
        <f aca="false">B94</f>
        <v>17.625</v>
      </c>
      <c r="C167" s="171"/>
      <c r="D167" s="171"/>
      <c r="E167" s="174" t="n">
        <f aca="false">B96</f>
        <v>1657.51041555755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E179+A182+B182+A185</f>
        <v>58686.3232978415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1657.51041555755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n">
        <f aca="false">B167</f>
        <v>17.625</v>
      </c>
      <c r="C212" s="171"/>
      <c r="D212" s="171"/>
      <c r="E212" s="174" t="n">
        <f aca="false">E167</f>
        <v>1657.51041555755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58686.3232978415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n">
        <f aca="false">B167</f>
        <v>17.625</v>
      </c>
      <c r="C230" s="183"/>
      <c r="D230" s="183"/>
      <c r="E230" s="99" t="n">
        <f aca="false">E167</f>
        <v>1657.51041555755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187</v>
      </c>
      <c r="B232" s="130" t="s">
        <v>207</v>
      </c>
      <c r="C232" s="130"/>
      <c r="D232" s="130"/>
      <c r="E232" s="130" t="s">
        <v>208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132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B63</f>
        <v>0.065</v>
      </c>
      <c r="C253" s="194"/>
      <c r="D253" s="195" t="s">
        <v>213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193.99</v>
      </c>
      <c r="C255" s="194"/>
      <c r="D255" s="195" t="s">
        <v>217</v>
      </c>
      <c r="E255" s="195"/>
      <c r="F255" s="196" t="n">
        <f aca="false">(B254-F254)+B255</f>
        <v>-354.681875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0.072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0.137</v>
      </c>
      <c r="C260" s="43"/>
      <c r="D260" s="163" t="s">
        <v>214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0.009375</v>
      </c>
      <c r="C261" s="32"/>
      <c r="D261" s="163" t="s">
        <v>220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</v>
      </c>
      <c r="C263" s="32"/>
      <c r="D263" s="39" t="s">
        <v>217</v>
      </c>
      <c r="E263" s="39"/>
      <c r="F263" s="143" t="n">
        <f aca="false">(B254-F254)+B255</f>
        <v>-354.681875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348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272</v>
      </c>
      <c r="C44" s="100"/>
      <c r="D44" s="100" t="s">
        <v>348</v>
      </c>
      <c r="E44" s="100"/>
      <c r="F44" s="63"/>
      <c r="G44" s="63" t="s">
        <v>253</v>
      </c>
      <c r="H44" s="234" t="str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344</v>
      </c>
      <c r="C47" s="396"/>
      <c r="D47" s="100" t="s">
        <v>344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92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92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578.85</v>
      </c>
      <c r="C73" s="211"/>
      <c r="D73" s="277"/>
      <c r="E73" s="212"/>
      <c r="F73" s="63"/>
      <c r="G73" s="310" t="s">
        <v>95</v>
      </c>
      <c r="H73" s="129" t="n">
        <f aca="false">H67*H72</f>
        <v>289.425</v>
      </c>
      <c r="I73" s="211"/>
      <c r="J73" s="277"/>
      <c r="K73" s="212"/>
      <c r="L73" s="63"/>
      <c r="M73" s="310" t="s">
        <v>95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279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280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280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281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104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104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448.218055555556</v>
      </c>
      <c r="C88" s="211"/>
      <c r="D88" s="211"/>
      <c r="E88" s="212"/>
      <c r="F88" s="63"/>
      <c r="G88" s="210" t="s">
        <v>105</v>
      </c>
      <c r="H88" s="419" t="n">
        <f aca="false">H87/H29</f>
        <v>600.461111111111</v>
      </c>
      <c r="I88" s="211"/>
      <c r="J88" s="211"/>
      <c r="K88" s="212"/>
      <c r="L88" s="63"/>
      <c r="M88" s="210" t="s">
        <v>105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116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116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117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623.925698086146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345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4" t="n">
        <v>0</v>
      </c>
      <c r="C111" s="334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0</v>
      </c>
      <c r="C134" s="394"/>
      <c r="D134" s="338" t="n">
        <f aca="false">B97</f>
        <v>623.925698086146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5615.33128277531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0</v>
      </c>
      <c r="C143" s="280"/>
      <c r="D143" s="38" t="n">
        <f aca="false">B97</f>
        <v>623.925698086146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623.925698086146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0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5615.33128277531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0</v>
      </c>
      <c r="C186" s="282"/>
      <c r="D186" s="99" t="n">
        <f aca="false">B97</f>
        <v>623.925698086146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578.85</v>
      </c>
      <c r="C211" s="337" t="s">
        <v>216</v>
      </c>
      <c r="D211" s="377" t="n">
        <f aca="false">B225+E221+B221+B223</f>
        <v>339.99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3813.09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4051.95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578.85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271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272</v>
      </c>
      <c r="C44" s="100"/>
      <c r="D44" s="100" t="s">
        <v>344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344</v>
      </c>
      <c r="C47" s="396"/>
      <c r="D47" s="100" t="s">
        <v>344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92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92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578.85</v>
      </c>
      <c r="C73" s="211"/>
      <c r="D73" s="277"/>
      <c r="E73" s="212"/>
      <c r="F73" s="63"/>
      <c r="G73" s="310" t="s">
        <v>95</v>
      </c>
      <c r="H73" s="129" t="n">
        <f aca="false">H67*H72</f>
        <v>289.425</v>
      </c>
      <c r="I73" s="211"/>
      <c r="J73" s="277"/>
      <c r="K73" s="212"/>
      <c r="L73" s="63"/>
      <c r="M73" s="310" t="s">
        <v>95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280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281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5421.95</v>
      </c>
      <c r="C87" s="211"/>
      <c r="D87" s="211"/>
      <c r="E87" s="212"/>
      <c r="F87" s="63"/>
      <c r="G87" s="422" t="s">
        <v>104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104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451.829166666667</v>
      </c>
      <c r="C88" s="211"/>
      <c r="D88" s="211"/>
      <c r="E88" s="212"/>
      <c r="F88" s="63"/>
      <c r="G88" s="210" t="s">
        <v>105</v>
      </c>
      <c r="H88" s="419" t="n">
        <f aca="false">H87/H29</f>
        <v>600.461111111111</v>
      </c>
      <c r="I88" s="211"/>
      <c r="J88" s="211"/>
      <c r="K88" s="212"/>
      <c r="L88" s="63"/>
      <c r="M88" s="210" t="s">
        <v>105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116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116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117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896.133232822375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78</v>
      </c>
      <c r="C134" s="394"/>
      <c r="D134" s="338" t="n">
        <f aca="false">B97</f>
        <v>896.133232822375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8065.19909540137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78</v>
      </c>
      <c r="C143" s="280"/>
      <c r="D143" s="38" t="n">
        <f aca="false">B97</f>
        <v>896.133232822375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896.133232822375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78</v>
      </c>
      <c r="C177" s="395"/>
      <c r="D177" s="367" t="n">
        <f aca="false">B97</f>
        <v>896.133232822375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8065.19909540137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78</v>
      </c>
      <c r="C186" s="282"/>
      <c r="D186" s="99" t="n">
        <f aca="false">B97</f>
        <v>896.133232822375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578.85</v>
      </c>
      <c r="C211" s="337" t="s">
        <v>216</v>
      </c>
      <c r="D211" s="377" t="n">
        <f aca="false">B225+E221+B221+B223</f>
        <v>519.991666666667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3993.09166666667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4051.95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578.85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3993.09166666667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271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272</v>
      </c>
      <c r="C44" s="100"/>
      <c r="D44" s="100" t="s">
        <v>344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344</v>
      </c>
      <c r="C47" s="396"/>
      <c r="D47" s="100" t="s">
        <v>344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92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92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578.85</v>
      </c>
      <c r="C73" s="211"/>
      <c r="D73" s="277"/>
      <c r="E73" s="212"/>
      <c r="F73" s="63"/>
      <c r="G73" s="310" t="s">
        <v>95</v>
      </c>
      <c r="H73" s="129" t="n">
        <f aca="false">H67*H72</f>
        <v>289.425</v>
      </c>
      <c r="I73" s="211"/>
      <c r="J73" s="277"/>
      <c r="K73" s="212"/>
      <c r="L73" s="63"/>
      <c r="M73" s="310" t="s">
        <v>95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280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281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5421.95</v>
      </c>
      <c r="C87" s="211"/>
      <c r="D87" s="211"/>
      <c r="E87" s="212"/>
      <c r="F87" s="63"/>
      <c r="G87" s="422" t="s">
        <v>104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104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451.829166666667</v>
      </c>
      <c r="C88" s="211"/>
      <c r="D88" s="211"/>
      <c r="E88" s="212"/>
      <c r="F88" s="63"/>
      <c r="G88" s="210" t="s">
        <v>105</v>
      </c>
      <c r="H88" s="419" t="n">
        <f aca="false">H87/H29</f>
        <v>600.461111111111</v>
      </c>
      <c r="I88" s="211"/>
      <c r="J88" s="211"/>
      <c r="K88" s="212"/>
      <c r="L88" s="63"/>
      <c r="M88" s="210" t="s">
        <v>105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11433.95</v>
      </c>
      <c r="C91" s="211"/>
      <c r="D91" s="211"/>
      <c r="E91" s="212"/>
      <c r="F91" s="63"/>
      <c r="G91" s="404" t="s">
        <v>116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116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117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687.567399489041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340</v>
      </c>
      <c r="C105" s="331"/>
      <c r="D105" s="332" t="n">
        <v>1000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20</v>
      </c>
      <c r="C111" s="331"/>
      <c r="D111" s="103" t="s">
        <v>341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18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10000</v>
      </c>
      <c r="E118" s="103" t="n">
        <v>6000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4000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1000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127</v>
      </c>
      <c r="B130" s="337" t="n">
        <v>0</v>
      </c>
      <c r="C130" s="338"/>
      <c r="D130" s="337" t="s">
        <v>85</v>
      </c>
      <c r="E130" s="339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289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120</v>
      </c>
      <c r="B133" s="337" t="s">
        <v>298</v>
      </c>
      <c r="C133" s="338"/>
      <c r="D133" s="337" t="s">
        <v>299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60</v>
      </c>
      <c r="C134" s="394"/>
      <c r="D134" s="338" t="n">
        <f aca="false">B97</f>
        <v>687.567399489041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304</v>
      </c>
      <c r="C136" s="343"/>
      <c r="D136" s="347" t="s">
        <v>305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540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310</v>
      </c>
      <c r="B139" s="39" t="s">
        <v>311</v>
      </c>
      <c r="C139" s="351"/>
      <c r="D139" s="243" t="s">
        <v>205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6188.10659540137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120</v>
      </c>
      <c r="B142" s="354" t="s">
        <v>298</v>
      </c>
      <c r="C142" s="280"/>
      <c r="D142" s="280" t="s">
        <v>299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60</v>
      </c>
      <c r="C143" s="280"/>
      <c r="D143" s="38" t="n">
        <f aca="false">B97</f>
        <v>687.567399489041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318</v>
      </c>
      <c r="C145" s="38"/>
      <c r="D145" s="356" t="s">
        <v>74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322</v>
      </c>
      <c r="B148" s="356" t="s">
        <v>53</v>
      </c>
      <c r="C148" s="38"/>
      <c r="D148" s="356" t="s">
        <v>282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325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326</v>
      </c>
      <c r="B153" s="280" t="s">
        <v>327</v>
      </c>
      <c r="C153" s="280"/>
      <c r="D153" s="280" t="s">
        <v>328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1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332</v>
      </c>
      <c r="B156" s="280" t="s">
        <v>324</v>
      </c>
      <c r="C156" s="280"/>
      <c r="D156" s="280" t="s">
        <v>321</v>
      </c>
      <c r="E156" s="283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1090.84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333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331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84</v>
      </c>
      <c r="B165" s="247" t="s">
        <v>85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687.567399489041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60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540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6188.10659540137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60</v>
      </c>
      <c r="C186" s="282"/>
      <c r="D186" s="99" t="n">
        <f aca="false">B97</f>
        <v>687.567399489041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1090.84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</v>
      </c>
      <c r="C209" s="338" t="s">
        <v>214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578.85</v>
      </c>
      <c r="C211" s="337" t="s">
        <v>216</v>
      </c>
      <c r="D211" s="377" t="n">
        <f aca="false">B225+E221+B221+B223</f>
        <v>459.99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3933.09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D70</f>
        <v>4051.95</v>
      </c>
      <c r="C217" s="381" t="s">
        <v>220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B73</f>
        <v>578.85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B84-(B84*(E219*100))</f>
        <v>200</v>
      </c>
      <c r="C223" s="351" t="s">
        <v>217</v>
      </c>
      <c r="D223" s="280"/>
      <c r="E223" s="33" t="n">
        <f aca="false">(B217-B211+D211)</f>
        <v>3933.09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120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B77</f>
        <v>200</v>
      </c>
      <c r="C229" s="351" t="s">
        <v>225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B74</f>
        <v>0.0075</v>
      </c>
      <c r="C231" s="351" t="s">
        <v>228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B85</f>
        <v>200</v>
      </c>
      <c r="C233" s="387" t="s">
        <v>338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B86</f>
        <v>200</v>
      </c>
      <c r="C235" s="391" t="s">
        <v>339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167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347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128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183</v>
      </c>
      <c r="B30" s="100" t="s">
        <v>348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9000</v>
      </c>
      <c r="P31" s="208"/>
    </row>
    <row r="32" customFormat="false" ht="34.3" hidden="false" customHeight="false" outlineLevel="0" collapsed="false">
      <c r="A32" s="31" t="s">
        <v>84</v>
      </c>
      <c r="B32" s="130" t="s">
        <v>85</v>
      </c>
      <c r="C32" s="130"/>
      <c r="D32" s="130"/>
      <c r="E32" s="130" t="s">
        <v>349</v>
      </c>
      <c r="F32" s="130"/>
      <c r="G32" s="130"/>
      <c r="H32" s="33"/>
      <c r="I32" s="2"/>
      <c r="J32" s="29" t="s">
        <v>36</v>
      </c>
      <c r="K32" s="445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1409.67314916584</v>
      </c>
      <c r="F33" s="228"/>
      <c r="G33" s="228"/>
      <c r="H33" s="47"/>
      <c r="I33" s="2"/>
      <c r="J33" s="34" t="s">
        <v>350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351</v>
      </c>
      <c r="B35" s="130" t="s">
        <v>352</v>
      </c>
      <c r="C35" s="130"/>
      <c r="D35" s="208"/>
      <c r="E35" s="130" t="s">
        <v>353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1342.68314916584</v>
      </c>
      <c r="B36" s="228" t="n">
        <f aca="false">IF(B26="YES", K42, "0.00")</f>
        <v>66.99</v>
      </c>
      <c r="C36" s="228"/>
      <c r="D36" s="228"/>
      <c r="E36" s="228" t="n">
        <f aca="false">K31</f>
        <v>9000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354</v>
      </c>
      <c r="B39" s="130" t="s">
        <v>355</v>
      </c>
      <c r="C39" s="130"/>
      <c r="D39" s="208"/>
      <c r="E39" s="130" t="s">
        <v>356</v>
      </c>
      <c r="F39" s="183"/>
      <c r="G39" s="183"/>
      <c r="H39" s="47"/>
      <c r="J39" s="2" t="s">
        <v>86</v>
      </c>
      <c r="K39" s="2" t="n">
        <f aca="false">K33</f>
        <v>48877.5</v>
      </c>
      <c r="L39" s="2" t="n">
        <f aca="false">(L47*K46)+K44</f>
        <v>29487.3203689542</v>
      </c>
      <c r="N39" s="1" t="n">
        <f aca="false">K39-L39</f>
        <v>19390.1796310458</v>
      </c>
      <c r="P39" s="208"/>
    </row>
    <row r="40" customFormat="false" ht="17.35" hidden="false" customHeight="false" outlineLevel="0" collapsed="false">
      <c r="A40" s="103" t="n">
        <f aca="false">E36*A45/100</f>
        <v>9000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108</v>
      </c>
      <c r="K40" s="2" t="n">
        <f aca="false">(A40)/1.2</f>
        <v>7500</v>
      </c>
      <c r="L40" s="2" t="n">
        <f aca="false">K39-L39</f>
        <v>19390.1796310458</v>
      </c>
      <c r="N40" s="1" t="n">
        <f aca="false">N38-N39</f>
        <v>-16478.4996310458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357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358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359</v>
      </c>
      <c r="K43" s="2"/>
      <c r="L43" s="2"/>
      <c r="P43" s="208"/>
    </row>
    <row r="44" customFormat="false" ht="17.35" hidden="false" customHeight="false" outlineLevel="0" collapsed="false">
      <c r="A44" s="60" t="s">
        <v>78</v>
      </c>
      <c r="B44" s="130"/>
      <c r="C44" s="277" t="s">
        <v>79</v>
      </c>
      <c r="D44" s="277"/>
      <c r="E44" s="130"/>
      <c r="F44" s="130"/>
      <c r="G44" s="130"/>
      <c r="H44" s="33"/>
      <c r="J44" s="2" t="s">
        <v>360</v>
      </c>
      <c r="K44" s="2" t="n">
        <f aca="false">(K40/(1+K41)^(K36+1))</f>
        <v>6174.50826496102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361</v>
      </c>
      <c r="K45" s="2" t="n">
        <f aca="false">(K39-K44)</f>
        <v>42702.991735039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362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363</v>
      </c>
      <c r="K47" s="2" t="n">
        <f aca="false">K45/K46</f>
        <v>1342.68314916584</v>
      </c>
      <c r="L47" s="2" t="n">
        <f aca="false">L49-K42</f>
        <v>733.01</v>
      </c>
      <c r="M47" s="1" t="n">
        <f aca="false">K47-L47</f>
        <v>609.673149165836</v>
      </c>
      <c r="P47" s="208"/>
    </row>
    <row r="48" customFormat="false" ht="31.8" hidden="false" customHeight="false" outlineLevel="0" collapsed="false">
      <c r="A48" s="66" t="s">
        <v>83</v>
      </c>
      <c r="B48" s="130"/>
      <c r="C48" s="130"/>
      <c r="D48" s="67"/>
      <c r="E48" s="67"/>
      <c r="F48" s="67"/>
      <c r="G48" s="67"/>
      <c r="H48" s="68"/>
      <c r="J48" s="55" t="s">
        <v>364</v>
      </c>
      <c r="K48" s="2" t="n">
        <f aca="false">IF(B26="YES", K47+K42, K47)</f>
        <v>1409.67314916584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365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84</v>
      </c>
      <c r="B50" s="71" t="s">
        <v>85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1409.67314916584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86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86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86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86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87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87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87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87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88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88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88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88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89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89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89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89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90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90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90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90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91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91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91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91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92</v>
      </c>
      <c r="B65" s="65" t="n">
        <f aca="false">(B89*B59)-(K47*K29)</f>
        <v>21996.2263251737</v>
      </c>
      <c r="C65" s="130"/>
      <c r="D65" s="130"/>
      <c r="E65" s="109"/>
      <c r="F65" s="109"/>
      <c r="G65" s="109"/>
      <c r="H65" s="33"/>
      <c r="J65" s="56" t="s">
        <v>92</v>
      </c>
      <c r="K65" s="65" t="n">
        <f aca="false">(K89*K59)-(K47*K29)</f>
        <v>4219.71813983739</v>
      </c>
      <c r="L65" s="130"/>
      <c r="M65" s="130"/>
      <c r="N65" s="109"/>
      <c r="O65" s="109"/>
      <c r="P65" s="109"/>
      <c r="Q65" s="33"/>
      <c r="S65" s="56" t="s">
        <v>92</v>
      </c>
      <c r="T65" s="65" t="n">
        <f aca="false">(T89*T59)-(K47*K29)</f>
        <v>278.282275088859</v>
      </c>
      <c r="U65" s="130"/>
      <c r="V65" s="130"/>
      <c r="W65" s="109"/>
      <c r="X65" s="109"/>
      <c r="Y65" s="109"/>
      <c r="Z65" s="33"/>
      <c r="AB65" s="56" t="s">
        <v>92</v>
      </c>
      <c r="AC65" s="65" t="n">
        <f aca="false">(AC89*AC59)-(K47*K29)</f>
        <v>278.282275088859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93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93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93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94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94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94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94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95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95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95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95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96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96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96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96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97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97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97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97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98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98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98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99</v>
      </c>
      <c r="B72" s="86" t="n">
        <v>0</v>
      </c>
      <c r="C72" s="130"/>
      <c r="D72" s="130"/>
      <c r="E72" s="109"/>
      <c r="F72" s="109"/>
      <c r="G72" s="109"/>
      <c r="H72" s="33"/>
      <c r="J72" s="78" t="s">
        <v>99</v>
      </c>
      <c r="K72" s="86" t="n">
        <v>0</v>
      </c>
      <c r="L72" s="130"/>
      <c r="M72" s="130"/>
      <c r="N72" s="109"/>
      <c r="O72" s="109"/>
      <c r="P72" s="109"/>
      <c r="Q72" s="33"/>
      <c r="S72" s="78" t="s">
        <v>99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99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100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100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100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100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101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101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101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101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102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102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102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102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103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103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103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103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104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104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104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105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105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105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105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106</v>
      </c>
      <c r="B79" s="59" t="n">
        <f aca="false">K47</f>
        <v>1342.68314916584</v>
      </c>
      <c r="C79" s="130"/>
      <c r="D79" s="130"/>
      <c r="E79" s="109"/>
      <c r="F79" s="109"/>
      <c r="G79" s="109"/>
      <c r="H79" s="33"/>
      <c r="J79" s="90" t="s">
        <v>106</v>
      </c>
      <c r="K79" s="59" t="n">
        <f aca="false">K47</f>
        <v>1342.68314916584</v>
      </c>
      <c r="L79" s="130"/>
      <c r="M79" s="130"/>
      <c r="N79" s="109"/>
      <c r="O79" s="109"/>
      <c r="P79" s="109"/>
      <c r="Q79" s="33"/>
      <c r="S79" s="90" t="s">
        <v>106</v>
      </c>
      <c r="T79" s="59" t="n">
        <f aca="false">B52</f>
        <v>1409.67314916584</v>
      </c>
      <c r="U79" s="130"/>
      <c r="V79" s="130"/>
      <c r="W79" s="109"/>
      <c r="X79" s="109"/>
      <c r="Y79" s="109"/>
      <c r="Z79" s="33"/>
      <c r="AB79" s="90" t="s">
        <v>106</v>
      </c>
      <c r="AC79" s="59" t="n">
        <f aca="false">B52</f>
        <v>1409.67314916584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107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107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107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107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108</v>
      </c>
      <c r="B82" s="33" t="n">
        <f aca="false">IF(A111 = "Yes", A40, 0)</f>
        <v>9000</v>
      </c>
      <c r="C82" s="130"/>
      <c r="D82" s="130"/>
      <c r="E82" s="109"/>
      <c r="F82" s="109"/>
      <c r="G82" s="109"/>
      <c r="H82" s="33"/>
      <c r="J82" s="31" t="s">
        <v>108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108</v>
      </c>
      <c r="T82" s="33" t="n">
        <f aca="false">A40</f>
        <v>9000</v>
      </c>
      <c r="U82" s="130"/>
      <c r="V82" s="130"/>
      <c r="W82" s="109"/>
      <c r="X82" s="109"/>
      <c r="Y82" s="109"/>
      <c r="Z82" s="33"/>
      <c r="AB82" s="31" t="s">
        <v>108</v>
      </c>
      <c r="AC82" s="33" t="n">
        <f aca="false">A40</f>
        <v>9000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109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109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109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109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110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110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110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110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111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111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111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6949.00950546801</v>
      </c>
      <c r="C86" s="130"/>
      <c r="D86" s="130"/>
      <c r="E86" s="109"/>
      <c r="F86" s="109"/>
      <c r="G86" s="109"/>
      <c r="H86" s="33"/>
      <c r="J86" s="31" t="s">
        <v>112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112</v>
      </c>
      <c r="T86" s="33" t="n">
        <f aca="false">(T82/((1+T84)^(T85+1)))</f>
        <v>6154.67359467891</v>
      </c>
      <c r="U86" s="130"/>
      <c r="V86" s="130"/>
      <c r="W86" s="109"/>
      <c r="X86" s="109"/>
      <c r="Y86" s="109"/>
      <c r="Z86" s="33"/>
      <c r="AB86" s="31" t="s">
        <v>112</v>
      </c>
      <c r="AC86" s="33" t="n">
        <f aca="false">(AC82/((1+AC84)^(AC85+1)))</f>
        <v>6154.67359467891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113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113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113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114</v>
      </c>
      <c r="B88" s="33" t="n">
        <f aca="false">B81-B86</f>
        <v>60780.994494532</v>
      </c>
      <c r="C88" s="130"/>
      <c r="D88" s="130"/>
      <c r="E88" s="109"/>
      <c r="F88" s="109"/>
      <c r="G88" s="109"/>
      <c r="H88" s="33"/>
      <c r="J88" s="31" t="s">
        <v>114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114</v>
      </c>
      <c r="T88" s="33" t="n">
        <f aca="false">T81-T86</f>
        <v>39314.0754053211</v>
      </c>
      <c r="U88" s="130"/>
      <c r="V88" s="130"/>
      <c r="W88" s="109"/>
      <c r="X88" s="109"/>
      <c r="Y88" s="109"/>
      <c r="Z88" s="33"/>
      <c r="AB88" s="31" t="s">
        <v>114</v>
      </c>
      <c r="AC88" s="33" t="n">
        <f aca="false">AC81-AC86</f>
        <v>39314.0754053211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115</v>
      </c>
      <c r="B89" s="33" t="n">
        <f aca="false">(B88/B87)</f>
        <v>2029.121663117</v>
      </c>
      <c r="C89" s="130"/>
      <c r="D89" s="130"/>
      <c r="E89" s="109"/>
      <c r="F89" s="109"/>
      <c r="G89" s="109"/>
      <c r="H89" s="33"/>
      <c r="J89" s="31" t="s">
        <v>115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115</v>
      </c>
      <c r="T89" s="33" t="n">
        <f aca="false">(T88/T87)</f>
        <v>1390.35860282039</v>
      </c>
      <c r="U89" s="130"/>
      <c r="V89" s="130"/>
      <c r="W89" s="109"/>
      <c r="X89" s="109"/>
      <c r="Y89" s="109"/>
      <c r="Z89" s="33"/>
      <c r="AB89" s="31" t="s">
        <v>115</v>
      </c>
      <c r="AC89" s="33" t="n">
        <f aca="false">(AC88/AC87)</f>
        <v>1390.35860282039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68990.1365459779</v>
      </c>
      <c r="C90" s="130"/>
      <c r="D90" s="130"/>
      <c r="E90" s="109"/>
      <c r="F90" s="109"/>
      <c r="G90" s="109"/>
      <c r="H90" s="33"/>
      <c r="J90" s="31" t="s">
        <v>116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116</v>
      </c>
      <c r="T90" s="33" t="n">
        <f aca="false">(T89*(T85))+T77</f>
        <v>47272.1924958931</v>
      </c>
      <c r="U90" s="130"/>
      <c r="V90" s="130"/>
      <c r="W90" s="109"/>
      <c r="X90" s="109"/>
      <c r="Y90" s="109"/>
      <c r="Z90" s="33"/>
      <c r="AB90" s="31" t="s">
        <v>116</v>
      </c>
      <c r="AC90" s="33" t="n">
        <f aca="false">(AC89*(AC59))+AC77</f>
        <v>47272.1924958931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117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117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117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117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118</v>
      </c>
      <c r="B92" s="65" t="n">
        <f aca="false">(B90+B91)</f>
        <v>68990.1365459779</v>
      </c>
      <c r="C92" s="130"/>
      <c r="D92" s="130"/>
      <c r="E92" s="109"/>
      <c r="F92" s="109"/>
      <c r="G92" s="109"/>
      <c r="H92" s="33"/>
      <c r="J92" s="56" t="s">
        <v>118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118</v>
      </c>
      <c r="T92" s="65" t="n">
        <f aca="false">(T90+T91)</f>
        <v>47272.1924958931</v>
      </c>
      <c r="U92" s="130"/>
      <c r="V92" s="130"/>
      <c r="W92" s="109"/>
      <c r="X92" s="109"/>
      <c r="Y92" s="109"/>
      <c r="Z92" s="33"/>
      <c r="AB92" s="56" t="s">
        <v>118</v>
      </c>
      <c r="AC92" s="65" t="n">
        <f aca="false">(AC90+AC91)</f>
        <v>47272.1924958931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119</v>
      </c>
      <c r="B94" s="259" t="n">
        <f aca="false">IF(B26="YES",((E40/B85)*(1+A108)),"0")</f>
        <v>82.7523529411765</v>
      </c>
      <c r="C94" s="130"/>
      <c r="D94" s="130"/>
      <c r="E94" s="109"/>
      <c r="F94" s="109"/>
      <c r="G94" s="109"/>
      <c r="H94" s="33"/>
      <c r="J94" s="88" t="s">
        <v>119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119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119</v>
      </c>
      <c r="AC94" s="89" t="n">
        <f aca="false">((E40/AC85)*(1+AB108))*1.2</f>
        <v>99.3028235294118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120</v>
      </c>
      <c r="B95" s="92" t="n">
        <f aca="false">B92/(B85)</f>
        <v>2029.121663117</v>
      </c>
      <c r="C95" s="130"/>
      <c r="D95" s="130"/>
      <c r="E95" s="109"/>
      <c r="F95" s="109"/>
      <c r="G95" s="109"/>
      <c r="H95" s="33"/>
      <c r="J95" s="91" t="s">
        <v>120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120</v>
      </c>
      <c r="T95" s="92" t="n">
        <f aca="false">T92/(T85)</f>
        <v>1390.35860282039</v>
      </c>
      <c r="U95" s="130"/>
      <c r="V95" s="130"/>
      <c r="W95" s="109"/>
      <c r="X95" s="109"/>
      <c r="Y95" s="109"/>
      <c r="Z95" s="33"/>
      <c r="AB95" s="91" t="s">
        <v>120</v>
      </c>
      <c r="AC95" s="92" t="n">
        <f aca="false">AC92/(AC59)</f>
        <v>1390.35860282039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121</v>
      </c>
      <c r="B96" s="94" t="n">
        <f aca="false">B94+B95</f>
        <v>2111.87401605817</v>
      </c>
      <c r="C96" s="130"/>
      <c r="D96" s="130"/>
      <c r="E96" s="109"/>
      <c r="F96" s="109"/>
      <c r="G96" s="109"/>
      <c r="H96" s="33"/>
      <c r="J96" s="93" t="s">
        <v>121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121</v>
      </c>
      <c r="T96" s="94" t="n">
        <f aca="false">T94+T95</f>
        <v>1473.11095576156</v>
      </c>
      <c r="U96" s="130"/>
      <c r="V96" s="130"/>
      <c r="W96" s="109"/>
      <c r="X96" s="109"/>
      <c r="Y96" s="109"/>
      <c r="Z96" s="33"/>
      <c r="AB96" s="93" t="s">
        <v>121</v>
      </c>
      <c r="AC96" s="94" t="n">
        <f aca="false">AC94+AC95</f>
        <v>1489.6614263498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123</v>
      </c>
      <c r="K100" s="96"/>
      <c r="L100" s="96"/>
      <c r="M100" s="96"/>
      <c r="N100" s="96"/>
      <c r="O100" s="96"/>
      <c r="P100" s="96"/>
      <c r="Q100" s="96"/>
      <c r="S100" s="96" t="s">
        <v>124</v>
      </c>
      <c r="T100" s="96"/>
      <c r="U100" s="96"/>
      <c r="V100" s="96"/>
      <c r="W100" s="96"/>
      <c r="X100" s="96"/>
      <c r="Y100" s="96"/>
      <c r="Z100" s="96"/>
      <c r="AB100" s="96" t="s">
        <v>125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31" t="s">
        <v>127</v>
      </c>
      <c r="K104" s="130" t="s">
        <v>23</v>
      </c>
      <c r="L104" s="130"/>
      <c r="M104" s="130"/>
      <c r="N104" s="130" t="s">
        <v>128</v>
      </c>
      <c r="O104" s="130"/>
      <c r="P104" s="130"/>
      <c r="Q104" s="33"/>
      <c r="S104" s="31" t="s">
        <v>127</v>
      </c>
      <c r="T104" s="130" t="s">
        <v>23</v>
      </c>
      <c r="U104" s="130"/>
      <c r="V104" s="130"/>
      <c r="W104" s="130" t="s">
        <v>128</v>
      </c>
      <c r="X104" s="130"/>
      <c r="Y104" s="130"/>
      <c r="Z104" s="33"/>
      <c r="AB104" s="31" t="s">
        <v>127</v>
      </c>
      <c r="AC104" s="130" t="s">
        <v>23</v>
      </c>
      <c r="AD104" s="130"/>
      <c r="AE104" s="130"/>
      <c r="AF104" s="130" t="s">
        <v>128</v>
      </c>
      <c r="AG104" s="130"/>
      <c r="AH104" s="130"/>
      <c r="AI104" s="33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447" t="s">
        <v>18</v>
      </c>
      <c r="F105" s="447"/>
      <c r="G105" s="447"/>
      <c r="H105" s="98"/>
      <c r="J105" s="36" t="s">
        <v>129</v>
      </c>
      <c r="K105" s="99" t="s">
        <v>130</v>
      </c>
      <c r="L105" s="99"/>
      <c r="M105" s="99"/>
      <c r="N105" s="100" t="s">
        <v>18</v>
      </c>
      <c r="O105" s="100"/>
      <c r="P105" s="100"/>
      <c r="Q105" s="98"/>
      <c r="S105" s="36" t="s">
        <v>129</v>
      </c>
      <c r="T105" s="99" t="s">
        <v>130</v>
      </c>
      <c r="U105" s="99"/>
      <c r="V105" s="99"/>
      <c r="W105" s="100" t="s">
        <v>18</v>
      </c>
      <c r="X105" s="100"/>
      <c r="Y105" s="100"/>
      <c r="Z105" s="98"/>
      <c r="AB105" s="36" t="s">
        <v>129</v>
      </c>
      <c r="AC105" s="99" t="s">
        <v>130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31" t="s">
        <v>131</v>
      </c>
      <c r="K107" s="130" t="s">
        <v>132</v>
      </c>
      <c r="L107" s="130"/>
      <c r="M107" s="109"/>
      <c r="N107" s="130" t="s">
        <v>133</v>
      </c>
      <c r="O107" s="130"/>
      <c r="P107" s="109"/>
      <c r="Q107" s="98"/>
      <c r="S107" s="31" t="s">
        <v>131</v>
      </c>
      <c r="T107" s="130" t="s">
        <v>132</v>
      </c>
      <c r="U107" s="130"/>
      <c r="V107" s="109"/>
      <c r="W107" s="130" t="s">
        <v>133</v>
      </c>
      <c r="X107" s="130"/>
      <c r="Y107" s="109"/>
      <c r="Z107" s="98"/>
      <c r="AB107" s="31" t="s">
        <v>131</v>
      </c>
      <c r="AC107" s="130" t="s">
        <v>132</v>
      </c>
      <c r="AD107" s="130"/>
      <c r="AE107" s="109"/>
      <c r="AF107" s="130" t="s">
        <v>133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269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134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135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135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31" t="s">
        <v>137</v>
      </c>
      <c r="K110" s="130" t="s">
        <v>138</v>
      </c>
      <c r="L110" s="130"/>
      <c r="M110" s="130"/>
      <c r="N110" s="130" t="s">
        <v>139</v>
      </c>
      <c r="O110" s="130"/>
      <c r="P110" s="130"/>
      <c r="Q110" s="33"/>
      <c r="S110" s="31" t="s">
        <v>137</v>
      </c>
      <c r="T110" s="130" t="s">
        <v>138</v>
      </c>
      <c r="U110" s="130"/>
      <c r="V110" s="130"/>
      <c r="W110" s="130" t="s">
        <v>139</v>
      </c>
      <c r="X110" s="130"/>
      <c r="Y110" s="130"/>
      <c r="Z110" s="33"/>
      <c r="AB110" s="31" t="s">
        <v>137</v>
      </c>
      <c r="AC110" s="130" t="s">
        <v>138</v>
      </c>
      <c r="AD110" s="130"/>
      <c r="AE110" s="130"/>
      <c r="AF110" s="130" t="s">
        <v>139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106" t="s">
        <v>140</v>
      </c>
      <c r="K113" s="130" t="s">
        <v>141</v>
      </c>
      <c r="L113" s="130"/>
      <c r="M113" s="130"/>
      <c r="N113" s="130" t="s">
        <v>142</v>
      </c>
      <c r="O113" s="130"/>
      <c r="P113" s="109"/>
      <c r="Q113" s="98"/>
      <c r="S113" s="106" t="s">
        <v>140</v>
      </c>
      <c r="T113" s="130" t="s">
        <v>141</v>
      </c>
      <c r="U113" s="130"/>
      <c r="V113" s="130"/>
      <c r="W113" s="130" t="s">
        <v>142</v>
      </c>
      <c r="X113" s="130"/>
      <c r="Y113" s="109"/>
      <c r="Z113" s="98"/>
      <c r="AB113" s="106" t="s">
        <v>140</v>
      </c>
      <c r="AC113" s="130" t="s">
        <v>141</v>
      </c>
      <c r="AD113" s="130"/>
      <c r="AE113" s="130"/>
      <c r="AF113" s="130" t="s">
        <v>142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78"/>
      <c r="K119" s="110" t="s">
        <v>145</v>
      </c>
      <c r="L119" s="110"/>
      <c r="M119" s="110" t="s">
        <v>146</v>
      </c>
      <c r="N119" s="110"/>
      <c r="O119" s="110" t="s">
        <v>147</v>
      </c>
      <c r="P119" s="110"/>
      <c r="Q119" s="111" t="s">
        <v>148</v>
      </c>
      <c r="S119" s="78"/>
      <c r="T119" s="110" t="s">
        <v>145</v>
      </c>
      <c r="U119" s="110"/>
      <c r="V119" s="110" t="s">
        <v>146</v>
      </c>
      <c r="W119" s="110"/>
      <c r="X119" s="110" t="s">
        <v>147</v>
      </c>
      <c r="Y119" s="110"/>
      <c r="Z119" s="111" t="s">
        <v>148</v>
      </c>
      <c r="AB119" s="78"/>
      <c r="AC119" s="110" t="s">
        <v>145</v>
      </c>
      <c r="AD119" s="110"/>
      <c r="AE119" s="110" t="s">
        <v>146</v>
      </c>
      <c r="AF119" s="110"/>
      <c r="AG119" s="110" t="s">
        <v>147</v>
      </c>
      <c r="AH119" s="110"/>
      <c r="AI119" s="111" t="s">
        <v>148</v>
      </c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80"/>
      <c r="K120" s="112" t="s">
        <v>149</v>
      </c>
      <c r="L120" s="113" t="s">
        <v>150</v>
      </c>
      <c r="M120" s="112" t="s">
        <v>149</v>
      </c>
      <c r="N120" s="114" t="s">
        <v>150</v>
      </c>
      <c r="O120" s="112" t="s">
        <v>149</v>
      </c>
      <c r="P120" s="114" t="s">
        <v>150</v>
      </c>
      <c r="Q120" s="115"/>
      <c r="S120" s="80"/>
      <c r="T120" s="112" t="s">
        <v>149</v>
      </c>
      <c r="U120" s="113" t="s">
        <v>150</v>
      </c>
      <c r="V120" s="112" t="s">
        <v>149</v>
      </c>
      <c r="W120" s="114" t="s">
        <v>150</v>
      </c>
      <c r="X120" s="112" t="s">
        <v>149</v>
      </c>
      <c r="Y120" s="114" t="s">
        <v>150</v>
      </c>
      <c r="Z120" s="115"/>
      <c r="AB120" s="80"/>
      <c r="AC120" s="112" t="s">
        <v>149</v>
      </c>
      <c r="AD120" s="113" t="s">
        <v>150</v>
      </c>
      <c r="AE120" s="112" t="s">
        <v>149</v>
      </c>
      <c r="AF120" s="114" t="s">
        <v>150</v>
      </c>
      <c r="AG120" s="112" t="s">
        <v>149</v>
      </c>
      <c r="AH120" s="114" t="s">
        <v>150</v>
      </c>
      <c r="AI120" s="115"/>
    </row>
    <row r="121" customFormat="false" ht="17.35" hidden="false" customHeight="false" outlineLevel="0" collapsed="false">
      <c r="A121" s="25" t="s">
        <v>151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151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151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151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152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152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152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153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153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153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153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154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154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154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155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155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155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131"/>
      <c r="K127" s="132"/>
      <c r="L127" s="132"/>
      <c r="M127" s="132"/>
      <c r="N127" s="132"/>
      <c r="O127" s="132"/>
      <c r="P127" s="133" t="s">
        <v>149</v>
      </c>
      <c r="Q127" s="134" t="s">
        <v>150</v>
      </c>
      <c r="S127" s="131"/>
      <c r="T127" s="132"/>
      <c r="U127" s="132"/>
      <c r="V127" s="132"/>
      <c r="W127" s="132"/>
      <c r="X127" s="132"/>
      <c r="Y127" s="133" t="s">
        <v>149</v>
      </c>
      <c r="Z127" s="134" t="s">
        <v>150</v>
      </c>
      <c r="AB127" s="131"/>
      <c r="AC127" s="132"/>
      <c r="AD127" s="132"/>
      <c r="AE127" s="132"/>
      <c r="AF127" s="132"/>
      <c r="AG127" s="132"/>
      <c r="AH127" s="133" t="s">
        <v>149</v>
      </c>
      <c r="AI127" s="134" t="s">
        <v>150</v>
      </c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156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156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156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144" t="s">
        <v>157</v>
      </c>
      <c r="K130" s="141" t="s">
        <v>158</v>
      </c>
      <c r="L130" s="141"/>
      <c r="M130" s="141" t="s">
        <v>159</v>
      </c>
      <c r="N130" s="141"/>
      <c r="O130" s="141" t="s">
        <v>153</v>
      </c>
      <c r="P130" s="141"/>
      <c r="Q130" s="142" t="s">
        <v>150</v>
      </c>
      <c r="S130" s="144" t="s">
        <v>157</v>
      </c>
      <c r="T130" s="141" t="s">
        <v>158</v>
      </c>
      <c r="U130" s="141"/>
      <c r="V130" s="141" t="s">
        <v>159</v>
      </c>
      <c r="W130" s="141"/>
      <c r="X130" s="141" t="s">
        <v>153</v>
      </c>
      <c r="Y130" s="141"/>
      <c r="Z130" s="142" t="s">
        <v>150</v>
      </c>
      <c r="AB130" s="144" t="s">
        <v>157</v>
      </c>
      <c r="AC130" s="141" t="s">
        <v>158</v>
      </c>
      <c r="AD130" s="141"/>
      <c r="AE130" s="141" t="s">
        <v>159</v>
      </c>
      <c r="AF130" s="141"/>
      <c r="AG130" s="141" t="s">
        <v>153</v>
      </c>
      <c r="AH130" s="141"/>
      <c r="AI130" s="142" t="s">
        <v>150</v>
      </c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160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160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160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161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161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161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162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162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162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163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163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163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164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164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164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165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165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165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166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166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166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167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167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167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168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168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168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169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169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44468.749</v>
      </c>
      <c r="AB141" s="151" t="s">
        <v>169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170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170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170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107" t="s">
        <v>171</v>
      </c>
      <c r="K143" s="107"/>
      <c r="L143" s="107"/>
      <c r="M143" s="107"/>
      <c r="N143" s="107"/>
      <c r="O143" s="107"/>
      <c r="P143" s="99"/>
      <c r="Q143" s="33"/>
      <c r="S143" s="107" t="s">
        <v>171</v>
      </c>
      <c r="T143" s="107"/>
      <c r="U143" s="107"/>
      <c r="V143" s="107"/>
      <c r="W143" s="107"/>
      <c r="X143" s="107"/>
      <c r="Y143" s="99"/>
      <c r="Z143" s="33"/>
      <c r="AB143" s="107" t="s">
        <v>171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172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172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172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172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172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172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172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172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172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173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173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173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174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174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174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176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176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176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177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177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177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178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178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178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179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179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179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180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180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180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181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181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181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183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183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183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170" t="s">
        <v>184</v>
      </c>
      <c r="K166" s="171" t="s">
        <v>185</v>
      </c>
      <c r="L166" s="171"/>
      <c r="M166" s="171"/>
      <c r="N166" s="171" t="s">
        <v>186</v>
      </c>
      <c r="O166" s="23"/>
      <c r="P166" s="23"/>
      <c r="Q166" s="33"/>
      <c r="S166" s="170" t="s">
        <v>184</v>
      </c>
      <c r="T166" s="171" t="s">
        <v>185</v>
      </c>
      <c r="U166" s="171"/>
      <c r="V166" s="171"/>
      <c r="W166" s="171" t="s">
        <v>186</v>
      </c>
      <c r="X166" s="23"/>
      <c r="Y166" s="23"/>
      <c r="Z166" s="33"/>
      <c r="AB166" s="170" t="s">
        <v>184</v>
      </c>
      <c r="AC166" s="171" t="s">
        <v>185</v>
      </c>
      <c r="AD166" s="171"/>
      <c r="AE166" s="171"/>
      <c r="AF166" s="171" t="s">
        <v>186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2029.121663117</v>
      </c>
      <c r="B167" s="174" t="n">
        <f aca="false">B94</f>
        <v>82.7523529411765</v>
      </c>
      <c r="C167" s="171"/>
      <c r="D167" s="171"/>
      <c r="E167" s="174" t="n">
        <f aca="false">B96</f>
        <v>2111.87401605817</v>
      </c>
      <c r="F167" s="23"/>
      <c r="G167" s="23"/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1390.35860282039</v>
      </c>
      <c r="T167" s="174" t="n">
        <f aca="false">T94</f>
        <v>82.7523529411765</v>
      </c>
      <c r="U167" s="171"/>
      <c r="V167" s="171"/>
      <c r="W167" s="174" t="n">
        <f aca="false">T96</f>
        <v>1473.11095576156</v>
      </c>
      <c r="X167" s="23"/>
      <c r="Y167" s="23"/>
      <c r="Z167" s="33"/>
      <c r="AB167" s="173" t="n">
        <f aca="false">AC95</f>
        <v>1390.35860282039</v>
      </c>
      <c r="AC167" s="174" t="n">
        <f aca="false">AC94</f>
        <v>99.3028235294118</v>
      </c>
      <c r="AD167" s="171"/>
      <c r="AE167" s="171"/>
      <c r="AF167" s="174" t="n">
        <f aca="false">AC96</f>
        <v>1489.6614263498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31" t="s">
        <v>84</v>
      </c>
      <c r="K169" s="130" t="s">
        <v>85</v>
      </c>
      <c r="L169" s="130"/>
      <c r="M169" s="23"/>
      <c r="N169" s="130" t="s">
        <v>187</v>
      </c>
      <c r="O169" s="23"/>
      <c r="P169" s="23"/>
      <c r="Q169" s="33"/>
      <c r="S169" s="31" t="s">
        <v>84</v>
      </c>
      <c r="T169" s="130" t="s">
        <v>85</v>
      </c>
      <c r="U169" s="130"/>
      <c r="V169" s="23"/>
      <c r="W169" s="130" t="s">
        <v>187</v>
      </c>
      <c r="X169" s="23"/>
      <c r="Y169" s="23"/>
      <c r="Z169" s="33"/>
      <c r="AB169" s="31" t="s">
        <v>84</v>
      </c>
      <c r="AC169" s="130" t="s">
        <v>85</v>
      </c>
      <c r="AD169" s="130"/>
      <c r="AE169" s="23"/>
      <c r="AF169" s="130" t="s">
        <v>187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9000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9000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9000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31" t="s">
        <v>188</v>
      </c>
      <c r="K172" s="130" t="s">
        <v>189</v>
      </c>
      <c r="L172" s="130"/>
      <c r="M172" s="23"/>
      <c r="N172" s="130" t="s">
        <v>190</v>
      </c>
      <c r="O172" s="23"/>
      <c r="P172" s="23"/>
      <c r="Q172" s="33"/>
      <c r="S172" s="31" t="s">
        <v>188</v>
      </c>
      <c r="T172" s="130" t="s">
        <v>189</v>
      </c>
      <c r="U172" s="130"/>
      <c r="V172" s="23"/>
      <c r="W172" s="130" t="s">
        <v>190</v>
      </c>
      <c r="X172" s="23"/>
      <c r="Y172" s="23"/>
      <c r="Z172" s="33"/>
      <c r="AB172" s="31" t="s">
        <v>188</v>
      </c>
      <c r="AC172" s="130" t="s">
        <v>189</v>
      </c>
      <c r="AD172" s="130"/>
      <c r="AE172" s="23"/>
      <c r="AF172" s="130" t="s">
        <v>190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31" t="s">
        <v>191</v>
      </c>
      <c r="K175" s="130" t="s">
        <v>138</v>
      </c>
      <c r="L175" s="130"/>
      <c r="M175" s="23"/>
      <c r="N175" s="130" t="s">
        <v>139</v>
      </c>
      <c r="O175" s="23"/>
      <c r="P175" s="23"/>
      <c r="Q175" s="33"/>
      <c r="S175" s="31" t="s">
        <v>191</v>
      </c>
      <c r="T175" s="130" t="s">
        <v>138</v>
      </c>
      <c r="U175" s="130"/>
      <c r="V175" s="23"/>
      <c r="W175" s="130" t="s">
        <v>139</v>
      </c>
      <c r="X175" s="23"/>
      <c r="Y175" s="23"/>
      <c r="Z175" s="33"/>
      <c r="AB175" s="31" t="s">
        <v>191</v>
      </c>
      <c r="AC175" s="130" t="s">
        <v>138</v>
      </c>
      <c r="AD175" s="130"/>
      <c r="AE175" s="23"/>
      <c r="AF175" s="130" t="s">
        <v>139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31" t="s">
        <v>140</v>
      </c>
      <c r="K178" s="130" t="s">
        <v>176</v>
      </c>
      <c r="L178" s="130"/>
      <c r="M178" s="23"/>
      <c r="N178" s="130" t="s">
        <v>181</v>
      </c>
      <c r="O178" s="23"/>
      <c r="P178" s="23"/>
      <c r="Q178" s="33"/>
      <c r="S178" s="31" t="s">
        <v>140</v>
      </c>
      <c r="T178" s="130" t="s">
        <v>176</v>
      </c>
      <c r="U178" s="130"/>
      <c r="V178" s="23"/>
      <c r="W178" s="130" t="s">
        <v>181</v>
      </c>
      <c r="X178" s="23"/>
      <c r="Y178" s="23"/>
      <c r="Z178" s="33"/>
      <c r="AB178" s="31" t="s">
        <v>140</v>
      </c>
      <c r="AC178" s="130" t="s">
        <v>176</v>
      </c>
      <c r="AD178" s="130"/>
      <c r="AE178" s="23"/>
      <c r="AF178" s="130" t="s">
        <v>181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31" t="s">
        <v>192</v>
      </c>
      <c r="K181" s="130" t="s">
        <v>53</v>
      </c>
      <c r="L181" s="130"/>
      <c r="M181" s="23"/>
      <c r="N181" s="130" t="s">
        <v>193</v>
      </c>
      <c r="O181" s="23"/>
      <c r="P181" s="23"/>
      <c r="Q181" s="33"/>
      <c r="S181" s="31" t="s">
        <v>192</v>
      </c>
      <c r="T181" s="130" t="s">
        <v>53</v>
      </c>
      <c r="U181" s="130"/>
      <c r="V181" s="23"/>
      <c r="W181" s="130" t="s">
        <v>193</v>
      </c>
      <c r="X181" s="23"/>
      <c r="Y181" s="23"/>
      <c r="Z181" s="33"/>
      <c r="AB181" s="31" t="s">
        <v>192</v>
      </c>
      <c r="AC181" s="130" t="s">
        <v>53</v>
      </c>
      <c r="AD181" s="130"/>
      <c r="AE181" s="23"/>
      <c r="AF181" s="130" t="s">
        <v>193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10260.1325459779</v>
      </c>
      <c r="B182" s="99" t="str">
        <f aca="false">B114</f>
        <v>199.99</v>
      </c>
      <c r="C182" s="99"/>
      <c r="D182" s="23"/>
      <c r="E182" s="99" t="n">
        <f aca="false">E179+A182+B182+A185</f>
        <v>78200.1265459779</v>
      </c>
      <c r="F182" s="23"/>
      <c r="G182" s="23"/>
      <c r="H182" s="101"/>
      <c r="J182" s="107" t="n">
        <f aca="false">(J167*K59)+N185-N179-J185</f>
        <v>22558.6283606416</v>
      </c>
      <c r="K182" s="99" t="n">
        <f aca="false">K114</f>
        <v>239.99</v>
      </c>
      <c r="L182" s="99"/>
      <c r="M182" s="23"/>
      <c r="N182" s="99" t="n">
        <f aca="false">N179+J182+K182+J185</f>
        <v>60473.6183606416</v>
      </c>
      <c r="O182" s="23"/>
      <c r="P182" s="23"/>
      <c r="Q182" s="101"/>
      <c r="S182" s="107" t="n">
        <f aca="false">(S167*T59)+W185-W179-S185</f>
        <v>10803.4434958931</v>
      </c>
      <c r="T182" s="99" t="n">
        <f aca="false">T114</f>
        <v>199.99</v>
      </c>
      <c r="U182" s="99"/>
      <c r="V182" s="23"/>
      <c r="W182" s="99" t="n">
        <f aca="false">W179+S182+T182+S185</f>
        <v>56482.1824958931</v>
      </c>
      <c r="X182" s="23"/>
      <c r="Y182" s="23"/>
      <c r="Z182" s="101"/>
      <c r="AB182" s="107" t="n">
        <f aca="false">(AB167*AC59)+AF185-AF179-AB185</f>
        <v>10803.4434958931</v>
      </c>
      <c r="AC182" s="99" t="n">
        <f aca="false">AC114</f>
        <v>239.99</v>
      </c>
      <c r="AD182" s="99"/>
      <c r="AE182" s="23"/>
      <c r="AF182" s="99" t="n">
        <f aca="false">AF179+AB182+AC182+AB185</f>
        <v>56522.1824958931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31" t="s">
        <v>194</v>
      </c>
      <c r="K184" s="130" t="s">
        <v>195</v>
      </c>
      <c r="L184" s="130"/>
      <c r="M184" s="23"/>
      <c r="N184" s="130" t="s">
        <v>196</v>
      </c>
      <c r="O184" s="23"/>
      <c r="P184" s="23"/>
      <c r="Q184" s="33"/>
      <c r="S184" s="31" t="s">
        <v>194</v>
      </c>
      <c r="T184" s="130" t="s">
        <v>195</v>
      </c>
      <c r="U184" s="130"/>
      <c r="V184" s="23"/>
      <c r="W184" s="130" t="s">
        <v>196</v>
      </c>
      <c r="X184" s="23"/>
      <c r="Y184" s="23"/>
      <c r="Z184" s="33"/>
      <c r="AB184" s="31" t="s">
        <v>194</v>
      </c>
      <c r="AC184" s="130" t="s">
        <v>195</v>
      </c>
      <c r="AD184" s="130"/>
      <c r="AE184" s="23"/>
      <c r="AF184" s="130" t="s">
        <v>196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31" t="s">
        <v>197</v>
      </c>
      <c r="K187" s="130" t="s">
        <v>198</v>
      </c>
      <c r="L187" s="130"/>
      <c r="M187" s="130"/>
      <c r="N187" s="163" t="s">
        <v>199</v>
      </c>
      <c r="O187" s="23"/>
      <c r="P187" s="23"/>
      <c r="Q187" s="33"/>
      <c r="S187" s="31" t="s">
        <v>197</v>
      </c>
      <c r="T187" s="130" t="s">
        <v>198</v>
      </c>
      <c r="U187" s="130"/>
      <c r="V187" s="130"/>
      <c r="W187" s="163" t="s">
        <v>199</v>
      </c>
      <c r="X187" s="32"/>
      <c r="Y187" s="32"/>
      <c r="Z187" s="33"/>
      <c r="AB187" s="31" t="s">
        <v>197</v>
      </c>
      <c r="AC187" s="130" t="s">
        <v>198</v>
      </c>
      <c r="AD187" s="130"/>
      <c r="AE187" s="130"/>
      <c r="AF187" s="163" t="s">
        <v>199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</f>
        <v>46.893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60" t="s">
        <v>200</v>
      </c>
      <c r="K190" s="163" t="s">
        <v>201</v>
      </c>
      <c r="L190" s="130"/>
      <c r="M190" s="130"/>
      <c r="N190" s="163" t="s">
        <v>202</v>
      </c>
      <c r="O190" s="23"/>
      <c r="P190" s="23"/>
      <c r="Q190" s="33"/>
      <c r="S190" s="60" t="s">
        <v>200</v>
      </c>
      <c r="T190" s="163" t="s">
        <v>201</v>
      </c>
      <c r="U190" s="130"/>
      <c r="V190" s="130"/>
      <c r="W190" s="163" t="s">
        <v>202</v>
      </c>
      <c r="X190" s="32"/>
      <c r="Y190" s="32"/>
      <c r="Z190" s="33"/>
      <c r="AB190" s="60" t="s">
        <v>200</v>
      </c>
      <c r="AC190" s="163" t="s">
        <v>201</v>
      </c>
      <c r="AD190" s="130"/>
      <c r="AE190" s="130"/>
      <c r="AF190" s="163" t="s">
        <v>202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699.54101875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66" t="s">
        <v>203</v>
      </c>
      <c r="K193" s="130"/>
      <c r="L193" s="130"/>
      <c r="M193" s="67"/>
      <c r="N193" s="67"/>
      <c r="O193" s="67"/>
      <c r="P193" s="67"/>
      <c r="Q193" s="68"/>
      <c r="S193" s="66" t="s">
        <v>203</v>
      </c>
      <c r="T193" s="130"/>
      <c r="U193" s="130"/>
      <c r="V193" s="67"/>
      <c r="W193" s="67"/>
      <c r="X193" s="67"/>
      <c r="Y193" s="67"/>
      <c r="Z193" s="68"/>
      <c r="AB193" s="66" t="s">
        <v>203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184" t="s">
        <v>84</v>
      </c>
      <c r="K195" s="71" t="s">
        <v>85</v>
      </c>
      <c r="L195" s="71"/>
      <c r="M195" s="71"/>
      <c r="N195" s="23"/>
      <c r="O195" s="23"/>
      <c r="P195" s="23"/>
      <c r="Q195" s="33"/>
      <c r="S195" s="184" t="s">
        <v>84</v>
      </c>
      <c r="T195" s="71" t="s">
        <v>85</v>
      </c>
      <c r="U195" s="71"/>
      <c r="V195" s="71"/>
      <c r="W195" s="23"/>
      <c r="X195" s="23"/>
      <c r="Y195" s="23"/>
      <c r="Z195" s="33"/>
      <c r="AB195" s="184" t="s">
        <v>84</v>
      </c>
      <c r="AC195" s="71" t="s">
        <v>85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2111.87401605817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1473.11095576156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1489.6614263498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2029.121663117</v>
      </c>
      <c r="B212" s="174" t="n">
        <f aca="false">B167</f>
        <v>82.7523529411765</v>
      </c>
      <c r="C212" s="171"/>
      <c r="D212" s="171"/>
      <c r="E212" s="174" t="n">
        <f aca="false">E167</f>
        <v>2111.87401605817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10260.1325459779</v>
      </c>
      <c r="B224" s="99" t="str">
        <f aca="false">B182</f>
        <v>199.99</v>
      </c>
      <c r="C224" s="99"/>
      <c r="D224" s="109"/>
      <c r="E224" s="99" t="n">
        <f aca="false">E182</f>
        <v>78200.1265459779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2029.121663117</v>
      </c>
      <c r="B230" s="99" t="n">
        <f aca="false">B167</f>
        <v>82.7523529411765</v>
      </c>
      <c r="C230" s="183"/>
      <c r="D230" s="183"/>
      <c r="E230" s="99" t="n">
        <f aca="false">E167</f>
        <v>2111.87401605817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187</v>
      </c>
      <c r="B232" s="130" t="s">
        <v>207</v>
      </c>
      <c r="C232" s="130"/>
      <c r="D232" s="130"/>
      <c r="E232" s="130" t="s">
        <v>208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9000</v>
      </c>
      <c r="B233" s="99" t="n">
        <f aca="false">E185</f>
        <v>9010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132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10453.71101875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K35</f>
        <v>0.065</v>
      </c>
      <c r="C253" s="194"/>
      <c r="D253" s="195" t="s">
        <v>213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568.92</v>
      </c>
      <c r="C255" s="194"/>
      <c r="D255" s="195" t="s">
        <v>217</v>
      </c>
      <c r="E255" s="195"/>
      <c r="F255" s="196" t="n">
        <f aca="false">(B254-F254)+B255</f>
        <v>-94.2696225000001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0.024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0.089</v>
      </c>
      <c r="C260" s="43"/>
      <c r="D260" s="163" t="s">
        <v>214</v>
      </c>
      <c r="E260" s="163"/>
      <c r="F260" s="143" t="n">
        <f aca="false">(B89*B59)-(C89*B59)</f>
        <v>68990.1365459779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0.00979166666666667</v>
      </c>
      <c r="C261" s="32"/>
      <c r="D261" s="163" t="s">
        <v>220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</v>
      </c>
      <c r="C263" s="32"/>
      <c r="D263" s="39" t="s">
        <v>217</v>
      </c>
      <c r="E263" s="39"/>
      <c r="F263" s="143" t="n">
        <f aca="false">(B254-F254)+B255</f>
        <v>-94.2696225000001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347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128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183</v>
      </c>
      <c r="B30" s="100" t="s">
        <v>348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7200</v>
      </c>
      <c r="P31" s="208"/>
    </row>
    <row r="32" customFormat="false" ht="34.8" hidden="false" customHeight="false" outlineLevel="0" collapsed="false">
      <c r="A32" s="31" t="s">
        <v>84</v>
      </c>
      <c r="B32" s="130" t="s">
        <v>85</v>
      </c>
      <c r="C32" s="130"/>
      <c r="D32" s="130"/>
      <c r="E32" s="130" t="s">
        <v>349</v>
      </c>
      <c r="F32" s="130"/>
      <c r="G32" s="130"/>
      <c r="H32" s="33"/>
      <c r="I32" s="2" t="n">
        <v>0</v>
      </c>
      <c r="J32" s="29" t="s">
        <v>36</v>
      </c>
      <c r="K32" s="445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1435.10138046723</v>
      </c>
      <c r="F33" s="228"/>
      <c r="G33" s="228"/>
      <c r="H33" s="47"/>
      <c r="I33" s="2"/>
      <c r="J33" s="34" t="s">
        <v>350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351</v>
      </c>
      <c r="B35" s="130" t="s">
        <v>352</v>
      </c>
      <c r="C35" s="130"/>
      <c r="D35" s="208"/>
      <c r="E35" s="130" t="s">
        <v>353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1381.51138046723</v>
      </c>
      <c r="B36" s="228" t="n">
        <f aca="false">IF(B26="YES", K42, "0.00")</f>
        <v>53.59</v>
      </c>
      <c r="C36" s="228"/>
      <c r="D36" s="228"/>
      <c r="E36" s="228" t="n">
        <f aca="false">K31</f>
        <v>7200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354</v>
      </c>
      <c r="B39" s="130" t="s">
        <v>355</v>
      </c>
      <c r="C39" s="130"/>
      <c r="D39" s="208"/>
      <c r="E39" s="130" t="s">
        <v>356</v>
      </c>
      <c r="F39" s="183"/>
      <c r="G39" s="183"/>
      <c r="H39" s="47"/>
      <c r="J39" s="2" t="s">
        <v>86</v>
      </c>
      <c r="K39" s="2" t="n">
        <f aca="false">K33</f>
        <v>48877.5</v>
      </c>
      <c r="L39" s="2" t="n">
        <f aca="false">(L47*K46)+K44</f>
        <v>28678.5952786194</v>
      </c>
      <c r="N39" s="1" t="n">
        <f aca="false">K39-L39</f>
        <v>20198.9047213806</v>
      </c>
      <c r="P39" s="208"/>
    </row>
    <row r="40" customFormat="false" ht="17.35" hidden="false" customHeight="false" outlineLevel="0" collapsed="false">
      <c r="A40" s="103" t="n">
        <f aca="false">E36*A45/100</f>
        <v>7200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108</v>
      </c>
      <c r="K40" s="2" t="n">
        <f aca="false">(A40)/1.2</f>
        <v>6000</v>
      </c>
      <c r="L40" s="2" t="n">
        <f aca="false">K39-L39</f>
        <v>20198.9047213806</v>
      </c>
      <c r="N40" s="1" t="n">
        <f aca="false">N38-N39</f>
        <v>-17287.2247213806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357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358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359</v>
      </c>
      <c r="K43" s="2"/>
      <c r="L43" s="2"/>
      <c r="P43" s="208"/>
    </row>
    <row r="44" customFormat="false" ht="17.35" hidden="false" customHeight="false" outlineLevel="0" collapsed="false">
      <c r="A44" s="60" t="s">
        <v>78</v>
      </c>
      <c r="B44" s="130"/>
      <c r="C44" s="277" t="s">
        <v>79</v>
      </c>
      <c r="D44" s="277"/>
      <c r="E44" s="130"/>
      <c r="F44" s="130"/>
      <c r="G44" s="130"/>
      <c r="H44" s="33"/>
      <c r="J44" s="2" t="s">
        <v>360</v>
      </c>
      <c r="K44" s="2" t="n">
        <f aca="false">(K40/(1+K41)^(K36+1))</f>
        <v>4939.60661196881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361</v>
      </c>
      <c r="K45" s="2" t="n">
        <f aca="false">(K39-K44)</f>
        <v>43937.8933880312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362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363</v>
      </c>
      <c r="K47" s="2" t="n">
        <f aca="false">K45/K46</f>
        <v>1381.51138046723</v>
      </c>
      <c r="L47" s="2" t="n">
        <f aca="false">L49-K42</f>
        <v>746.41</v>
      </c>
      <c r="M47" s="1" t="n">
        <f aca="false">K47-L47</f>
        <v>635.101380467231</v>
      </c>
      <c r="P47" s="208"/>
    </row>
    <row r="48" customFormat="false" ht="31.8" hidden="false" customHeight="false" outlineLevel="0" collapsed="false">
      <c r="A48" s="66" t="s">
        <v>83</v>
      </c>
      <c r="B48" s="130"/>
      <c r="C48" s="130"/>
      <c r="D48" s="67"/>
      <c r="E48" s="67"/>
      <c r="F48" s="67"/>
      <c r="G48" s="67"/>
      <c r="H48" s="68"/>
      <c r="J48" s="55" t="s">
        <v>364</v>
      </c>
      <c r="K48" s="2" t="n">
        <f aca="false">IF(B26="YES", K47+K42, K47)</f>
        <v>1435.10138046723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365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84</v>
      </c>
      <c r="B50" s="71" t="s">
        <v>85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1435.10138046723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86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86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86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86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87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87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87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87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88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88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88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88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89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89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89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89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90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90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90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90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91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91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91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91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92</v>
      </c>
      <c r="B65" s="65" t="n">
        <f aca="false">(B89*B59)-(K47*K29)</f>
        <v>25264.2132344033</v>
      </c>
      <c r="C65" s="130"/>
      <c r="D65" s="130"/>
      <c r="E65" s="109"/>
      <c r="F65" s="109"/>
      <c r="G65" s="109"/>
      <c r="H65" s="33"/>
      <c r="J65" s="56" t="s">
        <v>92</v>
      </c>
      <c r="K65" s="65" t="n">
        <f aca="false">(K89*K59)-(K47*K29)</f>
        <v>2860.73004428854</v>
      </c>
      <c r="L65" s="130"/>
      <c r="M65" s="130"/>
      <c r="N65" s="109"/>
      <c r="O65" s="109"/>
      <c r="P65" s="109"/>
      <c r="Q65" s="33"/>
      <c r="S65" s="56" t="s">
        <v>92</v>
      </c>
      <c r="T65" s="65" t="n">
        <f aca="false">(T89*T59)-(K47*K29)</f>
        <v>17131.9592521278</v>
      </c>
      <c r="U65" s="130"/>
      <c r="V65" s="130"/>
      <c r="W65" s="109"/>
      <c r="X65" s="109"/>
      <c r="Y65" s="109"/>
      <c r="Z65" s="33"/>
      <c r="AB65" s="56" t="s">
        <v>92</v>
      </c>
      <c r="AC65" s="65" t="n">
        <f aca="false">(AC89*AC59)-(K47*K29)</f>
        <v>399.399774889571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93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93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93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94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94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94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94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95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95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95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95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96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96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96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96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97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97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97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97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98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98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98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99</v>
      </c>
      <c r="B72" s="86" t="n">
        <v>0</v>
      </c>
      <c r="C72" s="130"/>
      <c r="D72" s="130"/>
      <c r="E72" s="109"/>
      <c r="F72" s="109"/>
      <c r="G72" s="109"/>
      <c r="H72" s="33"/>
      <c r="J72" s="78" t="s">
        <v>99</v>
      </c>
      <c r="K72" s="86" t="n">
        <v>0</v>
      </c>
      <c r="L72" s="130"/>
      <c r="M72" s="130"/>
      <c r="N72" s="109"/>
      <c r="O72" s="109"/>
      <c r="P72" s="109"/>
      <c r="Q72" s="33"/>
      <c r="S72" s="78" t="s">
        <v>99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99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100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100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100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100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101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101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101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101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102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102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102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102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103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103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103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103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104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104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104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105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105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105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105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106</v>
      </c>
      <c r="B79" s="59" t="n">
        <f aca="false">K47</f>
        <v>1381.51138046723</v>
      </c>
      <c r="C79" s="130"/>
      <c r="D79" s="130"/>
      <c r="E79" s="109"/>
      <c r="F79" s="109"/>
      <c r="G79" s="109"/>
      <c r="H79" s="33"/>
      <c r="J79" s="90" t="s">
        <v>106</v>
      </c>
      <c r="K79" s="59" t="n">
        <f aca="false">K47</f>
        <v>1381.51138046723</v>
      </c>
      <c r="L79" s="130"/>
      <c r="M79" s="130"/>
      <c r="N79" s="109"/>
      <c r="O79" s="109"/>
      <c r="P79" s="109"/>
      <c r="Q79" s="33"/>
      <c r="S79" s="90" t="s">
        <v>106</v>
      </c>
      <c r="T79" s="59" t="n">
        <f aca="false">B52</f>
        <v>1435.10138046723</v>
      </c>
      <c r="U79" s="130"/>
      <c r="V79" s="130"/>
      <c r="W79" s="109"/>
      <c r="X79" s="109"/>
      <c r="Y79" s="109"/>
      <c r="Z79" s="33"/>
      <c r="AB79" s="90" t="s">
        <v>106</v>
      </c>
      <c r="AC79" s="59" t="n">
        <f aca="false">B52</f>
        <v>1435.10138046723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107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107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107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107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108</v>
      </c>
      <c r="B82" s="33" t="n">
        <f aca="false">IF(A111 = "YES", A40, 0)</f>
        <v>7200</v>
      </c>
      <c r="C82" s="130"/>
      <c r="D82" s="130"/>
      <c r="E82" s="109"/>
      <c r="F82" s="109"/>
      <c r="G82" s="109"/>
      <c r="H82" s="33"/>
      <c r="J82" s="31" t="s">
        <v>108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108</v>
      </c>
      <c r="T82" s="33" t="n">
        <f aca="false">A40</f>
        <v>7200</v>
      </c>
      <c r="U82" s="130"/>
      <c r="V82" s="130"/>
      <c r="W82" s="109"/>
      <c r="X82" s="109"/>
      <c r="Y82" s="109"/>
      <c r="Z82" s="33"/>
      <c r="AB82" s="31" t="s">
        <v>108</v>
      </c>
      <c r="AC82" s="33" t="n">
        <f aca="false">A40</f>
        <v>7200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109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109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109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109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110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110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110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110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111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111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111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5156.51709089136</v>
      </c>
      <c r="C86" s="130"/>
      <c r="D86" s="130"/>
      <c r="E86" s="109"/>
      <c r="F86" s="109"/>
      <c r="G86" s="109"/>
      <c r="H86" s="33"/>
      <c r="J86" s="31" t="s">
        <v>112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112</v>
      </c>
      <c r="T86" s="33" t="n">
        <f aca="false">(T82/((1+T84)^(T85+1)))</f>
        <v>4923.73887574313</v>
      </c>
      <c r="U86" s="130"/>
      <c r="V86" s="130"/>
      <c r="W86" s="109"/>
      <c r="X86" s="109"/>
      <c r="Y86" s="109"/>
      <c r="Z86" s="33"/>
      <c r="AB86" s="31" t="s">
        <v>112</v>
      </c>
      <c r="AC86" s="33" t="n">
        <f aca="false">(AC82/((1+AC84)^(AC85+1)))</f>
        <v>4923.73887574313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113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113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113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114</v>
      </c>
      <c r="B88" s="33" t="n">
        <f aca="false">B81-B86</f>
        <v>62573.4869091086</v>
      </c>
      <c r="C88" s="130"/>
      <c r="D88" s="130"/>
      <c r="E88" s="109"/>
      <c r="F88" s="109"/>
      <c r="G88" s="109"/>
      <c r="H88" s="33"/>
      <c r="J88" s="31" t="s">
        <v>114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114</v>
      </c>
      <c r="T88" s="33" t="n">
        <f aca="false">T81-T86</f>
        <v>54460.6986142569</v>
      </c>
      <c r="U88" s="130"/>
      <c r="V88" s="130"/>
      <c r="W88" s="109"/>
      <c r="X88" s="109"/>
      <c r="Y88" s="109"/>
      <c r="Z88" s="33"/>
      <c r="AB88" s="31" t="s">
        <v>114</v>
      </c>
      <c r="AC88" s="33" t="n">
        <f aca="false">AC81-AC86</f>
        <v>40545.0101242569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115</v>
      </c>
      <c r="B89" s="33" t="n">
        <f aca="false">(B88/B87)</f>
        <v>2165.20916325754</v>
      </c>
      <c r="C89" s="130"/>
      <c r="D89" s="130"/>
      <c r="E89" s="109"/>
      <c r="F89" s="109"/>
      <c r="G89" s="109"/>
      <c r="H89" s="33"/>
      <c r="J89" s="31" t="s">
        <v>115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115</v>
      </c>
      <c r="T89" s="33" t="n">
        <f aca="false">(T88/T87)</f>
        <v>1926.02522260238</v>
      </c>
      <c r="U89" s="130"/>
      <c r="V89" s="130"/>
      <c r="W89" s="109"/>
      <c r="X89" s="109"/>
      <c r="Y89" s="109"/>
      <c r="Z89" s="33"/>
      <c r="AB89" s="31" t="s">
        <v>115</v>
      </c>
      <c r="AC89" s="33" t="n">
        <f aca="false">(AC88/AC87)</f>
        <v>1433.89112033067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73617.1115507564</v>
      </c>
      <c r="C90" s="130"/>
      <c r="D90" s="130"/>
      <c r="E90" s="109"/>
      <c r="F90" s="109"/>
      <c r="G90" s="109"/>
      <c r="H90" s="33"/>
      <c r="J90" s="31" t="s">
        <v>116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116</v>
      </c>
      <c r="T90" s="33" t="n">
        <f aca="false">(T89*(T85))+T77</f>
        <v>65484.8575684809</v>
      </c>
      <c r="U90" s="130"/>
      <c r="V90" s="130"/>
      <c r="W90" s="109"/>
      <c r="X90" s="109"/>
      <c r="Y90" s="109"/>
      <c r="Z90" s="33"/>
      <c r="AB90" s="31" t="s">
        <v>116</v>
      </c>
      <c r="AC90" s="33" t="n">
        <f aca="false">(AC89*(AC59))+AC77</f>
        <v>48752.2980912427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117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117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117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117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118</v>
      </c>
      <c r="B92" s="65" t="n">
        <f aca="false">(B90+B91)</f>
        <v>73617.1115507564</v>
      </c>
      <c r="C92" s="130"/>
      <c r="D92" s="130"/>
      <c r="E92" s="109"/>
      <c r="F92" s="109"/>
      <c r="G92" s="109"/>
      <c r="H92" s="33"/>
      <c r="J92" s="56" t="s">
        <v>118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118</v>
      </c>
      <c r="T92" s="65" t="n">
        <f aca="false">(T90+T91)</f>
        <v>65484.8575684809</v>
      </c>
      <c r="U92" s="130"/>
      <c r="V92" s="130"/>
      <c r="W92" s="109"/>
      <c r="X92" s="109"/>
      <c r="Y92" s="109"/>
      <c r="Z92" s="33"/>
      <c r="AB92" s="56" t="s">
        <v>118</v>
      </c>
      <c r="AC92" s="65" t="n">
        <f aca="false">(AC90+AC91)</f>
        <v>48752.2980912427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119</v>
      </c>
      <c r="B94" s="89" t="n">
        <f aca="false">IF(B26="YES",((E40/B85)*(1+A108)*1.2),"0")</f>
        <v>86.0592352941177</v>
      </c>
      <c r="C94" s="130"/>
      <c r="D94" s="130"/>
      <c r="E94" s="109"/>
      <c r="F94" s="109"/>
      <c r="G94" s="109"/>
      <c r="H94" s="33"/>
      <c r="J94" s="88" t="s">
        <v>119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119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119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120</v>
      </c>
      <c r="B95" s="92" t="n">
        <f aca="false">B92/(B85)</f>
        <v>2165.20916325754</v>
      </c>
      <c r="C95" s="130"/>
      <c r="D95" s="130"/>
      <c r="E95" s="109"/>
      <c r="F95" s="109"/>
      <c r="G95" s="109"/>
      <c r="H95" s="33"/>
      <c r="J95" s="91" t="s">
        <v>120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120</v>
      </c>
      <c r="T95" s="92" t="n">
        <f aca="false">T92/(T85)</f>
        <v>1926.02522260238</v>
      </c>
      <c r="U95" s="130"/>
      <c r="V95" s="130"/>
      <c r="W95" s="109"/>
      <c r="X95" s="109"/>
      <c r="Y95" s="109"/>
      <c r="Z95" s="33"/>
      <c r="AB95" s="91" t="s">
        <v>120</v>
      </c>
      <c r="AC95" s="92" t="n">
        <f aca="false">AC92/(AC59)</f>
        <v>1433.89112033067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121</v>
      </c>
      <c r="B96" s="94" t="n">
        <f aca="false">(B94+B95)</f>
        <v>2251.26839855166</v>
      </c>
      <c r="C96" s="130"/>
      <c r="D96" s="130"/>
      <c r="E96" s="109"/>
      <c r="F96" s="109"/>
      <c r="G96" s="109"/>
      <c r="H96" s="33"/>
      <c r="J96" s="93" t="s">
        <v>121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121</v>
      </c>
      <c r="T96" s="94" t="n">
        <f aca="false">T94+T95</f>
        <v>1992.22463436709</v>
      </c>
      <c r="U96" s="130"/>
      <c r="V96" s="130"/>
      <c r="W96" s="109"/>
      <c r="X96" s="109"/>
      <c r="Y96" s="109"/>
      <c r="Z96" s="33"/>
      <c r="AB96" s="93" t="s">
        <v>121</v>
      </c>
      <c r="AC96" s="94" t="n">
        <f aca="false">AC94+AC95</f>
        <v>1513.33041444831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123</v>
      </c>
      <c r="K100" s="96"/>
      <c r="L100" s="96"/>
      <c r="M100" s="96"/>
      <c r="N100" s="96"/>
      <c r="O100" s="96"/>
      <c r="P100" s="96"/>
      <c r="Q100" s="96"/>
      <c r="S100" s="96" t="s">
        <v>124</v>
      </c>
      <c r="T100" s="96"/>
      <c r="U100" s="96"/>
      <c r="V100" s="96"/>
      <c r="W100" s="96"/>
      <c r="X100" s="96"/>
      <c r="Y100" s="96"/>
      <c r="Z100" s="96"/>
      <c r="AB100" s="96" t="s">
        <v>125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31" t="s">
        <v>127</v>
      </c>
      <c r="K104" s="130" t="s">
        <v>23</v>
      </c>
      <c r="L104" s="130"/>
      <c r="M104" s="130"/>
      <c r="N104" s="130" t="s">
        <v>128</v>
      </c>
      <c r="O104" s="130"/>
      <c r="P104" s="130"/>
      <c r="Q104" s="33"/>
      <c r="S104" s="31" t="s">
        <v>127</v>
      </c>
      <c r="T104" s="130" t="s">
        <v>23</v>
      </c>
      <c r="U104" s="130"/>
      <c r="V104" s="130"/>
      <c r="W104" s="130" t="s">
        <v>128</v>
      </c>
      <c r="X104" s="130"/>
      <c r="Y104" s="130"/>
      <c r="Z104" s="33"/>
      <c r="AB104" s="31" t="s">
        <v>127</v>
      </c>
      <c r="AC104" s="130" t="s">
        <v>23</v>
      </c>
      <c r="AD104" s="130"/>
      <c r="AE104" s="130"/>
      <c r="AF104" s="130" t="s">
        <v>128</v>
      </c>
      <c r="AG104" s="130"/>
      <c r="AH104" s="130"/>
      <c r="AI104" s="33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18</v>
      </c>
      <c r="F105" s="100"/>
      <c r="G105" s="100"/>
      <c r="H105" s="98"/>
      <c r="J105" s="36" t="s">
        <v>129</v>
      </c>
      <c r="K105" s="99" t="s">
        <v>130</v>
      </c>
      <c r="L105" s="99"/>
      <c r="M105" s="99"/>
      <c r="N105" s="100" t="s">
        <v>18</v>
      </c>
      <c r="O105" s="100"/>
      <c r="P105" s="100"/>
      <c r="Q105" s="98"/>
      <c r="S105" s="36" t="s">
        <v>129</v>
      </c>
      <c r="T105" s="99" t="s">
        <v>130</v>
      </c>
      <c r="U105" s="99"/>
      <c r="V105" s="99"/>
      <c r="W105" s="100" t="s">
        <v>18</v>
      </c>
      <c r="X105" s="100"/>
      <c r="Y105" s="100"/>
      <c r="Z105" s="98"/>
      <c r="AB105" s="36" t="s">
        <v>129</v>
      </c>
      <c r="AC105" s="99" t="s">
        <v>130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31" t="s">
        <v>131</v>
      </c>
      <c r="K107" s="130" t="s">
        <v>132</v>
      </c>
      <c r="L107" s="130"/>
      <c r="M107" s="109"/>
      <c r="N107" s="130" t="s">
        <v>133</v>
      </c>
      <c r="O107" s="130"/>
      <c r="P107" s="109"/>
      <c r="Q107" s="98"/>
      <c r="S107" s="31" t="s">
        <v>131</v>
      </c>
      <c r="T107" s="130" t="s">
        <v>132</v>
      </c>
      <c r="U107" s="130"/>
      <c r="V107" s="109"/>
      <c r="W107" s="130" t="s">
        <v>133</v>
      </c>
      <c r="X107" s="130"/>
      <c r="Y107" s="109"/>
      <c r="Z107" s="98"/>
      <c r="AB107" s="31" t="s">
        <v>131</v>
      </c>
      <c r="AC107" s="130" t="s">
        <v>132</v>
      </c>
      <c r="AD107" s="130"/>
      <c r="AE107" s="109"/>
      <c r="AF107" s="130" t="s">
        <v>133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134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135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135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31" t="s">
        <v>137</v>
      </c>
      <c r="K110" s="130" t="s">
        <v>138</v>
      </c>
      <c r="L110" s="130"/>
      <c r="M110" s="130"/>
      <c r="N110" s="130" t="s">
        <v>139</v>
      </c>
      <c r="O110" s="130"/>
      <c r="P110" s="130"/>
      <c r="Q110" s="33"/>
      <c r="S110" s="31" t="s">
        <v>137</v>
      </c>
      <c r="T110" s="130" t="s">
        <v>138</v>
      </c>
      <c r="U110" s="130"/>
      <c r="V110" s="130"/>
      <c r="W110" s="130" t="s">
        <v>139</v>
      </c>
      <c r="X110" s="130"/>
      <c r="Y110" s="130"/>
      <c r="Z110" s="33"/>
      <c r="AB110" s="31" t="s">
        <v>137</v>
      </c>
      <c r="AC110" s="130" t="s">
        <v>138</v>
      </c>
      <c r="AD110" s="130"/>
      <c r="AE110" s="130"/>
      <c r="AF110" s="130" t="s">
        <v>139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106" t="s">
        <v>140</v>
      </c>
      <c r="K113" s="130" t="s">
        <v>141</v>
      </c>
      <c r="L113" s="130"/>
      <c r="M113" s="130"/>
      <c r="N113" s="130" t="s">
        <v>142</v>
      </c>
      <c r="O113" s="130"/>
      <c r="P113" s="109"/>
      <c r="Q113" s="98"/>
      <c r="S113" s="106" t="s">
        <v>140</v>
      </c>
      <c r="T113" s="130" t="s">
        <v>141</v>
      </c>
      <c r="U113" s="130"/>
      <c r="V113" s="130"/>
      <c r="W113" s="130" t="s">
        <v>142</v>
      </c>
      <c r="X113" s="130"/>
      <c r="Y113" s="109"/>
      <c r="Z113" s="98"/>
      <c r="AB113" s="106" t="s">
        <v>140</v>
      </c>
      <c r="AC113" s="130" t="s">
        <v>141</v>
      </c>
      <c r="AD113" s="130"/>
      <c r="AE113" s="130"/>
      <c r="AF113" s="130" t="s">
        <v>142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78"/>
      <c r="K119" s="110" t="s">
        <v>145</v>
      </c>
      <c r="L119" s="110"/>
      <c r="M119" s="110" t="s">
        <v>146</v>
      </c>
      <c r="N119" s="110"/>
      <c r="O119" s="110" t="s">
        <v>147</v>
      </c>
      <c r="P119" s="110"/>
      <c r="Q119" s="111" t="s">
        <v>148</v>
      </c>
      <c r="S119" s="78"/>
      <c r="T119" s="110" t="s">
        <v>145</v>
      </c>
      <c r="U119" s="110"/>
      <c r="V119" s="110" t="s">
        <v>146</v>
      </c>
      <c r="W119" s="110"/>
      <c r="X119" s="110" t="s">
        <v>147</v>
      </c>
      <c r="Y119" s="110"/>
      <c r="Z119" s="111" t="s">
        <v>148</v>
      </c>
      <c r="AB119" s="78"/>
      <c r="AC119" s="110" t="s">
        <v>145</v>
      </c>
      <c r="AD119" s="110"/>
      <c r="AE119" s="110" t="s">
        <v>146</v>
      </c>
      <c r="AF119" s="110"/>
      <c r="AG119" s="110" t="s">
        <v>147</v>
      </c>
      <c r="AH119" s="110"/>
      <c r="AI119" s="111" t="s">
        <v>148</v>
      </c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80"/>
      <c r="K120" s="112" t="s">
        <v>149</v>
      </c>
      <c r="L120" s="113" t="s">
        <v>150</v>
      </c>
      <c r="M120" s="112" t="s">
        <v>149</v>
      </c>
      <c r="N120" s="114" t="s">
        <v>150</v>
      </c>
      <c r="O120" s="112" t="s">
        <v>149</v>
      </c>
      <c r="P120" s="114" t="s">
        <v>150</v>
      </c>
      <c r="Q120" s="115"/>
      <c r="S120" s="80"/>
      <c r="T120" s="112" t="s">
        <v>149</v>
      </c>
      <c r="U120" s="113" t="s">
        <v>150</v>
      </c>
      <c r="V120" s="112" t="s">
        <v>149</v>
      </c>
      <c r="W120" s="114" t="s">
        <v>150</v>
      </c>
      <c r="X120" s="112" t="s">
        <v>149</v>
      </c>
      <c r="Y120" s="114" t="s">
        <v>150</v>
      </c>
      <c r="Z120" s="115"/>
      <c r="AB120" s="80"/>
      <c r="AC120" s="112" t="s">
        <v>149</v>
      </c>
      <c r="AD120" s="113" t="s">
        <v>150</v>
      </c>
      <c r="AE120" s="112" t="s">
        <v>149</v>
      </c>
      <c r="AF120" s="114" t="s">
        <v>150</v>
      </c>
      <c r="AG120" s="112" t="s">
        <v>149</v>
      </c>
      <c r="AH120" s="114" t="s">
        <v>150</v>
      </c>
      <c r="AI120" s="115"/>
    </row>
    <row r="121" customFormat="false" ht="17.35" hidden="false" customHeight="false" outlineLevel="0" collapsed="false">
      <c r="A121" s="25" t="s">
        <v>151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151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151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151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152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152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152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153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153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153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153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154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154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154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155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155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155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131"/>
      <c r="K127" s="132"/>
      <c r="L127" s="132"/>
      <c r="M127" s="132"/>
      <c r="N127" s="132"/>
      <c r="O127" s="132"/>
      <c r="P127" s="133" t="s">
        <v>149</v>
      </c>
      <c r="Q127" s="134" t="s">
        <v>150</v>
      </c>
      <c r="S127" s="131"/>
      <c r="T127" s="132"/>
      <c r="U127" s="132"/>
      <c r="V127" s="132"/>
      <c r="W127" s="132"/>
      <c r="X127" s="132"/>
      <c r="Y127" s="133" t="s">
        <v>149</v>
      </c>
      <c r="Z127" s="134" t="s">
        <v>150</v>
      </c>
      <c r="AB127" s="131"/>
      <c r="AC127" s="132"/>
      <c r="AD127" s="132"/>
      <c r="AE127" s="132"/>
      <c r="AF127" s="132"/>
      <c r="AG127" s="132"/>
      <c r="AH127" s="133" t="s">
        <v>149</v>
      </c>
      <c r="AI127" s="134" t="s">
        <v>150</v>
      </c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156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156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156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144" t="s">
        <v>157</v>
      </c>
      <c r="K130" s="141" t="s">
        <v>158</v>
      </c>
      <c r="L130" s="141"/>
      <c r="M130" s="141" t="s">
        <v>159</v>
      </c>
      <c r="N130" s="141"/>
      <c r="O130" s="141" t="s">
        <v>153</v>
      </c>
      <c r="P130" s="141"/>
      <c r="Q130" s="142" t="s">
        <v>150</v>
      </c>
      <c r="S130" s="144" t="s">
        <v>157</v>
      </c>
      <c r="T130" s="141" t="s">
        <v>158</v>
      </c>
      <c r="U130" s="141"/>
      <c r="V130" s="141" t="s">
        <v>159</v>
      </c>
      <c r="W130" s="141"/>
      <c r="X130" s="141" t="s">
        <v>153</v>
      </c>
      <c r="Y130" s="141"/>
      <c r="Z130" s="142" t="s">
        <v>150</v>
      </c>
      <c r="AB130" s="144" t="s">
        <v>157</v>
      </c>
      <c r="AC130" s="141" t="s">
        <v>158</v>
      </c>
      <c r="AD130" s="141"/>
      <c r="AE130" s="141" t="s">
        <v>159</v>
      </c>
      <c r="AF130" s="141"/>
      <c r="AG130" s="141" t="s">
        <v>153</v>
      </c>
      <c r="AH130" s="141"/>
      <c r="AI130" s="142" t="s">
        <v>150</v>
      </c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160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160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160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161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161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161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162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162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162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163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163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163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164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164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164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165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165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165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166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166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166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167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167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167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168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168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168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169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169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169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170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170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170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107" t="s">
        <v>171</v>
      </c>
      <c r="K143" s="107"/>
      <c r="L143" s="107"/>
      <c r="M143" s="107"/>
      <c r="N143" s="107"/>
      <c r="O143" s="107"/>
      <c r="P143" s="99"/>
      <c r="Q143" s="33"/>
      <c r="S143" s="107" t="s">
        <v>171</v>
      </c>
      <c r="T143" s="107"/>
      <c r="U143" s="107"/>
      <c r="V143" s="107"/>
      <c r="W143" s="107"/>
      <c r="X143" s="107"/>
      <c r="Y143" s="99"/>
      <c r="Z143" s="33"/>
      <c r="AB143" s="107" t="s">
        <v>171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172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172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172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172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172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172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172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172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172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172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173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173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173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174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174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174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176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176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176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177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177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177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178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178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178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179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179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179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180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180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180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181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181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181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183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183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183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170" t="s">
        <v>184</v>
      </c>
      <c r="K166" s="171" t="s">
        <v>185</v>
      </c>
      <c r="L166" s="171"/>
      <c r="M166" s="171"/>
      <c r="N166" s="171" t="s">
        <v>186</v>
      </c>
      <c r="O166" s="23"/>
      <c r="P166" s="23"/>
      <c r="Q166" s="33"/>
      <c r="S166" s="170" t="s">
        <v>184</v>
      </c>
      <c r="T166" s="171" t="s">
        <v>185</v>
      </c>
      <c r="U166" s="171"/>
      <c r="V166" s="171"/>
      <c r="W166" s="171" t="s">
        <v>186</v>
      </c>
      <c r="X166" s="23"/>
      <c r="Y166" s="23"/>
      <c r="Z166" s="33"/>
      <c r="AB166" s="170" t="s">
        <v>184</v>
      </c>
      <c r="AC166" s="171" t="s">
        <v>185</v>
      </c>
      <c r="AD166" s="171"/>
      <c r="AE166" s="171"/>
      <c r="AF166" s="171" t="s">
        <v>186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2165.20916325754</v>
      </c>
      <c r="B167" s="174" t="n">
        <f aca="false">B94</f>
        <v>86.0592352941177</v>
      </c>
      <c r="C167" s="171"/>
      <c r="D167" s="171"/>
      <c r="E167" s="174" t="n">
        <f aca="false">B96</f>
        <v>2251.26839855166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1926.02522260238</v>
      </c>
      <c r="T167" s="174" t="n">
        <f aca="false">T94</f>
        <v>66.1994117647059</v>
      </c>
      <c r="U167" s="171"/>
      <c r="V167" s="171"/>
      <c r="W167" s="174" t="n">
        <f aca="false">T96</f>
        <v>1992.22463436709</v>
      </c>
      <c r="X167" s="23"/>
      <c r="Y167" s="23"/>
      <c r="Z167" s="33"/>
      <c r="AB167" s="173" t="n">
        <f aca="false">AC95</f>
        <v>1433.89112033067</v>
      </c>
      <c r="AC167" s="174" t="n">
        <f aca="false">AC94</f>
        <v>79.4392941176471</v>
      </c>
      <c r="AD167" s="171"/>
      <c r="AE167" s="171"/>
      <c r="AF167" s="174" t="n">
        <f aca="false">AC96</f>
        <v>1513.33041444831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31" t="s">
        <v>84</v>
      </c>
      <c r="K169" s="130" t="s">
        <v>85</v>
      </c>
      <c r="L169" s="130"/>
      <c r="M169" s="23"/>
      <c r="N169" s="130" t="s">
        <v>187</v>
      </c>
      <c r="O169" s="23"/>
      <c r="P169" s="23"/>
      <c r="Q169" s="33"/>
      <c r="S169" s="31" t="s">
        <v>84</v>
      </c>
      <c r="T169" s="130" t="s">
        <v>85</v>
      </c>
      <c r="U169" s="130"/>
      <c r="V169" s="23"/>
      <c r="W169" s="130" t="s">
        <v>187</v>
      </c>
      <c r="X169" s="23"/>
      <c r="Y169" s="23"/>
      <c r="Z169" s="33"/>
      <c r="AB169" s="31" t="s">
        <v>84</v>
      </c>
      <c r="AC169" s="130" t="s">
        <v>85</v>
      </c>
      <c r="AD169" s="130"/>
      <c r="AE169" s="23"/>
      <c r="AF169" s="130" t="s">
        <v>187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7200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7200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7200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7200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31" t="s">
        <v>188</v>
      </c>
      <c r="K172" s="130" t="s">
        <v>189</v>
      </c>
      <c r="L172" s="130"/>
      <c r="M172" s="23"/>
      <c r="N172" s="130" t="s">
        <v>190</v>
      </c>
      <c r="O172" s="23"/>
      <c r="P172" s="23"/>
      <c r="Q172" s="33"/>
      <c r="S172" s="31" t="s">
        <v>188</v>
      </c>
      <c r="T172" s="130" t="s">
        <v>189</v>
      </c>
      <c r="U172" s="130"/>
      <c r="V172" s="23"/>
      <c r="W172" s="130" t="s">
        <v>190</v>
      </c>
      <c r="X172" s="23"/>
      <c r="Y172" s="23"/>
      <c r="Z172" s="33"/>
      <c r="AB172" s="31" t="s">
        <v>188</v>
      </c>
      <c r="AC172" s="130" t="s">
        <v>189</v>
      </c>
      <c r="AD172" s="130"/>
      <c r="AE172" s="23"/>
      <c r="AF172" s="130" t="s">
        <v>190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31" t="s">
        <v>191</v>
      </c>
      <c r="K175" s="130" t="s">
        <v>138</v>
      </c>
      <c r="L175" s="130"/>
      <c r="M175" s="23"/>
      <c r="N175" s="130" t="s">
        <v>139</v>
      </c>
      <c r="O175" s="23"/>
      <c r="P175" s="23"/>
      <c r="Q175" s="33"/>
      <c r="S175" s="31" t="s">
        <v>191</v>
      </c>
      <c r="T175" s="130" t="s">
        <v>138</v>
      </c>
      <c r="U175" s="130"/>
      <c r="V175" s="23"/>
      <c r="W175" s="130" t="s">
        <v>139</v>
      </c>
      <c r="X175" s="23"/>
      <c r="Y175" s="23"/>
      <c r="Z175" s="33"/>
      <c r="AB175" s="31" t="s">
        <v>191</v>
      </c>
      <c r="AC175" s="130" t="s">
        <v>138</v>
      </c>
      <c r="AD175" s="130"/>
      <c r="AE175" s="23"/>
      <c r="AF175" s="130" t="s">
        <v>139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31" t="s">
        <v>140</v>
      </c>
      <c r="K178" s="130" t="s">
        <v>176</v>
      </c>
      <c r="L178" s="130"/>
      <c r="M178" s="23"/>
      <c r="N178" s="130" t="s">
        <v>181</v>
      </c>
      <c r="O178" s="23"/>
      <c r="P178" s="23"/>
      <c r="Q178" s="33"/>
      <c r="S178" s="31" t="s">
        <v>140</v>
      </c>
      <c r="T178" s="130" t="s">
        <v>176</v>
      </c>
      <c r="U178" s="130"/>
      <c r="V178" s="23"/>
      <c r="W178" s="130" t="s">
        <v>181</v>
      </c>
      <c r="X178" s="23"/>
      <c r="Y178" s="23"/>
      <c r="Z178" s="33"/>
      <c r="AB178" s="31" t="s">
        <v>140</v>
      </c>
      <c r="AC178" s="130" t="s">
        <v>176</v>
      </c>
      <c r="AD178" s="130"/>
      <c r="AE178" s="23"/>
      <c r="AF178" s="130" t="s">
        <v>181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31" t="s">
        <v>192</v>
      </c>
      <c r="K181" s="130" t="s">
        <v>53</v>
      </c>
      <c r="L181" s="130"/>
      <c r="M181" s="23"/>
      <c r="N181" s="130" t="s">
        <v>193</v>
      </c>
      <c r="O181" s="23"/>
      <c r="P181" s="23"/>
      <c r="Q181" s="33"/>
      <c r="S181" s="31" t="s">
        <v>192</v>
      </c>
      <c r="T181" s="130" t="s">
        <v>53</v>
      </c>
      <c r="U181" s="130"/>
      <c r="V181" s="23"/>
      <c r="W181" s="130" t="s">
        <v>193</v>
      </c>
      <c r="X181" s="23"/>
      <c r="Y181" s="23"/>
      <c r="Z181" s="33"/>
      <c r="AB181" s="31" t="s">
        <v>192</v>
      </c>
      <c r="AC181" s="130" t="s">
        <v>53</v>
      </c>
      <c r="AD181" s="130"/>
      <c r="AE181" s="23"/>
      <c r="AF181" s="130" t="s">
        <v>193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13087.1075507564</v>
      </c>
      <c r="B182" s="99" t="str">
        <f aca="false">B114</f>
        <v>239.99</v>
      </c>
      <c r="C182" s="99"/>
      <c r="D182" s="23"/>
      <c r="E182" s="99" t="n">
        <f aca="false">E179+A182+B182+A185</f>
        <v>81067.1015507564</v>
      </c>
      <c r="F182" s="23"/>
      <c r="G182" s="23"/>
      <c r="H182" s="101"/>
      <c r="J182" s="107" t="n">
        <f aca="false">(J167*K59)+N185-N179-J185</f>
        <v>20758.6283606416</v>
      </c>
      <c r="K182" s="99" t="n">
        <f aca="false">K114</f>
        <v>239.99</v>
      </c>
      <c r="L182" s="99"/>
      <c r="M182" s="23"/>
      <c r="N182" s="99" t="n">
        <f aca="false">N179+J182+K182+J185</f>
        <v>58673.6183606416</v>
      </c>
      <c r="O182" s="23"/>
      <c r="P182" s="23"/>
      <c r="Q182" s="101"/>
      <c r="S182" s="107" t="n">
        <f aca="false">(S167*T59)+W185-W179-S185</f>
        <v>13300.4200784809</v>
      </c>
      <c r="T182" s="99" t="n">
        <f aca="false">T114</f>
        <v>199.99</v>
      </c>
      <c r="U182" s="99"/>
      <c r="V182" s="23"/>
      <c r="W182" s="99" t="n">
        <f aca="false">W179+S182+T182+S185</f>
        <v>72894.8475684809</v>
      </c>
      <c r="X182" s="23"/>
      <c r="Y182" s="23"/>
      <c r="Z182" s="101"/>
      <c r="AB182" s="107" t="n">
        <f aca="false">(AB167*AC59)+AF185-AF179-AB185</f>
        <v>10483.5490912427</v>
      </c>
      <c r="AC182" s="99" t="n">
        <f aca="false">AC114</f>
        <v>239.99</v>
      </c>
      <c r="AD182" s="99"/>
      <c r="AE182" s="23"/>
      <c r="AF182" s="99" t="n">
        <f aca="false">AF179+AB182+AC182+AB185</f>
        <v>56202.2880912427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31" t="s">
        <v>194</v>
      </c>
      <c r="K184" s="130" t="s">
        <v>195</v>
      </c>
      <c r="L184" s="130"/>
      <c r="M184" s="23"/>
      <c r="N184" s="130" t="s">
        <v>196</v>
      </c>
      <c r="O184" s="23"/>
      <c r="P184" s="23"/>
      <c r="Q184" s="33"/>
      <c r="S184" s="31" t="s">
        <v>194</v>
      </c>
      <c r="T184" s="130" t="s">
        <v>195</v>
      </c>
      <c r="U184" s="130"/>
      <c r="V184" s="23"/>
      <c r="W184" s="130" t="s">
        <v>196</v>
      </c>
      <c r="X184" s="23"/>
      <c r="Y184" s="23"/>
      <c r="Z184" s="33"/>
      <c r="AB184" s="31" t="s">
        <v>194</v>
      </c>
      <c r="AC184" s="130" t="s">
        <v>195</v>
      </c>
      <c r="AD184" s="130"/>
      <c r="AE184" s="23"/>
      <c r="AF184" s="130" t="s">
        <v>196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7210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7220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7210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7210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31" t="s">
        <v>197</v>
      </c>
      <c r="K187" s="130" t="s">
        <v>198</v>
      </c>
      <c r="L187" s="130"/>
      <c r="M187" s="130"/>
      <c r="N187" s="163" t="s">
        <v>199</v>
      </c>
      <c r="O187" s="23"/>
      <c r="P187" s="23"/>
      <c r="Q187" s="33"/>
      <c r="S187" s="31" t="s">
        <v>197</v>
      </c>
      <c r="T187" s="130" t="s">
        <v>198</v>
      </c>
      <c r="U187" s="130"/>
      <c r="V187" s="130"/>
      <c r="W187" s="163" t="s">
        <v>199</v>
      </c>
      <c r="X187" s="32"/>
      <c r="Y187" s="32"/>
      <c r="Z187" s="33"/>
      <c r="AB187" s="31" t="s">
        <v>197</v>
      </c>
      <c r="AC187" s="130" t="s">
        <v>198</v>
      </c>
      <c r="AD187" s="130"/>
      <c r="AE187" s="130"/>
      <c r="AF187" s="163" t="s">
        <v>199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</f>
        <v>56.2695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60" t="s">
        <v>200</v>
      </c>
      <c r="K190" s="163" t="s">
        <v>201</v>
      </c>
      <c r="L190" s="130"/>
      <c r="M190" s="130"/>
      <c r="N190" s="163" t="s">
        <v>202</v>
      </c>
      <c r="O190" s="23"/>
      <c r="P190" s="23"/>
      <c r="Q190" s="33"/>
      <c r="S190" s="60" t="s">
        <v>200</v>
      </c>
      <c r="T190" s="163" t="s">
        <v>201</v>
      </c>
      <c r="U190" s="130"/>
      <c r="V190" s="130"/>
      <c r="W190" s="163" t="s">
        <v>202</v>
      </c>
      <c r="X190" s="32"/>
      <c r="Y190" s="32"/>
      <c r="Z190" s="33"/>
      <c r="AB190" s="60" t="s">
        <v>200</v>
      </c>
      <c r="AC190" s="163" t="s">
        <v>201</v>
      </c>
      <c r="AD190" s="130"/>
      <c r="AE190" s="130"/>
      <c r="AF190" s="163" t="s">
        <v>202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819.450789166667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66" t="s">
        <v>203</v>
      </c>
      <c r="K193" s="130"/>
      <c r="L193" s="130"/>
      <c r="M193" s="67"/>
      <c r="N193" s="67"/>
      <c r="O193" s="67"/>
      <c r="P193" s="67"/>
      <c r="Q193" s="68"/>
      <c r="S193" s="66" t="s">
        <v>203</v>
      </c>
      <c r="T193" s="130"/>
      <c r="U193" s="130"/>
      <c r="V193" s="67"/>
      <c r="W193" s="67"/>
      <c r="X193" s="67"/>
      <c r="Y193" s="67"/>
      <c r="Z193" s="68"/>
      <c r="AB193" s="66" t="s">
        <v>203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184" t="s">
        <v>84</v>
      </c>
      <c r="K195" s="71" t="s">
        <v>85</v>
      </c>
      <c r="L195" s="71"/>
      <c r="M195" s="71"/>
      <c r="N195" s="23"/>
      <c r="O195" s="23"/>
      <c r="P195" s="23"/>
      <c r="Q195" s="33"/>
      <c r="S195" s="184" t="s">
        <v>84</v>
      </c>
      <c r="T195" s="71" t="s">
        <v>85</v>
      </c>
      <c r="U195" s="71"/>
      <c r="V195" s="71"/>
      <c r="W195" s="23"/>
      <c r="X195" s="23"/>
      <c r="Y195" s="23"/>
      <c r="Z195" s="33"/>
      <c r="AB195" s="184" t="s">
        <v>84</v>
      </c>
      <c r="AC195" s="71" t="s">
        <v>85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2251.26839855166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1992.22463436709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1513.33041444831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2165.20916325754</v>
      </c>
      <c r="B212" s="174" t="n">
        <f aca="false">B167</f>
        <v>86.0592352941177</v>
      </c>
      <c r="C212" s="171"/>
      <c r="D212" s="171"/>
      <c r="E212" s="174" t="n">
        <f aca="false">E167</f>
        <v>2251.26839855166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13087.1075507564</v>
      </c>
      <c r="B224" s="99" t="str">
        <f aca="false">B182</f>
        <v>239.99</v>
      </c>
      <c r="C224" s="99"/>
      <c r="D224" s="109"/>
      <c r="E224" s="99" t="n">
        <f aca="false">E182</f>
        <v>81067.1015507564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2165.20916325754</v>
      </c>
      <c r="B230" s="99" t="n">
        <f aca="false">B167</f>
        <v>86.0592352941177</v>
      </c>
      <c r="C230" s="183"/>
      <c r="D230" s="183"/>
      <c r="E230" s="99" t="n">
        <f aca="false">E167</f>
        <v>2251.26839855166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187</v>
      </c>
      <c r="B232" s="130" t="s">
        <v>207</v>
      </c>
      <c r="C232" s="130"/>
      <c r="D232" s="130"/>
      <c r="E232" s="130" t="s">
        <v>208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132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56.2695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10463.0891854167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K35</f>
        <v>0.065</v>
      </c>
      <c r="C253" s="194"/>
      <c r="D253" s="195" t="s">
        <v>213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662.686666666667</v>
      </c>
      <c r="C255" s="194"/>
      <c r="D255" s="195" t="s">
        <v>217</v>
      </c>
      <c r="E255" s="195"/>
      <c r="F255" s="196" t="n">
        <f aca="false">(B254-F254)+B255</f>
        <v>-0.502955833333431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0.05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0.115</v>
      </c>
      <c r="C260" s="43"/>
      <c r="D260" s="163" t="s">
        <v>214</v>
      </c>
      <c r="E260" s="163"/>
      <c r="F260" s="143" t="n">
        <f aca="false">(B89*B59)-(C89*B59)</f>
        <v>73617.1115507564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0.00979166666666667</v>
      </c>
      <c r="C261" s="32"/>
      <c r="D261" s="163" t="s">
        <v>220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0.3</v>
      </c>
      <c r="C262" s="32"/>
      <c r="D262" s="163" t="s">
        <v>221</v>
      </c>
      <c r="E262" s="163"/>
      <c r="F262" s="143" t="n">
        <f aca="false">E240*10</f>
        <v>562.695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99.9916666666667</v>
      </c>
      <c r="C263" s="32"/>
      <c r="D263" s="39" t="s">
        <v>217</v>
      </c>
      <c r="E263" s="39"/>
      <c r="F263" s="143" t="n">
        <f aca="false">(B254-F254)+B255</f>
        <v>-0.502955833333431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 t="n">
        <v>550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/>
      <c r="C13" s="151"/>
      <c r="D13" s="151"/>
      <c r="E13" s="151" t="n">
        <v>555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 t="n">
        <v>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347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128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183</v>
      </c>
      <c r="B30" s="100" t="s">
        <v>348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5400</v>
      </c>
      <c r="P31" s="208"/>
    </row>
    <row r="32" customFormat="false" ht="34.8" hidden="false" customHeight="false" outlineLevel="0" collapsed="false">
      <c r="A32" s="31" t="s">
        <v>84</v>
      </c>
      <c r="B32" s="130" t="s">
        <v>85</v>
      </c>
      <c r="C32" s="130"/>
      <c r="D32" s="130"/>
      <c r="E32" s="130" t="s">
        <v>349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1420.33961176863</v>
      </c>
      <c r="F33" s="228"/>
      <c r="G33" s="228"/>
      <c r="H33" s="47"/>
      <c r="I33" s="2"/>
      <c r="J33" s="34" t="s">
        <v>350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351</v>
      </c>
      <c r="B35" s="130" t="s">
        <v>352</v>
      </c>
      <c r="C35" s="130"/>
      <c r="D35" s="208"/>
      <c r="E35" s="130" t="s">
        <v>353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1420.33961176863</v>
      </c>
      <c r="B36" s="228" t="str">
        <f aca="false">IF(B26="YES", K42, "0.00")</f>
        <v>0.00</v>
      </c>
      <c r="C36" s="228"/>
      <c r="D36" s="228"/>
      <c r="E36" s="228" t="n">
        <f aca="false">K31</f>
        <v>5400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354</v>
      </c>
      <c r="B39" s="130" t="s">
        <v>355</v>
      </c>
      <c r="C39" s="130"/>
      <c r="D39" s="208"/>
      <c r="E39" s="130" t="s">
        <v>356</v>
      </c>
      <c r="F39" s="183"/>
      <c r="G39" s="183"/>
      <c r="H39" s="47"/>
      <c r="J39" s="2" t="s">
        <v>86</v>
      </c>
      <c r="K39" s="2" t="n">
        <f aca="false">K33</f>
        <v>48877.5</v>
      </c>
      <c r="L39" s="2" t="n">
        <f aca="false">(L47*K46)+K44</f>
        <v>29148.0818340459</v>
      </c>
      <c r="N39" s="1" t="n">
        <f aca="false">K39-L39</f>
        <v>19729.4181659541</v>
      </c>
      <c r="P39" s="208"/>
    </row>
    <row r="40" customFormat="false" ht="17.35" hidden="false" customHeight="false" outlineLevel="0" collapsed="false">
      <c r="A40" s="333" t="n">
        <f aca="false">E36*A45/100</f>
        <v>5400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108</v>
      </c>
      <c r="K40" s="2" t="n">
        <f aca="false">(A40)/1.2</f>
        <v>4500</v>
      </c>
      <c r="L40" s="2" t="n">
        <f aca="false">K39-L39</f>
        <v>19729.4181659541</v>
      </c>
      <c r="N40" s="1" t="n">
        <f aca="false">N38-N39</f>
        <v>-16817.7381659541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357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358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359</v>
      </c>
      <c r="K43" s="2"/>
      <c r="L43" s="2"/>
      <c r="P43" s="208"/>
    </row>
    <row r="44" customFormat="false" ht="17.35" hidden="false" customHeight="false" outlineLevel="0" collapsed="false">
      <c r="A44" s="60" t="s">
        <v>78</v>
      </c>
      <c r="B44" s="130"/>
      <c r="C44" s="277" t="s">
        <v>79</v>
      </c>
      <c r="D44" s="277"/>
      <c r="E44" s="130"/>
      <c r="F44" s="130"/>
      <c r="G44" s="130"/>
      <c r="H44" s="33"/>
      <c r="J44" s="2" t="s">
        <v>360</v>
      </c>
      <c r="K44" s="2" t="n">
        <f aca="false">(K40/(1+K41)^(K36+1))</f>
        <v>3704.70495897661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361</v>
      </c>
      <c r="K45" s="2" t="n">
        <f aca="false">(K39-K44)</f>
        <v>45172.7950410234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362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363</v>
      </c>
      <c r="K47" s="2" t="n">
        <f aca="false">K45/K46</f>
        <v>1420.33961176863</v>
      </c>
      <c r="L47" s="2" t="n">
        <f aca="false">L49-K42</f>
        <v>800</v>
      </c>
      <c r="M47" s="1" t="n">
        <f aca="false">K47-L47</f>
        <v>620.339611768627</v>
      </c>
      <c r="P47" s="208"/>
    </row>
    <row r="48" customFormat="false" ht="31.8" hidden="false" customHeight="false" outlineLevel="0" collapsed="false">
      <c r="A48" s="66" t="s">
        <v>83</v>
      </c>
      <c r="B48" s="130"/>
      <c r="C48" s="130"/>
      <c r="D48" s="67"/>
      <c r="E48" s="67"/>
      <c r="F48" s="67"/>
      <c r="G48" s="67"/>
      <c r="H48" s="68"/>
      <c r="J48" s="55" t="s">
        <v>364</v>
      </c>
      <c r="K48" s="2" t="n">
        <f aca="false">IF(B26="YES", K47+K42, K47)</f>
        <v>1420.33961176863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365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84</v>
      </c>
      <c r="B50" s="71" t="s">
        <v>85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1420.33961176863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86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86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86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86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87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87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87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87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88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88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88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88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89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89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89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89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90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90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90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90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91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91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91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91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92</v>
      </c>
      <c r="B65" s="65" t="n">
        <f aca="false">(B89*B59)-(K47*K29)</f>
        <v>25421.8734536788</v>
      </c>
      <c r="C65" s="130"/>
      <c r="D65" s="130"/>
      <c r="E65" s="109"/>
      <c r="F65" s="109"/>
      <c r="G65" s="109"/>
      <c r="H65" s="33"/>
      <c r="J65" s="56" t="s">
        <v>92</v>
      </c>
      <c r="K65" s="65" t="n">
        <f aca="false">(K89*K59)-(K47*K29)</f>
        <v>1501.7419487397</v>
      </c>
      <c r="L65" s="130"/>
      <c r="M65" s="130"/>
      <c r="N65" s="109"/>
      <c r="O65" s="109"/>
      <c r="P65" s="109"/>
      <c r="Q65" s="33"/>
      <c r="S65" s="56" t="s">
        <v>92</v>
      </c>
      <c r="T65" s="65" t="n">
        <f aca="false">(T89*T59)-(K47*K29)</f>
        <v>17253.0767519285</v>
      </c>
      <c r="U65" s="130"/>
      <c r="V65" s="130"/>
      <c r="W65" s="109"/>
      <c r="X65" s="109"/>
      <c r="Y65" s="109"/>
      <c r="Z65" s="33"/>
      <c r="AB65" s="56" t="s">
        <v>92</v>
      </c>
      <c r="AC65" s="65" t="n">
        <f aca="false">(AC89*AC59)-(K47*K29)</f>
        <v>520.51727469029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93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93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93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94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94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94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94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95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95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95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95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96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96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96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96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97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97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97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97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98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98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98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99</v>
      </c>
      <c r="B72" s="86" t="n">
        <v>0</v>
      </c>
      <c r="C72" s="130"/>
      <c r="D72" s="130"/>
      <c r="E72" s="109"/>
      <c r="F72" s="109"/>
      <c r="G72" s="109"/>
      <c r="H72" s="33"/>
      <c r="J72" s="78" t="s">
        <v>99</v>
      </c>
      <c r="K72" s="86" t="n">
        <v>0</v>
      </c>
      <c r="L72" s="130"/>
      <c r="M72" s="130"/>
      <c r="N72" s="109"/>
      <c r="O72" s="109"/>
      <c r="P72" s="109"/>
      <c r="Q72" s="33"/>
      <c r="S72" s="78" t="s">
        <v>99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99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100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100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100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100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101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101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101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101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102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102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102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102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103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103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103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103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104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104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104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105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105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105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105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106</v>
      </c>
      <c r="B79" s="59" t="n">
        <f aca="false">K47</f>
        <v>1420.33961176863</v>
      </c>
      <c r="C79" s="130"/>
      <c r="D79" s="130"/>
      <c r="E79" s="109"/>
      <c r="F79" s="109"/>
      <c r="G79" s="109"/>
      <c r="H79" s="33"/>
      <c r="J79" s="90" t="s">
        <v>106</v>
      </c>
      <c r="K79" s="59" t="n">
        <f aca="false">K47</f>
        <v>1420.33961176863</v>
      </c>
      <c r="L79" s="130"/>
      <c r="M79" s="130"/>
      <c r="N79" s="109"/>
      <c r="O79" s="109"/>
      <c r="P79" s="109"/>
      <c r="Q79" s="33"/>
      <c r="S79" s="90" t="s">
        <v>106</v>
      </c>
      <c r="T79" s="59" t="n">
        <f aca="false">B52</f>
        <v>1420.33961176863</v>
      </c>
      <c r="U79" s="130"/>
      <c r="V79" s="130"/>
      <c r="W79" s="109"/>
      <c r="X79" s="109"/>
      <c r="Y79" s="109"/>
      <c r="Z79" s="33"/>
      <c r="AB79" s="90" t="s">
        <v>106</v>
      </c>
      <c r="AC79" s="59" t="n">
        <f aca="false">B52</f>
        <v>1420.33961176863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107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107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107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107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108</v>
      </c>
      <c r="B82" s="33" t="n">
        <f aca="false">A40</f>
        <v>5400</v>
      </c>
      <c r="C82" s="130"/>
      <c r="D82" s="130"/>
      <c r="E82" s="109"/>
      <c r="F82" s="109"/>
      <c r="G82" s="109"/>
      <c r="H82" s="33"/>
      <c r="J82" s="31" t="s">
        <v>108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108</v>
      </c>
      <c r="T82" s="33" t="n">
        <f aca="false">A40</f>
        <v>5400</v>
      </c>
      <c r="U82" s="130"/>
      <c r="V82" s="130"/>
      <c r="W82" s="109"/>
      <c r="X82" s="109"/>
      <c r="Y82" s="109"/>
      <c r="Z82" s="33"/>
      <c r="AB82" s="31" t="s">
        <v>108</v>
      </c>
      <c r="AC82" s="33" t="n">
        <f aca="false">A40</f>
        <v>5400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109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109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109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109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110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110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110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110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111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111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111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3867.38781816852</v>
      </c>
      <c r="C86" s="130"/>
      <c r="D86" s="130"/>
      <c r="E86" s="109"/>
      <c r="F86" s="109"/>
      <c r="G86" s="109"/>
      <c r="H86" s="33"/>
      <c r="J86" s="31" t="s">
        <v>112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112</v>
      </c>
      <c r="T86" s="33" t="n">
        <f aca="false">(T82/((1+T84)^(T85+1)))</f>
        <v>3692.80415680734</v>
      </c>
      <c r="U86" s="130"/>
      <c r="V86" s="130"/>
      <c r="W86" s="109"/>
      <c r="X86" s="109"/>
      <c r="Y86" s="109"/>
      <c r="Z86" s="33"/>
      <c r="AB86" s="31" t="s">
        <v>112</v>
      </c>
      <c r="AC86" s="33" t="n">
        <f aca="false">(AC82/((1+AC84)^(AC85+1)))</f>
        <v>3692.80415680734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113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113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113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114</v>
      </c>
      <c r="B88" s="33" t="n">
        <f aca="false">B81-B86</f>
        <v>63862.6161818315</v>
      </c>
      <c r="C88" s="130"/>
      <c r="D88" s="130"/>
      <c r="E88" s="109"/>
      <c r="F88" s="109"/>
      <c r="G88" s="109"/>
      <c r="H88" s="33"/>
      <c r="J88" s="31" t="s">
        <v>114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114</v>
      </c>
      <c r="T88" s="33" t="n">
        <f aca="false">T81-T86</f>
        <v>55691.6333331927</v>
      </c>
      <c r="U88" s="130"/>
      <c r="V88" s="130"/>
      <c r="W88" s="109"/>
      <c r="X88" s="109"/>
      <c r="Y88" s="109"/>
      <c r="Z88" s="33"/>
      <c r="AB88" s="31" t="s">
        <v>114</v>
      </c>
      <c r="AC88" s="33" t="n">
        <f aca="false">AC81-AC86</f>
        <v>41775.9448431927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115</v>
      </c>
      <c r="B89" s="33" t="n">
        <f aca="false">(B88/B87)</f>
        <v>2209.81646663473</v>
      </c>
      <c r="C89" s="130"/>
      <c r="D89" s="130"/>
      <c r="E89" s="109"/>
      <c r="F89" s="109"/>
      <c r="G89" s="109"/>
      <c r="H89" s="33"/>
      <c r="J89" s="31" t="s">
        <v>115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115</v>
      </c>
      <c r="T89" s="33" t="n">
        <f aca="false">(T88/T87)</f>
        <v>1969.55774011266</v>
      </c>
      <c r="U89" s="130"/>
      <c r="V89" s="130"/>
      <c r="W89" s="109"/>
      <c r="X89" s="109"/>
      <c r="Y89" s="109"/>
      <c r="Z89" s="33"/>
      <c r="AB89" s="31" t="s">
        <v>115</v>
      </c>
      <c r="AC89" s="33" t="n">
        <f aca="false">(AC88/AC87)</f>
        <v>1477.42363784095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75133.7598655807</v>
      </c>
      <c r="C90" s="130"/>
      <c r="D90" s="130"/>
      <c r="E90" s="109"/>
      <c r="F90" s="109"/>
      <c r="G90" s="109"/>
      <c r="H90" s="33"/>
      <c r="J90" s="31" t="s">
        <v>116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116</v>
      </c>
      <c r="T90" s="33" t="n">
        <f aca="false">(T89*(T85))+T77</f>
        <v>66964.9631638305</v>
      </c>
      <c r="U90" s="130"/>
      <c r="V90" s="130"/>
      <c r="W90" s="109"/>
      <c r="X90" s="109"/>
      <c r="Y90" s="109"/>
      <c r="Z90" s="33"/>
      <c r="AB90" s="31" t="s">
        <v>116</v>
      </c>
      <c r="AC90" s="33" t="n">
        <f aca="false">(AC89*(AC59))+AC77</f>
        <v>50232.4036865922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117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117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117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117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118</v>
      </c>
      <c r="B92" s="65" t="n">
        <f aca="false">(B90+B91)</f>
        <v>75133.7598655807</v>
      </c>
      <c r="C92" s="130"/>
      <c r="D92" s="130"/>
      <c r="E92" s="109"/>
      <c r="F92" s="109"/>
      <c r="G92" s="109"/>
      <c r="H92" s="33"/>
      <c r="J92" s="56" t="s">
        <v>118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118</v>
      </c>
      <c r="T92" s="65" t="n">
        <f aca="false">(T90+T91)</f>
        <v>66964.9631638305</v>
      </c>
      <c r="U92" s="130"/>
      <c r="V92" s="130"/>
      <c r="W92" s="109"/>
      <c r="X92" s="109"/>
      <c r="Y92" s="109"/>
      <c r="Z92" s="33"/>
      <c r="AB92" s="56" t="s">
        <v>118</v>
      </c>
      <c r="AC92" s="65" t="n">
        <f aca="false">(AC90+AC91)</f>
        <v>50232.4036865922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119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119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119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119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120</v>
      </c>
      <c r="B95" s="92" t="n">
        <f aca="false">B92/(B85)</f>
        <v>2209.81646663473</v>
      </c>
      <c r="C95" s="130"/>
      <c r="D95" s="130"/>
      <c r="E95" s="109"/>
      <c r="F95" s="109"/>
      <c r="G95" s="109"/>
      <c r="H95" s="33"/>
      <c r="J95" s="91" t="s">
        <v>120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120</v>
      </c>
      <c r="T95" s="92" t="n">
        <f aca="false">T92/(T85)</f>
        <v>1969.55774011266</v>
      </c>
      <c r="U95" s="130"/>
      <c r="V95" s="130"/>
      <c r="W95" s="109"/>
      <c r="X95" s="109"/>
      <c r="Y95" s="109"/>
      <c r="Z95" s="33"/>
      <c r="AB95" s="91" t="s">
        <v>120</v>
      </c>
      <c r="AC95" s="92" t="n">
        <f aca="false">AC92/(AC59)</f>
        <v>1477.42363784095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121</v>
      </c>
      <c r="B96" s="94" t="n">
        <f aca="false">(B94+B95)</f>
        <v>2209.81646663473</v>
      </c>
      <c r="C96" s="130"/>
      <c r="D96" s="130"/>
      <c r="E96" s="109"/>
      <c r="F96" s="109"/>
      <c r="G96" s="109"/>
      <c r="H96" s="33"/>
      <c r="J96" s="93" t="s">
        <v>121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121</v>
      </c>
      <c r="T96" s="94" t="n">
        <f aca="false">T94+T95</f>
        <v>1969.55774011266</v>
      </c>
      <c r="U96" s="130"/>
      <c r="V96" s="130"/>
      <c r="W96" s="109"/>
      <c r="X96" s="109"/>
      <c r="Y96" s="109"/>
      <c r="Z96" s="33"/>
      <c r="AB96" s="93" t="s">
        <v>121</v>
      </c>
      <c r="AC96" s="94" t="n">
        <f aca="false">AC94+AC95</f>
        <v>1477.42363784095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123</v>
      </c>
      <c r="K100" s="96"/>
      <c r="L100" s="96"/>
      <c r="M100" s="96"/>
      <c r="N100" s="96"/>
      <c r="O100" s="96"/>
      <c r="P100" s="96"/>
      <c r="Q100" s="96"/>
      <c r="S100" s="96" t="s">
        <v>124</v>
      </c>
      <c r="T100" s="96"/>
      <c r="U100" s="96"/>
      <c r="V100" s="96"/>
      <c r="W100" s="96"/>
      <c r="X100" s="96"/>
      <c r="Y100" s="96"/>
      <c r="Z100" s="96"/>
      <c r="AB100" s="96" t="s">
        <v>125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31" t="s">
        <v>127</v>
      </c>
      <c r="K104" s="130" t="s">
        <v>23</v>
      </c>
      <c r="L104" s="130"/>
      <c r="M104" s="130"/>
      <c r="N104" s="130" t="s">
        <v>128</v>
      </c>
      <c r="O104" s="130"/>
      <c r="P104" s="130"/>
      <c r="Q104" s="33"/>
      <c r="S104" s="31" t="s">
        <v>127</v>
      </c>
      <c r="T104" s="130" t="s">
        <v>23</v>
      </c>
      <c r="U104" s="130"/>
      <c r="V104" s="130"/>
      <c r="W104" s="130" t="s">
        <v>128</v>
      </c>
      <c r="X104" s="130"/>
      <c r="Y104" s="130"/>
      <c r="Z104" s="33"/>
      <c r="AB104" s="31" t="s">
        <v>127</v>
      </c>
      <c r="AC104" s="130" t="s">
        <v>23</v>
      </c>
      <c r="AD104" s="130"/>
      <c r="AE104" s="130"/>
      <c r="AF104" s="130" t="s">
        <v>128</v>
      </c>
      <c r="AG104" s="130"/>
      <c r="AH104" s="130"/>
      <c r="AI104" s="33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19</v>
      </c>
      <c r="F105" s="100"/>
      <c r="G105" s="100"/>
      <c r="H105" s="98"/>
      <c r="J105" s="36" t="s">
        <v>129</v>
      </c>
      <c r="K105" s="99" t="s">
        <v>130</v>
      </c>
      <c r="L105" s="99"/>
      <c r="M105" s="99"/>
      <c r="N105" s="100" t="s">
        <v>18</v>
      </c>
      <c r="O105" s="100"/>
      <c r="P105" s="100"/>
      <c r="Q105" s="98"/>
      <c r="S105" s="36" t="s">
        <v>129</v>
      </c>
      <c r="T105" s="99" t="s">
        <v>130</v>
      </c>
      <c r="U105" s="99"/>
      <c r="V105" s="99"/>
      <c r="W105" s="100" t="s">
        <v>18</v>
      </c>
      <c r="X105" s="100"/>
      <c r="Y105" s="100"/>
      <c r="Z105" s="98"/>
      <c r="AB105" s="36" t="s">
        <v>129</v>
      </c>
      <c r="AC105" s="99" t="s">
        <v>130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31" t="s">
        <v>131</v>
      </c>
      <c r="K107" s="130" t="s">
        <v>132</v>
      </c>
      <c r="L107" s="130"/>
      <c r="M107" s="109"/>
      <c r="N107" s="130" t="s">
        <v>133</v>
      </c>
      <c r="O107" s="130"/>
      <c r="P107" s="109"/>
      <c r="Q107" s="98"/>
      <c r="S107" s="31" t="s">
        <v>131</v>
      </c>
      <c r="T107" s="130" t="s">
        <v>132</v>
      </c>
      <c r="U107" s="130"/>
      <c r="V107" s="109"/>
      <c r="W107" s="130" t="s">
        <v>133</v>
      </c>
      <c r="X107" s="130"/>
      <c r="Y107" s="109"/>
      <c r="Z107" s="98"/>
      <c r="AB107" s="31" t="s">
        <v>131</v>
      </c>
      <c r="AC107" s="130" t="s">
        <v>132</v>
      </c>
      <c r="AD107" s="130"/>
      <c r="AE107" s="109"/>
      <c r="AF107" s="130" t="s">
        <v>133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134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135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135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31" t="s">
        <v>137</v>
      </c>
      <c r="K110" s="130" t="s">
        <v>138</v>
      </c>
      <c r="L110" s="130"/>
      <c r="M110" s="130"/>
      <c r="N110" s="130" t="s">
        <v>139</v>
      </c>
      <c r="O110" s="130"/>
      <c r="P110" s="130"/>
      <c r="Q110" s="33"/>
      <c r="S110" s="31" t="s">
        <v>137</v>
      </c>
      <c r="T110" s="130" t="s">
        <v>138</v>
      </c>
      <c r="U110" s="130"/>
      <c r="V110" s="130"/>
      <c r="W110" s="130" t="s">
        <v>139</v>
      </c>
      <c r="X110" s="130"/>
      <c r="Y110" s="130"/>
      <c r="Z110" s="33"/>
      <c r="AB110" s="31" t="s">
        <v>137</v>
      </c>
      <c r="AC110" s="130" t="s">
        <v>138</v>
      </c>
      <c r="AD110" s="130"/>
      <c r="AE110" s="130"/>
      <c r="AF110" s="130" t="s">
        <v>139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106" t="s">
        <v>140</v>
      </c>
      <c r="K113" s="130" t="s">
        <v>141</v>
      </c>
      <c r="L113" s="130"/>
      <c r="M113" s="130"/>
      <c r="N113" s="130" t="s">
        <v>142</v>
      </c>
      <c r="O113" s="130"/>
      <c r="P113" s="109"/>
      <c r="Q113" s="98"/>
      <c r="S113" s="106" t="s">
        <v>140</v>
      </c>
      <c r="T113" s="130" t="s">
        <v>141</v>
      </c>
      <c r="U113" s="130"/>
      <c r="V113" s="130"/>
      <c r="W113" s="130" t="s">
        <v>142</v>
      </c>
      <c r="X113" s="130"/>
      <c r="Y113" s="109"/>
      <c r="Z113" s="98"/>
      <c r="AB113" s="106" t="s">
        <v>140</v>
      </c>
      <c r="AC113" s="130" t="s">
        <v>141</v>
      </c>
      <c r="AD113" s="130"/>
      <c r="AE113" s="130"/>
      <c r="AF113" s="130" t="s">
        <v>142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78"/>
      <c r="K119" s="110" t="s">
        <v>145</v>
      </c>
      <c r="L119" s="110"/>
      <c r="M119" s="110" t="s">
        <v>146</v>
      </c>
      <c r="N119" s="110"/>
      <c r="O119" s="110" t="s">
        <v>147</v>
      </c>
      <c r="P119" s="110"/>
      <c r="Q119" s="111" t="s">
        <v>148</v>
      </c>
      <c r="S119" s="78"/>
      <c r="T119" s="110" t="s">
        <v>145</v>
      </c>
      <c r="U119" s="110"/>
      <c r="V119" s="110" t="s">
        <v>146</v>
      </c>
      <c r="W119" s="110"/>
      <c r="X119" s="110" t="s">
        <v>147</v>
      </c>
      <c r="Y119" s="110"/>
      <c r="Z119" s="111" t="s">
        <v>148</v>
      </c>
      <c r="AB119" s="78"/>
      <c r="AC119" s="110" t="s">
        <v>145</v>
      </c>
      <c r="AD119" s="110"/>
      <c r="AE119" s="110" t="s">
        <v>146</v>
      </c>
      <c r="AF119" s="110"/>
      <c r="AG119" s="110" t="s">
        <v>147</v>
      </c>
      <c r="AH119" s="110"/>
      <c r="AI119" s="111" t="s">
        <v>148</v>
      </c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80"/>
      <c r="K120" s="112" t="s">
        <v>149</v>
      </c>
      <c r="L120" s="113" t="s">
        <v>150</v>
      </c>
      <c r="M120" s="112" t="s">
        <v>149</v>
      </c>
      <c r="N120" s="114" t="s">
        <v>150</v>
      </c>
      <c r="O120" s="112" t="s">
        <v>149</v>
      </c>
      <c r="P120" s="114" t="s">
        <v>150</v>
      </c>
      <c r="Q120" s="115"/>
      <c r="S120" s="80"/>
      <c r="T120" s="112" t="s">
        <v>149</v>
      </c>
      <c r="U120" s="113" t="s">
        <v>150</v>
      </c>
      <c r="V120" s="112" t="s">
        <v>149</v>
      </c>
      <c r="W120" s="114" t="s">
        <v>150</v>
      </c>
      <c r="X120" s="112" t="s">
        <v>149</v>
      </c>
      <c r="Y120" s="114" t="s">
        <v>150</v>
      </c>
      <c r="Z120" s="115"/>
      <c r="AB120" s="80"/>
      <c r="AC120" s="112" t="s">
        <v>149</v>
      </c>
      <c r="AD120" s="113" t="s">
        <v>150</v>
      </c>
      <c r="AE120" s="112" t="s">
        <v>149</v>
      </c>
      <c r="AF120" s="114" t="s">
        <v>150</v>
      </c>
      <c r="AG120" s="112" t="s">
        <v>149</v>
      </c>
      <c r="AH120" s="114" t="s">
        <v>150</v>
      </c>
      <c r="AI120" s="115"/>
    </row>
    <row r="121" customFormat="false" ht="17.35" hidden="false" customHeight="false" outlineLevel="0" collapsed="false">
      <c r="A121" s="25" t="s">
        <v>151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151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151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151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152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152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152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153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153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153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153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154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154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154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155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155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155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131"/>
      <c r="K127" s="132"/>
      <c r="L127" s="132"/>
      <c r="M127" s="132"/>
      <c r="N127" s="132"/>
      <c r="O127" s="132"/>
      <c r="P127" s="133" t="s">
        <v>149</v>
      </c>
      <c r="Q127" s="134" t="s">
        <v>150</v>
      </c>
      <c r="S127" s="131"/>
      <c r="T127" s="132"/>
      <c r="U127" s="132"/>
      <c r="V127" s="132"/>
      <c r="W127" s="132"/>
      <c r="X127" s="132"/>
      <c r="Y127" s="133" t="s">
        <v>149</v>
      </c>
      <c r="Z127" s="134" t="s">
        <v>150</v>
      </c>
      <c r="AB127" s="131"/>
      <c r="AC127" s="132"/>
      <c r="AD127" s="132"/>
      <c r="AE127" s="132"/>
      <c r="AF127" s="132"/>
      <c r="AG127" s="132"/>
      <c r="AH127" s="133" t="s">
        <v>149</v>
      </c>
      <c r="AI127" s="134" t="s">
        <v>150</v>
      </c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156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156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156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144" t="s">
        <v>157</v>
      </c>
      <c r="K130" s="141" t="s">
        <v>158</v>
      </c>
      <c r="L130" s="141"/>
      <c r="M130" s="141" t="s">
        <v>159</v>
      </c>
      <c r="N130" s="141"/>
      <c r="O130" s="141" t="s">
        <v>153</v>
      </c>
      <c r="P130" s="141"/>
      <c r="Q130" s="142" t="s">
        <v>150</v>
      </c>
      <c r="S130" s="144" t="s">
        <v>157</v>
      </c>
      <c r="T130" s="141" t="s">
        <v>158</v>
      </c>
      <c r="U130" s="141"/>
      <c r="V130" s="141" t="s">
        <v>159</v>
      </c>
      <c r="W130" s="141"/>
      <c r="X130" s="141" t="s">
        <v>153</v>
      </c>
      <c r="Y130" s="141"/>
      <c r="Z130" s="142" t="s">
        <v>150</v>
      </c>
      <c r="AB130" s="144" t="s">
        <v>157</v>
      </c>
      <c r="AC130" s="141" t="s">
        <v>158</v>
      </c>
      <c r="AD130" s="141"/>
      <c r="AE130" s="141" t="s">
        <v>159</v>
      </c>
      <c r="AF130" s="141"/>
      <c r="AG130" s="141" t="s">
        <v>153</v>
      </c>
      <c r="AH130" s="141"/>
      <c r="AI130" s="142" t="s">
        <v>150</v>
      </c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160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160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160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161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161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161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162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162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162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163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163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163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164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164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164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165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165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165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166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166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166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167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167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167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168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168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168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169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169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169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170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170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170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107" t="s">
        <v>171</v>
      </c>
      <c r="K143" s="107"/>
      <c r="L143" s="107"/>
      <c r="M143" s="107"/>
      <c r="N143" s="107"/>
      <c r="O143" s="107"/>
      <c r="P143" s="99"/>
      <c r="Q143" s="33"/>
      <c r="S143" s="107" t="s">
        <v>171</v>
      </c>
      <c r="T143" s="107"/>
      <c r="U143" s="107"/>
      <c r="V143" s="107"/>
      <c r="W143" s="107"/>
      <c r="X143" s="107"/>
      <c r="Y143" s="99"/>
      <c r="Z143" s="33"/>
      <c r="AB143" s="107" t="s">
        <v>171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172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172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172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172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172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172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172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172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172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172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173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173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173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174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174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174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176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176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176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177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177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177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178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178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178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179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179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179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180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180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180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181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181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181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183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183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183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170" t="s">
        <v>184</v>
      </c>
      <c r="K166" s="171" t="s">
        <v>185</v>
      </c>
      <c r="L166" s="171"/>
      <c r="M166" s="171"/>
      <c r="N166" s="171" t="s">
        <v>186</v>
      </c>
      <c r="O166" s="23"/>
      <c r="P166" s="23"/>
      <c r="Q166" s="33"/>
      <c r="S166" s="170" t="s">
        <v>184</v>
      </c>
      <c r="T166" s="171" t="s">
        <v>185</v>
      </c>
      <c r="U166" s="171"/>
      <c r="V166" s="171"/>
      <c r="W166" s="171" t="s">
        <v>186</v>
      </c>
      <c r="X166" s="23"/>
      <c r="Y166" s="23"/>
      <c r="Z166" s="33"/>
      <c r="AB166" s="170" t="s">
        <v>184</v>
      </c>
      <c r="AC166" s="171" t="s">
        <v>185</v>
      </c>
      <c r="AD166" s="171"/>
      <c r="AE166" s="171"/>
      <c r="AF166" s="171" t="s">
        <v>186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2209.81646663473</v>
      </c>
      <c r="B167" s="174" t="str">
        <f aca="false">B94</f>
        <v>0</v>
      </c>
      <c r="C167" s="171"/>
      <c r="D167" s="171"/>
      <c r="E167" s="174" t="n">
        <f aca="false">B96</f>
        <v>2209.81646663473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1969.55774011266</v>
      </c>
      <c r="T167" s="174" t="n">
        <f aca="false">T94</f>
        <v>0</v>
      </c>
      <c r="U167" s="171"/>
      <c r="V167" s="171"/>
      <c r="W167" s="174" t="n">
        <f aca="false">T96</f>
        <v>1969.55774011266</v>
      </c>
      <c r="X167" s="23"/>
      <c r="Y167" s="23"/>
      <c r="Z167" s="33"/>
      <c r="AB167" s="173" t="n">
        <f aca="false">AC95</f>
        <v>1477.42363784095</v>
      </c>
      <c r="AC167" s="174" t="n">
        <f aca="false">AC94</f>
        <v>0</v>
      </c>
      <c r="AD167" s="171"/>
      <c r="AE167" s="171"/>
      <c r="AF167" s="174" t="n">
        <f aca="false">AC96</f>
        <v>1477.42363784095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31" t="s">
        <v>84</v>
      </c>
      <c r="K169" s="130" t="s">
        <v>85</v>
      </c>
      <c r="L169" s="130"/>
      <c r="M169" s="23"/>
      <c r="N169" s="130" t="s">
        <v>187</v>
      </c>
      <c r="O169" s="23"/>
      <c r="P169" s="23"/>
      <c r="Q169" s="33"/>
      <c r="S169" s="31" t="s">
        <v>84</v>
      </c>
      <c r="T169" s="130" t="s">
        <v>85</v>
      </c>
      <c r="U169" s="130"/>
      <c r="V169" s="23"/>
      <c r="W169" s="130" t="s">
        <v>187</v>
      </c>
      <c r="X169" s="23"/>
      <c r="Y169" s="23"/>
      <c r="Z169" s="33"/>
      <c r="AB169" s="31" t="s">
        <v>84</v>
      </c>
      <c r="AC169" s="130" t="s">
        <v>85</v>
      </c>
      <c r="AD169" s="130"/>
      <c r="AE169" s="23"/>
      <c r="AF169" s="130" t="s">
        <v>187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5400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5400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5400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31" t="s">
        <v>188</v>
      </c>
      <c r="K172" s="130" t="s">
        <v>189</v>
      </c>
      <c r="L172" s="130"/>
      <c r="M172" s="23"/>
      <c r="N172" s="130" t="s">
        <v>190</v>
      </c>
      <c r="O172" s="23"/>
      <c r="P172" s="23"/>
      <c r="Q172" s="33"/>
      <c r="S172" s="31" t="s">
        <v>188</v>
      </c>
      <c r="T172" s="130" t="s">
        <v>189</v>
      </c>
      <c r="U172" s="130"/>
      <c r="V172" s="23"/>
      <c r="W172" s="130" t="s">
        <v>190</v>
      </c>
      <c r="X172" s="23"/>
      <c r="Y172" s="23"/>
      <c r="Z172" s="33"/>
      <c r="AB172" s="31" t="s">
        <v>188</v>
      </c>
      <c r="AC172" s="130" t="s">
        <v>189</v>
      </c>
      <c r="AD172" s="130"/>
      <c r="AE172" s="23"/>
      <c r="AF172" s="130" t="s">
        <v>190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31" t="s">
        <v>191</v>
      </c>
      <c r="K175" s="130" t="s">
        <v>138</v>
      </c>
      <c r="L175" s="130"/>
      <c r="M175" s="23"/>
      <c r="N175" s="130" t="s">
        <v>139</v>
      </c>
      <c r="O175" s="23"/>
      <c r="P175" s="23"/>
      <c r="Q175" s="33"/>
      <c r="S175" s="31" t="s">
        <v>191</v>
      </c>
      <c r="T175" s="130" t="s">
        <v>138</v>
      </c>
      <c r="U175" s="130"/>
      <c r="V175" s="23"/>
      <c r="W175" s="130" t="s">
        <v>139</v>
      </c>
      <c r="X175" s="23"/>
      <c r="Y175" s="23"/>
      <c r="Z175" s="33"/>
      <c r="AB175" s="31" t="s">
        <v>191</v>
      </c>
      <c r="AC175" s="130" t="s">
        <v>138</v>
      </c>
      <c r="AD175" s="130"/>
      <c r="AE175" s="23"/>
      <c r="AF175" s="130" t="s">
        <v>139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31" t="s">
        <v>140</v>
      </c>
      <c r="K178" s="130" t="s">
        <v>176</v>
      </c>
      <c r="L178" s="130"/>
      <c r="M178" s="23"/>
      <c r="N178" s="130" t="s">
        <v>181</v>
      </c>
      <c r="O178" s="23"/>
      <c r="P178" s="23"/>
      <c r="Q178" s="33"/>
      <c r="S178" s="31" t="s">
        <v>140</v>
      </c>
      <c r="T178" s="130" t="s">
        <v>176</v>
      </c>
      <c r="U178" s="130"/>
      <c r="V178" s="23"/>
      <c r="W178" s="130" t="s">
        <v>181</v>
      </c>
      <c r="X178" s="23"/>
      <c r="Y178" s="23"/>
      <c r="Z178" s="33"/>
      <c r="AB178" s="31" t="s">
        <v>140</v>
      </c>
      <c r="AC178" s="130" t="s">
        <v>176</v>
      </c>
      <c r="AD178" s="130"/>
      <c r="AE178" s="23"/>
      <c r="AF178" s="130" t="s">
        <v>181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31" t="s">
        <v>192</v>
      </c>
      <c r="K181" s="130" t="s">
        <v>53</v>
      </c>
      <c r="L181" s="130"/>
      <c r="M181" s="23"/>
      <c r="N181" s="130" t="s">
        <v>193</v>
      </c>
      <c r="O181" s="23"/>
      <c r="P181" s="23"/>
      <c r="Q181" s="33"/>
      <c r="S181" s="31" t="s">
        <v>192</v>
      </c>
      <c r="T181" s="130" t="s">
        <v>53</v>
      </c>
      <c r="U181" s="130"/>
      <c r="V181" s="23"/>
      <c r="W181" s="130" t="s">
        <v>193</v>
      </c>
      <c r="X181" s="23"/>
      <c r="Y181" s="23"/>
      <c r="Z181" s="33"/>
      <c r="AB181" s="31" t="s">
        <v>192</v>
      </c>
      <c r="AC181" s="130" t="s">
        <v>53</v>
      </c>
      <c r="AD181" s="130"/>
      <c r="AE181" s="23"/>
      <c r="AF181" s="130" t="s">
        <v>193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12803.7558655807</v>
      </c>
      <c r="B182" s="99" t="str">
        <f aca="false">B114</f>
        <v>239.99</v>
      </c>
      <c r="C182" s="99"/>
      <c r="D182" s="23"/>
      <c r="E182" s="99" t="n">
        <f aca="false">E179+A182+B182+A185</f>
        <v>80783.7498655807</v>
      </c>
      <c r="F182" s="23"/>
      <c r="G182" s="23"/>
      <c r="H182" s="101"/>
      <c r="J182" s="107" t="n">
        <f aca="false">(J167*K59)+N185-N179-J185</f>
        <v>18958.6283606416</v>
      </c>
      <c r="K182" s="99" t="n">
        <f aca="false">K114</f>
        <v>239.99</v>
      </c>
      <c r="L182" s="99"/>
      <c r="M182" s="23"/>
      <c r="N182" s="99" t="n">
        <f aca="false">N179+J182+K182+J185</f>
        <v>56873.6183606416</v>
      </c>
      <c r="O182" s="23"/>
      <c r="P182" s="23"/>
      <c r="Q182" s="101"/>
      <c r="S182" s="107" t="n">
        <f aca="false">(S167*T59)+W185-W179-S185</f>
        <v>12980.5256738305</v>
      </c>
      <c r="T182" s="99" t="n">
        <f aca="false">T114</f>
        <v>199.99</v>
      </c>
      <c r="U182" s="99"/>
      <c r="V182" s="23"/>
      <c r="W182" s="99" t="n">
        <f aca="false">W179+S182+T182+S185</f>
        <v>72574.9531638305</v>
      </c>
      <c r="X182" s="23"/>
      <c r="Y182" s="23"/>
      <c r="Z182" s="101"/>
      <c r="AB182" s="107" t="n">
        <f aca="false">(AB167*AC59)+AF185-AF179-AB185</f>
        <v>10163.6546865922</v>
      </c>
      <c r="AC182" s="99" t="n">
        <f aca="false">AC114</f>
        <v>239.99</v>
      </c>
      <c r="AD182" s="99"/>
      <c r="AE182" s="23"/>
      <c r="AF182" s="99" t="n">
        <f aca="false">AF179+AB182+AC182+AB185</f>
        <v>55882.3936865922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31" t="s">
        <v>194</v>
      </c>
      <c r="K184" s="130" t="s">
        <v>195</v>
      </c>
      <c r="L184" s="130"/>
      <c r="M184" s="23"/>
      <c r="N184" s="130" t="s">
        <v>196</v>
      </c>
      <c r="O184" s="23"/>
      <c r="P184" s="23"/>
      <c r="Q184" s="33"/>
      <c r="S184" s="31" t="s">
        <v>194</v>
      </c>
      <c r="T184" s="130" t="s">
        <v>195</v>
      </c>
      <c r="U184" s="130"/>
      <c r="V184" s="23"/>
      <c r="W184" s="130" t="s">
        <v>196</v>
      </c>
      <c r="X184" s="23"/>
      <c r="Y184" s="23"/>
      <c r="Z184" s="33"/>
      <c r="AB184" s="31" t="s">
        <v>194</v>
      </c>
      <c r="AC184" s="130" t="s">
        <v>195</v>
      </c>
      <c r="AD184" s="130"/>
      <c r="AE184" s="23"/>
      <c r="AF184" s="130" t="s">
        <v>196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31" t="s">
        <v>197</v>
      </c>
      <c r="K187" s="130" t="s">
        <v>198</v>
      </c>
      <c r="L187" s="130"/>
      <c r="M187" s="130"/>
      <c r="N187" s="163" t="s">
        <v>199</v>
      </c>
      <c r="O187" s="23"/>
      <c r="P187" s="23"/>
      <c r="Q187" s="33"/>
      <c r="S187" s="31" t="s">
        <v>197</v>
      </c>
      <c r="T187" s="130" t="s">
        <v>198</v>
      </c>
      <c r="U187" s="130"/>
      <c r="V187" s="130"/>
      <c r="W187" s="163" t="s">
        <v>199</v>
      </c>
      <c r="X187" s="32"/>
      <c r="Y187" s="32"/>
      <c r="Z187" s="33"/>
      <c r="AB187" s="31" t="s">
        <v>197</v>
      </c>
      <c r="AC187" s="130" t="s">
        <v>198</v>
      </c>
      <c r="AD187" s="130"/>
      <c r="AE187" s="130"/>
      <c r="AF187" s="163" t="s">
        <v>199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60" t="s">
        <v>200</v>
      </c>
      <c r="K190" s="163" t="s">
        <v>201</v>
      </c>
      <c r="L190" s="130"/>
      <c r="M190" s="130"/>
      <c r="N190" s="163" t="s">
        <v>202</v>
      </c>
      <c r="O190" s="23"/>
      <c r="P190" s="23"/>
      <c r="Q190" s="33"/>
      <c r="S190" s="60" t="s">
        <v>200</v>
      </c>
      <c r="T190" s="163" t="s">
        <v>201</v>
      </c>
      <c r="U190" s="130"/>
      <c r="V190" s="130"/>
      <c r="W190" s="163" t="s">
        <v>202</v>
      </c>
      <c r="X190" s="32"/>
      <c r="Y190" s="32"/>
      <c r="Z190" s="33"/>
      <c r="AB190" s="60" t="s">
        <v>200</v>
      </c>
      <c r="AC190" s="163" t="s">
        <v>201</v>
      </c>
      <c r="AD190" s="130"/>
      <c r="AE190" s="130"/>
      <c r="AF190" s="163" t="s">
        <v>202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66" t="s">
        <v>203</v>
      </c>
      <c r="K193" s="130"/>
      <c r="L193" s="130"/>
      <c r="M193" s="67"/>
      <c r="N193" s="67"/>
      <c r="O193" s="67"/>
      <c r="P193" s="67"/>
      <c r="Q193" s="68"/>
      <c r="S193" s="66" t="s">
        <v>203</v>
      </c>
      <c r="T193" s="130"/>
      <c r="U193" s="130"/>
      <c r="V193" s="67"/>
      <c r="W193" s="67"/>
      <c r="X193" s="67"/>
      <c r="Y193" s="67"/>
      <c r="Z193" s="68"/>
      <c r="AB193" s="66" t="s">
        <v>203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184" t="s">
        <v>84</v>
      </c>
      <c r="K195" s="71" t="s">
        <v>85</v>
      </c>
      <c r="L195" s="71"/>
      <c r="M195" s="71"/>
      <c r="N195" s="23"/>
      <c r="O195" s="23"/>
      <c r="P195" s="23"/>
      <c r="Q195" s="33"/>
      <c r="S195" s="184" t="s">
        <v>84</v>
      </c>
      <c r="T195" s="71" t="s">
        <v>85</v>
      </c>
      <c r="U195" s="71"/>
      <c r="V195" s="71"/>
      <c r="W195" s="23"/>
      <c r="X195" s="23"/>
      <c r="Y195" s="23"/>
      <c r="Z195" s="33"/>
      <c r="AB195" s="184" t="s">
        <v>84</v>
      </c>
      <c r="AC195" s="71" t="s">
        <v>85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2209.81646663473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1969.55774011266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1477.42363784095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204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2209.81646663473</v>
      </c>
      <c r="B212" s="174" t="str">
        <f aca="false">B167</f>
        <v>0</v>
      </c>
      <c r="C212" s="171"/>
      <c r="D212" s="171"/>
      <c r="E212" s="174" t="n">
        <f aca="false">E167</f>
        <v>2209.81646663473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12803.7558655807</v>
      </c>
      <c r="B224" s="99" t="str">
        <f aca="false">B182</f>
        <v>239.99</v>
      </c>
      <c r="C224" s="99"/>
      <c r="D224" s="109"/>
      <c r="E224" s="99" t="n">
        <f aca="false">E182</f>
        <v>80783.7498655807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2209.81646663473</v>
      </c>
      <c r="B230" s="99" t="str">
        <f aca="false">B167</f>
        <v>0</v>
      </c>
      <c r="C230" s="183"/>
      <c r="D230" s="183"/>
      <c r="E230" s="99" t="n">
        <f aca="false">E167</f>
        <v>2209.81646663473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206</v>
      </c>
      <c r="B232" s="130" t="s">
        <v>207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5400</v>
      </c>
      <c r="B233" s="99" t="n">
        <f aca="false">E185</f>
        <v>5410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208</v>
      </c>
      <c r="B235" s="163" t="s">
        <v>74</v>
      </c>
      <c r="C235" s="130"/>
      <c r="D235" s="130"/>
      <c r="E235" s="163" t="s">
        <v>132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K35</f>
        <v>0.065</v>
      </c>
      <c r="C253" s="194"/>
      <c r="D253" s="195" t="s">
        <v>213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99.9916666666667</v>
      </c>
      <c r="C255" s="194"/>
      <c r="D255" s="195" t="s">
        <v>217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0.05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0.115</v>
      </c>
      <c r="C260" s="43"/>
      <c r="D260" s="163" t="s">
        <v>214</v>
      </c>
      <c r="E260" s="163"/>
      <c r="F260" s="143" t="n">
        <f aca="false">(B89*B59)-(C89*B59)</f>
        <v>75133.7598655807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0.00979166666666667</v>
      </c>
      <c r="C261" s="32"/>
      <c r="D261" s="163" t="s">
        <v>220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99.9916666666667</v>
      </c>
      <c r="C263" s="32"/>
      <c r="D263" s="39" t="s">
        <v>217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153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163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164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165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166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167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168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169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170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171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172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172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172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173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347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128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183</v>
      </c>
      <c r="B30" s="100" t="s">
        <v>348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10800</v>
      </c>
      <c r="P31" s="208"/>
    </row>
    <row r="32" customFormat="false" ht="34.8" hidden="false" customHeight="false" outlineLevel="0" collapsed="false">
      <c r="A32" s="31" t="s">
        <v>84</v>
      </c>
      <c r="B32" s="130" t="s">
        <v>85</v>
      </c>
      <c r="C32" s="130"/>
      <c r="D32" s="130"/>
      <c r="E32" s="130" t="s">
        <v>349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1303.85491786444</v>
      </c>
      <c r="F33" s="228"/>
      <c r="G33" s="228"/>
      <c r="H33" s="47"/>
      <c r="I33" s="2"/>
      <c r="J33" s="34" t="s">
        <v>350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351</v>
      </c>
      <c r="B35" s="130" t="s">
        <v>352</v>
      </c>
      <c r="C35" s="130"/>
      <c r="D35" s="208"/>
      <c r="E35" s="130" t="s">
        <v>353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1303.85491786444</v>
      </c>
      <c r="B36" s="228" t="str">
        <f aca="false">IF(B26="YES", K42, "0.00")</f>
        <v>0.00</v>
      </c>
      <c r="C36" s="228"/>
      <c r="D36" s="228"/>
      <c r="E36" s="228" t="n">
        <f aca="false">K31</f>
        <v>10800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354</v>
      </c>
      <c r="B39" s="130" t="s">
        <v>355</v>
      </c>
      <c r="C39" s="130"/>
      <c r="D39" s="208"/>
      <c r="E39" s="130" t="s">
        <v>356</v>
      </c>
      <c r="F39" s="183"/>
      <c r="G39" s="183"/>
      <c r="H39" s="47"/>
      <c r="J39" s="2" t="s">
        <v>86</v>
      </c>
      <c r="K39" s="2" t="n">
        <f aca="false">K33</f>
        <v>48877.5</v>
      </c>
      <c r="L39" s="2" t="n">
        <f aca="false">(L47*K46)+K44</f>
        <v>32852.7867930225</v>
      </c>
      <c r="N39" s="1" t="n">
        <f aca="false">K39-L39</f>
        <v>16024.7132069775</v>
      </c>
      <c r="P39" s="208"/>
    </row>
    <row r="40" customFormat="false" ht="17.35" hidden="false" customHeight="false" outlineLevel="0" collapsed="false">
      <c r="A40" s="333" t="n">
        <f aca="false">E36*A45/100</f>
        <v>10800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108</v>
      </c>
      <c r="K40" s="2" t="n">
        <f aca="false">(A40)/1.2</f>
        <v>9000</v>
      </c>
      <c r="L40" s="2" t="n">
        <f aca="false">K39-L39</f>
        <v>16024.7132069775</v>
      </c>
      <c r="N40" s="1" t="n">
        <f aca="false">N38-N39</f>
        <v>-13113.0332069775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357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358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359</v>
      </c>
      <c r="K43" s="2"/>
      <c r="L43" s="2"/>
      <c r="P43" s="208"/>
    </row>
    <row r="44" customFormat="false" ht="17.35" hidden="false" customHeight="false" outlineLevel="0" collapsed="false">
      <c r="A44" s="60" t="s">
        <v>78</v>
      </c>
      <c r="B44" s="130"/>
      <c r="C44" s="277" t="s">
        <v>79</v>
      </c>
      <c r="D44" s="277"/>
      <c r="E44" s="130"/>
      <c r="F44" s="130"/>
      <c r="G44" s="130"/>
      <c r="H44" s="33"/>
      <c r="J44" s="2" t="s">
        <v>360</v>
      </c>
      <c r="K44" s="2" t="n">
        <f aca="false">(K40/(1+K41)^(K36+1))</f>
        <v>7409.40991795322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361</v>
      </c>
      <c r="K45" s="2" t="n">
        <f aca="false">(K39-K44)</f>
        <v>41468.0900820468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362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363</v>
      </c>
      <c r="K47" s="2" t="n">
        <f aca="false">K45/K46</f>
        <v>1303.85491786444</v>
      </c>
      <c r="L47" s="2" t="n">
        <f aca="false">L49-K42</f>
        <v>800</v>
      </c>
      <c r="M47" s="1" t="n">
        <f aca="false">K47-L47</f>
        <v>503.854917864441</v>
      </c>
      <c r="P47" s="208"/>
    </row>
    <row r="48" customFormat="false" ht="31.8" hidden="false" customHeight="false" outlineLevel="0" collapsed="false">
      <c r="A48" s="66" t="s">
        <v>83</v>
      </c>
      <c r="B48" s="130"/>
      <c r="C48" s="130"/>
      <c r="D48" s="67"/>
      <c r="E48" s="67"/>
      <c r="F48" s="67"/>
      <c r="G48" s="67"/>
      <c r="H48" s="68"/>
      <c r="J48" s="55" t="s">
        <v>364</v>
      </c>
      <c r="K48" s="2" t="n">
        <f aca="false">IF(B26="YES", K47+K42, K47)</f>
        <v>1303.85491786444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365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84</v>
      </c>
      <c r="B50" s="71" t="s">
        <v>85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1303.85491786444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86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86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86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86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87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87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87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87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88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88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88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88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89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89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89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89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90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90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90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90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91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91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91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91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92</v>
      </c>
      <c r="B65" s="65" t="n">
        <f aca="false">(B89*B59)-(K47*K29)</f>
        <v>24948.8927958523</v>
      </c>
      <c r="C65" s="130"/>
      <c r="D65" s="130"/>
      <c r="E65" s="109"/>
      <c r="F65" s="109"/>
      <c r="G65" s="109"/>
      <c r="H65" s="33"/>
      <c r="J65" s="56" t="s">
        <v>92</v>
      </c>
      <c r="K65" s="65" t="n">
        <f aca="false">(K89*K59)-(K47*K29)</f>
        <v>5578.70623538621</v>
      </c>
      <c r="L65" s="130"/>
      <c r="M65" s="130"/>
      <c r="N65" s="109"/>
      <c r="O65" s="109"/>
      <c r="P65" s="109"/>
      <c r="Q65" s="33"/>
      <c r="S65" s="56" t="s">
        <v>92</v>
      </c>
      <c r="T65" s="65" t="n">
        <f aca="false">(T89*T59)-(K47*K29)</f>
        <v>16889.7242525263</v>
      </c>
      <c r="U65" s="130"/>
      <c r="V65" s="130"/>
      <c r="W65" s="109"/>
      <c r="X65" s="109"/>
      <c r="Y65" s="109"/>
      <c r="Z65" s="33"/>
      <c r="AB65" s="56" t="s">
        <v>92</v>
      </c>
      <c r="AC65" s="65" t="n">
        <f aca="false">(AC89*AC59)-(K47*K29)</f>
        <v>157.164775288125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93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93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93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93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94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94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94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94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95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95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95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95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96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96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96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96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97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97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97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97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98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98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98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98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99</v>
      </c>
      <c r="B72" s="86" t="n">
        <v>0</v>
      </c>
      <c r="C72" s="130"/>
      <c r="D72" s="130"/>
      <c r="E72" s="109"/>
      <c r="F72" s="109"/>
      <c r="G72" s="109"/>
      <c r="H72" s="33"/>
      <c r="J72" s="78" t="s">
        <v>99</v>
      </c>
      <c r="K72" s="86" t="n">
        <v>0</v>
      </c>
      <c r="L72" s="130"/>
      <c r="M72" s="130"/>
      <c r="N72" s="109"/>
      <c r="O72" s="109"/>
      <c r="P72" s="109"/>
      <c r="Q72" s="33"/>
      <c r="S72" s="78" t="s">
        <v>99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99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100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100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100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100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101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101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101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101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102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102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102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102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103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103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103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103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104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104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104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104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105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105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105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105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106</v>
      </c>
      <c r="B79" s="59" t="n">
        <f aca="false">K47</f>
        <v>1303.85491786444</v>
      </c>
      <c r="C79" s="130"/>
      <c r="D79" s="130"/>
      <c r="E79" s="109"/>
      <c r="F79" s="109"/>
      <c r="G79" s="109"/>
      <c r="H79" s="33"/>
      <c r="J79" s="90" t="s">
        <v>106</v>
      </c>
      <c r="K79" s="59" t="n">
        <f aca="false">K47</f>
        <v>1303.85491786444</v>
      </c>
      <c r="L79" s="130"/>
      <c r="M79" s="130"/>
      <c r="N79" s="109"/>
      <c r="O79" s="109"/>
      <c r="P79" s="109"/>
      <c r="Q79" s="33"/>
      <c r="S79" s="90" t="s">
        <v>106</v>
      </c>
      <c r="T79" s="59" t="n">
        <f aca="false">B52</f>
        <v>1303.85491786444</v>
      </c>
      <c r="U79" s="130"/>
      <c r="V79" s="130"/>
      <c r="W79" s="109"/>
      <c r="X79" s="109"/>
      <c r="Y79" s="109"/>
      <c r="Z79" s="33"/>
      <c r="AB79" s="90" t="s">
        <v>106</v>
      </c>
      <c r="AC79" s="59" t="n">
        <f aca="false">B52</f>
        <v>1303.85491786444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107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107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107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107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108</v>
      </c>
      <c r="B82" s="33" t="n">
        <f aca="false">A40</f>
        <v>10800</v>
      </c>
      <c r="C82" s="130"/>
      <c r="D82" s="130"/>
      <c r="E82" s="109"/>
      <c r="F82" s="109"/>
      <c r="G82" s="109"/>
      <c r="H82" s="33"/>
      <c r="J82" s="31" t="s">
        <v>108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108</v>
      </c>
      <c r="T82" s="33" t="n">
        <f aca="false">A40</f>
        <v>10800</v>
      </c>
      <c r="U82" s="130"/>
      <c r="V82" s="130"/>
      <c r="W82" s="109"/>
      <c r="X82" s="109"/>
      <c r="Y82" s="109"/>
      <c r="Z82" s="33"/>
      <c r="AB82" s="31" t="s">
        <v>108</v>
      </c>
      <c r="AC82" s="33" t="n">
        <f aca="false">A40</f>
        <v>10800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109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109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109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109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110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110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110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110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111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111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111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111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112</v>
      </c>
      <c r="B86" s="33" t="n">
        <f aca="false">(B82/((1+B84)^(B85+1)))</f>
        <v>7734.77563633703</v>
      </c>
      <c r="C86" s="130"/>
      <c r="D86" s="130"/>
      <c r="E86" s="109"/>
      <c r="F86" s="109"/>
      <c r="G86" s="109"/>
      <c r="H86" s="33"/>
      <c r="J86" s="31" t="s">
        <v>112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112</v>
      </c>
      <c r="T86" s="33" t="n">
        <f aca="false">(T82/((1+T84)^(T85+1)))</f>
        <v>7385.60831361469</v>
      </c>
      <c r="U86" s="130"/>
      <c r="V86" s="130"/>
      <c r="W86" s="109"/>
      <c r="X86" s="109"/>
      <c r="Y86" s="109"/>
      <c r="Z86" s="33"/>
      <c r="AB86" s="31" t="s">
        <v>112</v>
      </c>
      <c r="AC86" s="33" t="n">
        <f aca="false">(AC82/((1+AC84)^(AC85+1)))</f>
        <v>7385.60831361469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113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113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113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113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114</v>
      </c>
      <c r="B88" s="33" t="n">
        <f aca="false">B81-B86</f>
        <v>59995.228363663</v>
      </c>
      <c r="C88" s="130"/>
      <c r="D88" s="130"/>
      <c r="E88" s="109"/>
      <c r="F88" s="109"/>
      <c r="G88" s="109"/>
      <c r="H88" s="33"/>
      <c r="J88" s="31" t="s">
        <v>114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114</v>
      </c>
      <c r="T88" s="33" t="n">
        <f aca="false">T81-T86</f>
        <v>51998.8291763853</v>
      </c>
      <c r="U88" s="130"/>
      <c r="V88" s="130"/>
      <c r="W88" s="109"/>
      <c r="X88" s="109"/>
      <c r="Y88" s="109"/>
      <c r="Z88" s="33"/>
      <c r="AB88" s="31" t="s">
        <v>114</v>
      </c>
      <c r="AC88" s="33" t="n">
        <f aca="false">AC81-AC86</f>
        <v>38083.1406863853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115</v>
      </c>
      <c r="B89" s="33" t="n">
        <f aca="false">(B88/B87)</f>
        <v>2075.99455650317</v>
      </c>
      <c r="C89" s="130"/>
      <c r="D89" s="130"/>
      <c r="E89" s="109"/>
      <c r="F89" s="109"/>
      <c r="G89" s="109"/>
      <c r="H89" s="33"/>
      <c r="J89" s="31" t="s">
        <v>115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115</v>
      </c>
      <c r="T89" s="33" t="n">
        <f aca="false">(T88/T87)</f>
        <v>1838.96018758182</v>
      </c>
      <c r="U89" s="130"/>
      <c r="V89" s="130"/>
      <c r="W89" s="109"/>
      <c r="X89" s="109"/>
      <c r="Y89" s="109"/>
      <c r="Z89" s="33"/>
      <c r="AB89" s="31" t="s">
        <v>115</v>
      </c>
      <c r="AC89" s="33" t="n">
        <f aca="false">(AC88/AC87)</f>
        <v>1346.8260853101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116</v>
      </c>
      <c r="B90" s="33" t="n">
        <f aca="false">((B89*(B85))+B77)</f>
        <v>70583.8149211077</v>
      </c>
      <c r="C90" s="130"/>
      <c r="D90" s="130"/>
      <c r="E90" s="109"/>
      <c r="F90" s="109"/>
      <c r="G90" s="109"/>
      <c r="H90" s="33"/>
      <c r="J90" s="31" t="s">
        <v>116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116</v>
      </c>
      <c r="T90" s="33" t="n">
        <f aca="false">(T89*(T85))+T77</f>
        <v>62524.6463777818</v>
      </c>
      <c r="U90" s="130"/>
      <c r="V90" s="130"/>
      <c r="W90" s="109"/>
      <c r="X90" s="109"/>
      <c r="Y90" s="109"/>
      <c r="Z90" s="33"/>
      <c r="AB90" s="31" t="s">
        <v>116</v>
      </c>
      <c r="AC90" s="33" t="n">
        <f aca="false">(AC89*(AC59))+AC77</f>
        <v>45792.0869005436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117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117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117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117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118</v>
      </c>
      <c r="B92" s="65" t="n">
        <f aca="false">(B90+B91)</f>
        <v>70583.8149211077</v>
      </c>
      <c r="C92" s="130"/>
      <c r="D92" s="130"/>
      <c r="E92" s="109"/>
      <c r="F92" s="109"/>
      <c r="G92" s="109"/>
      <c r="H92" s="33"/>
      <c r="J92" s="56" t="s">
        <v>118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118</v>
      </c>
      <c r="T92" s="65" t="n">
        <f aca="false">(T90+T91)</f>
        <v>62524.6463777818</v>
      </c>
      <c r="U92" s="130"/>
      <c r="V92" s="130"/>
      <c r="W92" s="109"/>
      <c r="X92" s="109"/>
      <c r="Y92" s="109"/>
      <c r="Z92" s="33"/>
      <c r="AB92" s="56" t="s">
        <v>118</v>
      </c>
      <c r="AC92" s="65" t="n">
        <f aca="false">(AC90+AC91)</f>
        <v>45792.0869005436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119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119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119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119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120</v>
      </c>
      <c r="B95" s="92" t="n">
        <f aca="false">B92/(B85)</f>
        <v>2075.99455650317</v>
      </c>
      <c r="C95" s="130"/>
      <c r="D95" s="130"/>
      <c r="E95" s="109"/>
      <c r="F95" s="109"/>
      <c r="G95" s="109"/>
      <c r="H95" s="33"/>
      <c r="J95" s="91" t="s">
        <v>120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120</v>
      </c>
      <c r="T95" s="92" t="n">
        <f aca="false">T92/(T85)</f>
        <v>1838.96018758182</v>
      </c>
      <c r="U95" s="130"/>
      <c r="V95" s="130"/>
      <c r="W95" s="109"/>
      <c r="X95" s="109"/>
      <c r="Y95" s="109"/>
      <c r="Z95" s="33"/>
      <c r="AB95" s="91" t="s">
        <v>120</v>
      </c>
      <c r="AC95" s="92" t="n">
        <f aca="false">AC92/(AC59)</f>
        <v>1346.8260853101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121</v>
      </c>
      <c r="B96" s="94" t="n">
        <f aca="false">(B94+B95)</f>
        <v>2075.99455650317</v>
      </c>
      <c r="C96" s="130"/>
      <c r="D96" s="130"/>
      <c r="E96" s="109"/>
      <c r="F96" s="109"/>
      <c r="G96" s="109"/>
      <c r="H96" s="33"/>
      <c r="J96" s="93" t="s">
        <v>121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121</v>
      </c>
      <c r="T96" s="94" t="n">
        <f aca="false">T94+T95</f>
        <v>1838.96018758182</v>
      </c>
      <c r="U96" s="130"/>
      <c r="V96" s="130"/>
      <c r="W96" s="109"/>
      <c r="X96" s="109"/>
      <c r="Y96" s="109"/>
      <c r="Z96" s="33"/>
      <c r="AB96" s="93" t="s">
        <v>121</v>
      </c>
      <c r="AC96" s="94" t="n">
        <f aca="false">AC94+AC95</f>
        <v>1346.8260853101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123</v>
      </c>
      <c r="K100" s="96"/>
      <c r="L100" s="96"/>
      <c r="M100" s="96"/>
      <c r="N100" s="96"/>
      <c r="O100" s="96"/>
      <c r="P100" s="96"/>
      <c r="Q100" s="96"/>
      <c r="S100" s="96" t="s">
        <v>124</v>
      </c>
      <c r="T100" s="96"/>
      <c r="U100" s="96"/>
      <c r="V100" s="96"/>
      <c r="W100" s="96"/>
      <c r="X100" s="96"/>
      <c r="Y100" s="96"/>
      <c r="Z100" s="96"/>
      <c r="AB100" s="96" t="s">
        <v>125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127</v>
      </c>
      <c r="B104" s="130" t="s">
        <v>23</v>
      </c>
      <c r="C104" s="130"/>
      <c r="D104" s="130"/>
      <c r="E104" s="130" t="s">
        <v>128</v>
      </c>
      <c r="F104" s="130"/>
      <c r="G104" s="130"/>
      <c r="H104" s="33"/>
      <c r="J104" s="31" t="s">
        <v>127</v>
      </c>
      <c r="K104" s="130" t="s">
        <v>23</v>
      </c>
      <c r="L104" s="130"/>
      <c r="M104" s="130"/>
      <c r="N104" s="130" t="s">
        <v>128</v>
      </c>
      <c r="O104" s="130"/>
      <c r="P104" s="130"/>
      <c r="Q104" s="33"/>
      <c r="S104" s="31" t="s">
        <v>127</v>
      </c>
      <c r="T104" s="130" t="s">
        <v>23</v>
      </c>
      <c r="U104" s="130"/>
      <c r="V104" s="130"/>
      <c r="W104" s="130" t="s">
        <v>128</v>
      </c>
      <c r="X104" s="130"/>
      <c r="Y104" s="130"/>
      <c r="Z104" s="33"/>
      <c r="AB104" s="31" t="s">
        <v>127</v>
      </c>
      <c r="AC104" s="130" t="s">
        <v>23</v>
      </c>
      <c r="AD104" s="130"/>
      <c r="AE104" s="130"/>
      <c r="AF104" s="130" t="s">
        <v>128</v>
      </c>
      <c r="AG104" s="130"/>
      <c r="AH104" s="130"/>
      <c r="AI104" s="33"/>
    </row>
    <row r="105" customFormat="false" ht="17.35" hidden="false" customHeight="false" outlineLevel="0" collapsed="false">
      <c r="A105" s="36" t="s">
        <v>129</v>
      </c>
      <c r="B105" s="99" t="s">
        <v>130</v>
      </c>
      <c r="C105" s="99"/>
      <c r="D105" s="99"/>
      <c r="E105" s="100" t="s">
        <v>19</v>
      </c>
      <c r="F105" s="100"/>
      <c r="G105" s="100"/>
      <c r="H105" s="98"/>
      <c r="J105" s="36" t="s">
        <v>129</v>
      </c>
      <c r="K105" s="99" t="s">
        <v>130</v>
      </c>
      <c r="L105" s="99"/>
      <c r="M105" s="99"/>
      <c r="N105" s="100" t="s">
        <v>18</v>
      </c>
      <c r="O105" s="100"/>
      <c r="P105" s="100"/>
      <c r="Q105" s="98"/>
      <c r="S105" s="36" t="s">
        <v>129</v>
      </c>
      <c r="T105" s="99" t="s">
        <v>130</v>
      </c>
      <c r="U105" s="99"/>
      <c r="V105" s="99"/>
      <c r="W105" s="100" t="s">
        <v>18</v>
      </c>
      <c r="X105" s="100"/>
      <c r="Y105" s="100"/>
      <c r="Z105" s="98"/>
      <c r="AB105" s="36" t="s">
        <v>129</v>
      </c>
      <c r="AC105" s="99" t="s">
        <v>130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131</v>
      </c>
      <c r="B107" s="130" t="s">
        <v>132</v>
      </c>
      <c r="C107" s="130"/>
      <c r="D107" s="109"/>
      <c r="E107" s="130" t="s">
        <v>133</v>
      </c>
      <c r="F107" s="130"/>
      <c r="G107" s="109"/>
      <c r="H107" s="98"/>
      <c r="J107" s="31" t="s">
        <v>131</v>
      </c>
      <c r="K107" s="130" t="s">
        <v>132</v>
      </c>
      <c r="L107" s="130"/>
      <c r="M107" s="109"/>
      <c r="N107" s="130" t="s">
        <v>133</v>
      </c>
      <c r="O107" s="130"/>
      <c r="P107" s="109"/>
      <c r="Q107" s="98"/>
      <c r="S107" s="31" t="s">
        <v>131</v>
      </c>
      <c r="T107" s="130" t="s">
        <v>132</v>
      </c>
      <c r="U107" s="130"/>
      <c r="V107" s="109"/>
      <c r="W107" s="130" t="s">
        <v>133</v>
      </c>
      <c r="X107" s="130"/>
      <c r="Y107" s="109"/>
      <c r="Z107" s="98"/>
      <c r="AB107" s="31" t="s">
        <v>131</v>
      </c>
      <c r="AC107" s="130" t="s">
        <v>132</v>
      </c>
      <c r="AD107" s="130"/>
      <c r="AE107" s="109"/>
      <c r="AF107" s="130" t="s">
        <v>133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134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135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135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136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130" t="s">
        <v>138</v>
      </c>
      <c r="C110" s="130"/>
      <c r="D110" s="130"/>
      <c r="E110" s="130" t="s">
        <v>139</v>
      </c>
      <c r="F110" s="130"/>
      <c r="G110" s="130"/>
      <c r="H110" s="33"/>
      <c r="J110" s="31" t="s">
        <v>137</v>
      </c>
      <c r="K110" s="130" t="s">
        <v>138</v>
      </c>
      <c r="L110" s="130"/>
      <c r="M110" s="130"/>
      <c r="N110" s="130" t="s">
        <v>139</v>
      </c>
      <c r="O110" s="130"/>
      <c r="P110" s="130"/>
      <c r="Q110" s="33"/>
      <c r="S110" s="31" t="s">
        <v>137</v>
      </c>
      <c r="T110" s="130" t="s">
        <v>138</v>
      </c>
      <c r="U110" s="130"/>
      <c r="V110" s="130"/>
      <c r="W110" s="130" t="s">
        <v>139</v>
      </c>
      <c r="X110" s="130"/>
      <c r="Y110" s="130"/>
      <c r="Z110" s="33"/>
      <c r="AB110" s="31" t="s">
        <v>137</v>
      </c>
      <c r="AC110" s="130" t="s">
        <v>138</v>
      </c>
      <c r="AD110" s="130"/>
      <c r="AE110" s="130"/>
      <c r="AF110" s="130" t="s">
        <v>139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140</v>
      </c>
      <c r="B113" s="130" t="s">
        <v>141</v>
      </c>
      <c r="C113" s="130"/>
      <c r="D113" s="130"/>
      <c r="E113" s="130" t="s">
        <v>142</v>
      </c>
      <c r="F113" s="130"/>
      <c r="G113" s="109"/>
      <c r="H113" s="98"/>
      <c r="J113" s="106" t="s">
        <v>140</v>
      </c>
      <c r="K113" s="130" t="s">
        <v>141</v>
      </c>
      <c r="L113" s="130"/>
      <c r="M113" s="130"/>
      <c r="N113" s="130" t="s">
        <v>142</v>
      </c>
      <c r="O113" s="130"/>
      <c r="P113" s="109"/>
      <c r="Q113" s="98"/>
      <c r="S113" s="106" t="s">
        <v>140</v>
      </c>
      <c r="T113" s="130" t="s">
        <v>141</v>
      </c>
      <c r="U113" s="130"/>
      <c r="V113" s="130"/>
      <c r="W113" s="130" t="s">
        <v>142</v>
      </c>
      <c r="X113" s="130"/>
      <c r="Y113" s="109"/>
      <c r="Z113" s="98"/>
      <c r="AB113" s="106" t="s">
        <v>140</v>
      </c>
      <c r="AC113" s="130" t="s">
        <v>141</v>
      </c>
      <c r="AD113" s="130"/>
      <c r="AE113" s="130"/>
      <c r="AF113" s="130" t="s">
        <v>142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145</v>
      </c>
      <c r="C119" s="110"/>
      <c r="D119" s="110" t="s">
        <v>146</v>
      </c>
      <c r="E119" s="110"/>
      <c r="F119" s="110" t="s">
        <v>147</v>
      </c>
      <c r="G119" s="110"/>
      <c r="H119" s="111" t="s">
        <v>148</v>
      </c>
      <c r="J119" s="78"/>
      <c r="K119" s="110" t="s">
        <v>145</v>
      </c>
      <c r="L119" s="110"/>
      <c r="M119" s="110" t="s">
        <v>146</v>
      </c>
      <c r="N119" s="110"/>
      <c r="O119" s="110" t="s">
        <v>147</v>
      </c>
      <c r="P119" s="110"/>
      <c r="Q119" s="111" t="s">
        <v>148</v>
      </c>
      <c r="S119" s="78"/>
      <c r="T119" s="110" t="s">
        <v>145</v>
      </c>
      <c r="U119" s="110"/>
      <c r="V119" s="110" t="s">
        <v>146</v>
      </c>
      <c r="W119" s="110"/>
      <c r="X119" s="110" t="s">
        <v>147</v>
      </c>
      <c r="Y119" s="110"/>
      <c r="Z119" s="111" t="s">
        <v>148</v>
      </c>
      <c r="AB119" s="78"/>
      <c r="AC119" s="110" t="s">
        <v>145</v>
      </c>
      <c r="AD119" s="110"/>
      <c r="AE119" s="110" t="s">
        <v>146</v>
      </c>
      <c r="AF119" s="110"/>
      <c r="AG119" s="110" t="s">
        <v>147</v>
      </c>
      <c r="AH119" s="110"/>
      <c r="AI119" s="111" t="s">
        <v>148</v>
      </c>
    </row>
    <row r="120" customFormat="false" ht="19.7" hidden="false" customHeight="false" outlineLevel="0" collapsed="false">
      <c r="A120" s="80"/>
      <c r="B120" s="112" t="s">
        <v>149</v>
      </c>
      <c r="C120" s="113" t="s">
        <v>150</v>
      </c>
      <c r="D120" s="112" t="s">
        <v>149</v>
      </c>
      <c r="E120" s="114" t="s">
        <v>150</v>
      </c>
      <c r="F120" s="112" t="s">
        <v>149</v>
      </c>
      <c r="G120" s="114" t="s">
        <v>150</v>
      </c>
      <c r="H120" s="115"/>
      <c r="J120" s="80"/>
      <c r="K120" s="112" t="s">
        <v>149</v>
      </c>
      <c r="L120" s="113" t="s">
        <v>150</v>
      </c>
      <c r="M120" s="112" t="s">
        <v>149</v>
      </c>
      <c r="N120" s="114" t="s">
        <v>150</v>
      </c>
      <c r="O120" s="112" t="s">
        <v>149</v>
      </c>
      <c r="P120" s="114" t="s">
        <v>150</v>
      </c>
      <c r="Q120" s="115"/>
      <c r="S120" s="80"/>
      <c r="T120" s="112" t="s">
        <v>149</v>
      </c>
      <c r="U120" s="113" t="s">
        <v>150</v>
      </c>
      <c r="V120" s="112" t="s">
        <v>149</v>
      </c>
      <c r="W120" s="114" t="s">
        <v>150</v>
      </c>
      <c r="X120" s="112" t="s">
        <v>149</v>
      </c>
      <c r="Y120" s="114" t="s">
        <v>150</v>
      </c>
      <c r="Z120" s="115"/>
      <c r="AB120" s="80"/>
      <c r="AC120" s="112" t="s">
        <v>149</v>
      </c>
      <c r="AD120" s="113" t="s">
        <v>150</v>
      </c>
      <c r="AE120" s="112" t="s">
        <v>149</v>
      </c>
      <c r="AF120" s="114" t="s">
        <v>150</v>
      </c>
      <c r="AG120" s="112" t="s">
        <v>149</v>
      </c>
      <c r="AH120" s="114" t="s">
        <v>150</v>
      </c>
      <c r="AI120" s="115"/>
    </row>
    <row r="121" customFormat="false" ht="17.35" hidden="false" customHeight="false" outlineLevel="0" collapsed="false">
      <c r="A121" s="25" t="s">
        <v>151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151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151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151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152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152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152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153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153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153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153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154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154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154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155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155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155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149</v>
      </c>
      <c r="H127" s="134" t="s">
        <v>150</v>
      </c>
      <c r="J127" s="131"/>
      <c r="K127" s="132"/>
      <c r="L127" s="132"/>
      <c r="M127" s="132"/>
      <c r="N127" s="132"/>
      <c r="O127" s="132"/>
      <c r="P127" s="133" t="s">
        <v>149</v>
      </c>
      <c r="Q127" s="134" t="s">
        <v>150</v>
      </c>
      <c r="S127" s="131"/>
      <c r="T127" s="132"/>
      <c r="U127" s="132"/>
      <c r="V127" s="132"/>
      <c r="W127" s="132"/>
      <c r="X127" s="132"/>
      <c r="Y127" s="133" t="s">
        <v>149</v>
      </c>
      <c r="Z127" s="134" t="s">
        <v>150</v>
      </c>
      <c r="AB127" s="131"/>
      <c r="AC127" s="132"/>
      <c r="AD127" s="132"/>
      <c r="AE127" s="132"/>
      <c r="AF127" s="132"/>
      <c r="AG127" s="132"/>
      <c r="AH127" s="133" t="s">
        <v>149</v>
      </c>
      <c r="AI127" s="134" t="s">
        <v>150</v>
      </c>
    </row>
    <row r="128" customFormat="false" ht="17.35" hidden="false" customHeight="false" outlineLevel="0" collapsed="false">
      <c r="A128" s="137" t="s">
        <v>156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156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156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156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157</v>
      </c>
      <c r="B130" s="141" t="s">
        <v>158</v>
      </c>
      <c r="C130" s="141"/>
      <c r="D130" s="141" t="s">
        <v>159</v>
      </c>
      <c r="E130" s="141"/>
      <c r="F130" s="141" t="s">
        <v>153</v>
      </c>
      <c r="G130" s="141"/>
      <c r="H130" s="142" t="s">
        <v>150</v>
      </c>
      <c r="J130" s="144" t="s">
        <v>157</v>
      </c>
      <c r="K130" s="141" t="s">
        <v>158</v>
      </c>
      <c r="L130" s="141"/>
      <c r="M130" s="141" t="s">
        <v>159</v>
      </c>
      <c r="N130" s="141"/>
      <c r="O130" s="141" t="s">
        <v>153</v>
      </c>
      <c r="P130" s="141"/>
      <c r="Q130" s="142" t="s">
        <v>150</v>
      </c>
      <c r="S130" s="144" t="s">
        <v>157</v>
      </c>
      <c r="T130" s="141" t="s">
        <v>158</v>
      </c>
      <c r="U130" s="141"/>
      <c r="V130" s="141" t="s">
        <v>159</v>
      </c>
      <c r="W130" s="141"/>
      <c r="X130" s="141" t="s">
        <v>153</v>
      </c>
      <c r="Y130" s="141"/>
      <c r="Z130" s="142" t="s">
        <v>150</v>
      </c>
      <c r="AB130" s="144" t="s">
        <v>157</v>
      </c>
      <c r="AC130" s="141" t="s">
        <v>158</v>
      </c>
      <c r="AD130" s="141"/>
      <c r="AE130" s="141" t="s">
        <v>159</v>
      </c>
      <c r="AF130" s="141"/>
      <c r="AG130" s="141" t="s">
        <v>153</v>
      </c>
      <c r="AH130" s="141"/>
      <c r="AI130" s="142" t="s">
        <v>150</v>
      </c>
    </row>
    <row r="131" customFormat="false" ht="17.35" hidden="false" customHeight="false" outlineLevel="0" collapsed="false">
      <c r="A131" s="31" t="s">
        <v>160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160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160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160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161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161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161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162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162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162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163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163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163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163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164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164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164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164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165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165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165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165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166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166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166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166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167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167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167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167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168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168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168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168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169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169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169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169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170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170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170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170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171</v>
      </c>
      <c r="B143" s="107"/>
      <c r="C143" s="107"/>
      <c r="D143" s="107"/>
      <c r="E143" s="107"/>
      <c r="F143" s="107"/>
      <c r="G143" s="99"/>
      <c r="H143" s="33"/>
      <c r="J143" s="107" t="s">
        <v>171</v>
      </c>
      <c r="K143" s="107"/>
      <c r="L143" s="107"/>
      <c r="M143" s="107"/>
      <c r="N143" s="107"/>
      <c r="O143" s="107"/>
      <c r="P143" s="99"/>
      <c r="Q143" s="33"/>
      <c r="S143" s="107" t="s">
        <v>171</v>
      </c>
      <c r="T143" s="107"/>
      <c r="U143" s="107"/>
      <c r="V143" s="107"/>
      <c r="W143" s="107"/>
      <c r="X143" s="107"/>
      <c r="Y143" s="99"/>
      <c r="Z143" s="33"/>
      <c r="AB143" s="107" t="s">
        <v>171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172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172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172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172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172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172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172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172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172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172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172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172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173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173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173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173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174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174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174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174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176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176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176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177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177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177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177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178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178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178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178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179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179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179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179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180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180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180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181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181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181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181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183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183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183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184</v>
      </c>
      <c r="B166" s="171" t="s">
        <v>185</v>
      </c>
      <c r="C166" s="171"/>
      <c r="D166" s="171"/>
      <c r="E166" s="171" t="s">
        <v>186</v>
      </c>
      <c r="F166" s="23"/>
      <c r="G166" s="23"/>
      <c r="H166" s="33"/>
      <c r="J166" s="170" t="s">
        <v>184</v>
      </c>
      <c r="K166" s="171" t="s">
        <v>185</v>
      </c>
      <c r="L166" s="171"/>
      <c r="M166" s="171"/>
      <c r="N166" s="171" t="s">
        <v>186</v>
      </c>
      <c r="O166" s="23"/>
      <c r="P166" s="23"/>
      <c r="Q166" s="33"/>
      <c r="S166" s="170" t="s">
        <v>184</v>
      </c>
      <c r="T166" s="171" t="s">
        <v>185</v>
      </c>
      <c r="U166" s="171"/>
      <c r="V166" s="171"/>
      <c r="W166" s="171" t="s">
        <v>186</v>
      </c>
      <c r="X166" s="23"/>
      <c r="Y166" s="23"/>
      <c r="Z166" s="33"/>
      <c r="AB166" s="170" t="s">
        <v>184</v>
      </c>
      <c r="AC166" s="171" t="s">
        <v>185</v>
      </c>
      <c r="AD166" s="171"/>
      <c r="AE166" s="171"/>
      <c r="AF166" s="171" t="s">
        <v>186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2075.99455650317</v>
      </c>
      <c r="B167" s="174" t="str">
        <f aca="false">B94</f>
        <v>0</v>
      </c>
      <c r="C167" s="171"/>
      <c r="D167" s="171"/>
      <c r="E167" s="174" t="n">
        <f aca="false">B96</f>
        <v>2075.99455650317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1838.96018758182</v>
      </c>
      <c r="T167" s="174" t="n">
        <f aca="false">T94</f>
        <v>0</v>
      </c>
      <c r="U167" s="171"/>
      <c r="V167" s="171"/>
      <c r="W167" s="174" t="n">
        <f aca="false">T96</f>
        <v>1838.96018758182</v>
      </c>
      <c r="X167" s="23"/>
      <c r="Y167" s="23"/>
      <c r="Z167" s="33"/>
      <c r="AB167" s="173" t="n">
        <f aca="false">AC95</f>
        <v>1346.8260853101</v>
      </c>
      <c r="AC167" s="174" t="n">
        <f aca="false">AC94</f>
        <v>0</v>
      </c>
      <c r="AD167" s="171"/>
      <c r="AE167" s="171"/>
      <c r="AF167" s="174" t="n">
        <f aca="false">AC96</f>
        <v>1346.8260853101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84</v>
      </c>
      <c r="B169" s="130" t="s">
        <v>85</v>
      </c>
      <c r="C169" s="130"/>
      <c r="D169" s="23"/>
      <c r="E169" s="130" t="s">
        <v>187</v>
      </c>
      <c r="F169" s="23"/>
      <c r="G169" s="23"/>
      <c r="H169" s="33"/>
      <c r="J169" s="31" t="s">
        <v>84</v>
      </c>
      <c r="K169" s="130" t="s">
        <v>85</v>
      </c>
      <c r="L169" s="130"/>
      <c r="M169" s="23"/>
      <c r="N169" s="130" t="s">
        <v>187</v>
      </c>
      <c r="O169" s="23"/>
      <c r="P169" s="23"/>
      <c r="Q169" s="33"/>
      <c r="S169" s="31" t="s">
        <v>84</v>
      </c>
      <c r="T169" s="130" t="s">
        <v>85</v>
      </c>
      <c r="U169" s="130"/>
      <c r="V169" s="23"/>
      <c r="W169" s="130" t="s">
        <v>187</v>
      </c>
      <c r="X169" s="23"/>
      <c r="Y169" s="23"/>
      <c r="Z169" s="33"/>
      <c r="AB169" s="31" t="s">
        <v>84</v>
      </c>
      <c r="AC169" s="130" t="s">
        <v>85</v>
      </c>
      <c r="AD169" s="130"/>
      <c r="AE169" s="23"/>
      <c r="AF169" s="130" t="s">
        <v>187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10800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10800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10800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10800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188</v>
      </c>
      <c r="B172" s="130" t="s">
        <v>189</v>
      </c>
      <c r="C172" s="130"/>
      <c r="D172" s="23"/>
      <c r="E172" s="130" t="s">
        <v>190</v>
      </c>
      <c r="F172" s="23"/>
      <c r="G172" s="23"/>
      <c r="H172" s="33"/>
      <c r="J172" s="31" t="s">
        <v>188</v>
      </c>
      <c r="K172" s="130" t="s">
        <v>189</v>
      </c>
      <c r="L172" s="130"/>
      <c r="M172" s="23"/>
      <c r="N172" s="130" t="s">
        <v>190</v>
      </c>
      <c r="O172" s="23"/>
      <c r="P172" s="23"/>
      <c r="Q172" s="33"/>
      <c r="S172" s="31" t="s">
        <v>188</v>
      </c>
      <c r="T172" s="130" t="s">
        <v>189</v>
      </c>
      <c r="U172" s="130"/>
      <c r="V172" s="23"/>
      <c r="W172" s="130" t="s">
        <v>190</v>
      </c>
      <c r="X172" s="23"/>
      <c r="Y172" s="23"/>
      <c r="Z172" s="33"/>
      <c r="AB172" s="31" t="s">
        <v>188</v>
      </c>
      <c r="AC172" s="130" t="s">
        <v>189</v>
      </c>
      <c r="AD172" s="130"/>
      <c r="AE172" s="23"/>
      <c r="AF172" s="130" t="s">
        <v>190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191</v>
      </c>
      <c r="B175" s="130" t="s">
        <v>138</v>
      </c>
      <c r="C175" s="130"/>
      <c r="D175" s="23"/>
      <c r="E175" s="130" t="s">
        <v>139</v>
      </c>
      <c r="F175" s="23"/>
      <c r="G175" s="23"/>
      <c r="H175" s="33"/>
      <c r="J175" s="31" t="s">
        <v>191</v>
      </c>
      <c r="K175" s="130" t="s">
        <v>138</v>
      </c>
      <c r="L175" s="130"/>
      <c r="M175" s="23"/>
      <c r="N175" s="130" t="s">
        <v>139</v>
      </c>
      <c r="O175" s="23"/>
      <c r="P175" s="23"/>
      <c r="Q175" s="33"/>
      <c r="S175" s="31" t="s">
        <v>191</v>
      </c>
      <c r="T175" s="130" t="s">
        <v>138</v>
      </c>
      <c r="U175" s="130"/>
      <c r="V175" s="23"/>
      <c r="W175" s="130" t="s">
        <v>139</v>
      </c>
      <c r="X175" s="23"/>
      <c r="Y175" s="23"/>
      <c r="Z175" s="33"/>
      <c r="AB175" s="31" t="s">
        <v>191</v>
      </c>
      <c r="AC175" s="130" t="s">
        <v>138</v>
      </c>
      <c r="AD175" s="130"/>
      <c r="AE175" s="23"/>
      <c r="AF175" s="130" t="s">
        <v>139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130" t="s">
        <v>176</v>
      </c>
      <c r="C178" s="130"/>
      <c r="D178" s="23"/>
      <c r="E178" s="130" t="s">
        <v>181</v>
      </c>
      <c r="F178" s="23"/>
      <c r="G178" s="23"/>
      <c r="H178" s="33"/>
      <c r="J178" s="31" t="s">
        <v>140</v>
      </c>
      <c r="K178" s="130" t="s">
        <v>176</v>
      </c>
      <c r="L178" s="130"/>
      <c r="M178" s="23"/>
      <c r="N178" s="130" t="s">
        <v>181</v>
      </c>
      <c r="O178" s="23"/>
      <c r="P178" s="23"/>
      <c r="Q178" s="33"/>
      <c r="S178" s="31" t="s">
        <v>140</v>
      </c>
      <c r="T178" s="130" t="s">
        <v>176</v>
      </c>
      <c r="U178" s="130"/>
      <c r="V178" s="23"/>
      <c r="W178" s="130" t="s">
        <v>181</v>
      </c>
      <c r="X178" s="23"/>
      <c r="Y178" s="23"/>
      <c r="Z178" s="33"/>
      <c r="AB178" s="31" t="s">
        <v>140</v>
      </c>
      <c r="AC178" s="130" t="s">
        <v>176</v>
      </c>
      <c r="AD178" s="130"/>
      <c r="AE178" s="23"/>
      <c r="AF178" s="130" t="s">
        <v>181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192</v>
      </c>
      <c r="B181" s="130" t="s">
        <v>53</v>
      </c>
      <c r="C181" s="130"/>
      <c r="D181" s="23"/>
      <c r="E181" s="130" t="s">
        <v>193</v>
      </c>
      <c r="F181" s="23"/>
      <c r="G181" s="23"/>
      <c r="H181" s="33"/>
      <c r="J181" s="31" t="s">
        <v>192</v>
      </c>
      <c r="K181" s="130" t="s">
        <v>53</v>
      </c>
      <c r="L181" s="130"/>
      <c r="M181" s="23"/>
      <c r="N181" s="130" t="s">
        <v>193</v>
      </c>
      <c r="O181" s="23"/>
      <c r="P181" s="23"/>
      <c r="Q181" s="33"/>
      <c r="S181" s="31" t="s">
        <v>192</v>
      </c>
      <c r="T181" s="130" t="s">
        <v>53</v>
      </c>
      <c r="U181" s="130"/>
      <c r="V181" s="23"/>
      <c r="W181" s="130" t="s">
        <v>193</v>
      </c>
      <c r="X181" s="23"/>
      <c r="Y181" s="23"/>
      <c r="Z181" s="33"/>
      <c r="AB181" s="31" t="s">
        <v>192</v>
      </c>
      <c r="AC181" s="130" t="s">
        <v>53</v>
      </c>
      <c r="AD181" s="130"/>
      <c r="AE181" s="23"/>
      <c r="AF181" s="130" t="s">
        <v>193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13653.8109211077</v>
      </c>
      <c r="B182" s="99" t="str">
        <f aca="false">B114</f>
        <v>199.99</v>
      </c>
      <c r="C182" s="99"/>
      <c r="D182" s="23"/>
      <c r="E182" s="99" t="n">
        <f aca="false">E179+A182+B182+A185</f>
        <v>81593.8049211077</v>
      </c>
      <c r="F182" s="23"/>
      <c r="G182" s="23"/>
      <c r="H182" s="101"/>
      <c r="J182" s="107" t="n">
        <f aca="false">(J167*K59)+N185-N179-J185</f>
        <v>24358.6283606416</v>
      </c>
      <c r="K182" s="99" t="n">
        <f aca="false">K114</f>
        <v>239.99</v>
      </c>
      <c r="L182" s="99"/>
      <c r="M182" s="23"/>
      <c r="N182" s="99" t="n">
        <f aca="false">N179+J182+K182+J185</f>
        <v>62273.6183606416</v>
      </c>
      <c r="O182" s="23"/>
      <c r="P182" s="23"/>
      <c r="Q182" s="101"/>
      <c r="S182" s="107" t="n">
        <f aca="false">(S167*T59)+W185-W179-S185</f>
        <v>13940.2088877818</v>
      </c>
      <c r="T182" s="99" t="n">
        <f aca="false">T114</f>
        <v>199.99</v>
      </c>
      <c r="U182" s="99"/>
      <c r="V182" s="23"/>
      <c r="W182" s="99" t="n">
        <f aca="false">W179+S182+T182+S185</f>
        <v>73534.6363777818</v>
      </c>
      <c r="X182" s="23"/>
      <c r="Y182" s="23"/>
      <c r="Z182" s="101"/>
      <c r="AB182" s="107" t="n">
        <f aca="false">(AB167*AC59)+AF185-AF179-AB185</f>
        <v>11123.3379005435</v>
      </c>
      <c r="AC182" s="99" t="n">
        <f aca="false">AC114</f>
        <v>239.99</v>
      </c>
      <c r="AD182" s="99"/>
      <c r="AE182" s="23"/>
      <c r="AF182" s="99" t="n">
        <f aca="false">AF179+AB182+AC182+AB185</f>
        <v>56842.0769005436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194</v>
      </c>
      <c r="B184" s="130" t="s">
        <v>195</v>
      </c>
      <c r="C184" s="130"/>
      <c r="D184" s="23"/>
      <c r="E184" s="130" t="s">
        <v>196</v>
      </c>
      <c r="F184" s="23"/>
      <c r="G184" s="23"/>
      <c r="H184" s="33"/>
      <c r="J184" s="31" t="s">
        <v>194</v>
      </c>
      <c r="K184" s="130" t="s">
        <v>195</v>
      </c>
      <c r="L184" s="130"/>
      <c r="M184" s="23"/>
      <c r="N184" s="130" t="s">
        <v>196</v>
      </c>
      <c r="O184" s="23"/>
      <c r="P184" s="23"/>
      <c r="Q184" s="33"/>
      <c r="S184" s="31" t="s">
        <v>194</v>
      </c>
      <c r="T184" s="130" t="s">
        <v>195</v>
      </c>
      <c r="U184" s="130"/>
      <c r="V184" s="23"/>
      <c r="W184" s="130" t="s">
        <v>196</v>
      </c>
      <c r="X184" s="23"/>
      <c r="Y184" s="23"/>
      <c r="Z184" s="33"/>
      <c r="AB184" s="31" t="s">
        <v>194</v>
      </c>
      <c r="AC184" s="130" t="s">
        <v>195</v>
      </c>
      <c r="AD184" s="130"/>
      <c r="AE184" s="23"/>
      <c r="AF184" s="130" t="s">
        <v>196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E170+A185</f>
        <v>10810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10820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10810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10810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197</v>
      </c>
      <c r="B187" s="130" t="s">
        <v>198</v>
      </c>
      <c r="C187" s="130"/>
      <c r="D187" s="130"/>
      <c r="E187" s="163" t="s">
        <v>199</v>
      </c>
      <c r="F187" s="23"/>
      <c r="G187" s="23"/>
      <c r="H187" s="33"/>
      <c r="J187" s="31" t="s">
        <v>197</v>
      </c>
      <c r="K187" s="130" t="s">
        <v>198</v>
      </c>
      <c r="L187" s="130"/>
      <c r="M187" s="130"/>
      <c r="N187" s="163" t="s">
        <v>199</v>
      </c>
      <c r="O187" s="23"/>
      <c r="P187" s="23"/>
      <c r="Q187" s="33"/>
      <c r="S187" s="31" t="s">
        <v>197</v>
      </c>
      <c r="T187" s="130" t="s">
        <v>198</v>
      </c>
      <c r="U187" s="130"/>
      <c r="V187" s="130"/>
      <c r="W187" s="163" t="s">
        <v>199</v>
      </c>
      <c r="X187" s="32"/>
      <c r="Y187" s="32"/>
      <c r="Z187" s="33"/>
      <c r="AB187" s="31" t="s">
        <v>197</v>
      </c>
      <c r="AC187" s="130" t="s">
        <v>198</v>
      </c>
      <c r="AD187" s="130"/>
      <c r="AE187" s="130"/>
      <c r="AF187" s="163" t="s">
        <v>199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200</v>
      </c>
      <c r="B190" s="163" t="s">
        <v>201</v>
      </c>
      <c r="C190" s="130"/>
      <c r="D190" s="130"/>
      <c r="E190" s="163" t="s">
        <v>202</v>
      </c>
      <c r="F190" s="23"/>
      <c r="G190" s="23"/>
      <c r="H190" s="33"/>
      <c r="J190" s="60" t="s">
        <v>200</v>
      </c>
      <c r="K190" s="163" t="s">
        <v>201</v>
      </c>
      <c r="L190" s="130"/>
      <c r="M190" s="130"/>
      <c r="N190" s="163" t="s">
        <v>202</v>
      </c>
      <c r="O190" s="23"/>
      <c r="P190" s="23"/>
      <c r="Q190" s="33"/>
      <c r="S190" s="60" t="s">
        <v>200</v>
      </c>
      <c r="T190" s="163" t="s">
        <v>201</v>
      </c>
      <c r="U190" s="130"/>
      <c r="V190" s="130"/>
      <c r="W190" s="163" t="s">
        <v>202</v>
      </c>
      <c r="X190" s="32"/>
      <c r="Y190" s="32"/>
      <c r="Z190" s="33"/>
      <c r="AB190" s="60" t="s">
        <v>200</v>
      </c>
      <c r="AC190" s="163" t="s">
        <v>201</v>
      </c>
      <c r="AD190" s="130"/>
      <c r="AE190" s="130"/>
      <c r="AF190" s="163" t="s">
        <v>202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203</v>
      </c>
      <c r="B193" s="130"/>
      <c r="C193" s="130"/>
      <c r="D193" s="67"/>
      <c r="E193" s="67"/>
      <c r="F193" s="67"/>
      <c r="G193" s="67"/>
      <c r="H193" s="68"/>
      <c r="J193" s="66" t="s">
        <v>203</v>
      </c>
      <c r="K193" s="130"/>
      <c r="L193" s="130"/>
      <c r="M193" s="67"/>
      <c r="N193" s="67"/>
      <c r="O193" s="67"/>
      <c r="P193" s="67"/>
      <c r="Q193" s="68"/>
      <c r="S193" s="66" t="s">
        <v>203</v>
      </c>
      <c r="T193" s="130"/>
      <c r="U193" s="130"/>
      <c r="V193" s="67"/>
      <c r="W193" s="67"/>
      <c r="X193" s="67"/>
      <c r="Y193" s="67"/>
      <c r="Z193" s="68"/>
      <c r="AB193" s="66" t="s">
        <v>203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84</v>
      </c>
      <c r="B195" s="71" t="s">
        <v>85</v>
      </c>
      <c r="C195" s="71"/>
      <c r="D195" s="71"/>
      <c r="E195" s="23"/>
      <c r="F195" s="23"/>
      <c r="G195" s="23"/>
      <c r="H195" s="33"/>
      <c r="J195" s="184" t="s">
        <v>84</v>
      </c>
      <c r="K195" s="71" t="s">
        <v>85</v>
      </c>
      <c r="L195" s="71"/>
      <c r="M195" s="71"/>
      <c r="N195" s="23"/>
      <c r="O195" s="23"/>
      <c r="P195" s="23"/>
      <c r="Q195" s="33"/>
      <c r="S195" s="184" t="s">
        <v>84</v>
      </c>
      <c r="T195" s="71" t="s">
        <v>85</v>
      </c>
      <c r="U195" s="71"/>
      <c r="V195" s="71"/>
      <c r="W195" s="23"/>
      <c r="X195" s="23"/>
      <c r="Y195" s="23"/>
      <c r="Z195" s="33"/>
      <c r="AB195" s="184" t="s">
        <v>84</v>
      </c>
      <c r="AC195" s="71" t="s">
        <v>85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2075.99455650317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1838.96018758182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1346.8260853101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182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127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204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184</v>
      </c>
      <c r="B211" s="189" t="s">
        <v>185</v>
      </c>
      <c r="C211" s="189"/>
      <c r="D211" s="189"/>
      <c r="E211" s="189" t="s">
        <v>186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2075.99455650317</v>
      </c>
      <c r="B212" s="174" t="str">
        <f aca="false">B167</f>
        <v>0</v>
      </c>
      <c r="C212" s="171"/>
      <c r="D212" s="171"/>
      <c r="E212" s="174" t="n">
        <f aca="false">E167</f>
        <v>2075.99455650317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188</v>
      </c>
      <c r="B214" s="130" t="s">
        <v>189</v>
      </c>
      <c r="C214" s="130"/>
      <c r="D214" s="109"/>
      <c r="E214" s="130" t="s">
        <v>190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191</v>
      </c>
      <c r="B217" s="130" t="s">
        <v>138</v>
      </c>
      <c r="C217" s="130"/>
      <c r="D217" s="109"/>
      <c r="E217" s="130" t="s">
        <v>139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140</v>
      </c>
      <c r="B220" s="130" t="s">
        <v>176</v>
      </c>
      <c r="C220" s="130"/>
      <c r="D220" s="109"/>
      <c r="E220" s="130" t="s">
        <v>181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192</v>
      </c>
      <c r="B223" s="130" t="s">
        <v>53</v>
      </c>
      <c r="C223" s="130"/>
      <c r="D223" s="109"/>
      <c r="E223" s="130" t="s">
        <v>193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13653.8109211077</v>
      </c>
      <c r="B224" s="99" t="str">
        <f aca="false">B182</f>
        <v>199.99</v>
      </c>
      <c r="C224" s="99"/>
      <c r="D224" s="109"/>
      <c r="E224" s="99" t="n">
        <f aca="false">E182</f>
        <v>81593.8049211077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194</v>
      </c>
      <c r="B226" s="130" t="s">
        <v>195</v>
      </c>
      <c r="C226" s="130"/>
      <c r="D226" s="109"/>
      <c r="E226" s="130" t="s">
        <v>205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184</v>
      </c>
      <c r="B229" s="130" t="s">
        <v>185</v>
      </c>
      <c r="C229" s="130"/>
      <c r="D229" s="130"/>
      <c r="E229" s="130" t="s">
        <v>186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2075.99455650317</v>
      </c>
      <c r="B230" s="99" t="str">
        <f aca="false">B167</f>
        <v>0</v>
      </c>
      <c r="C230" s="183"/>
      <c r="D230" s="183"/>
      <c r="E230" s="99" t="n">
        <f aca="false">E167</f>
        <v>2075.99455650317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206</v>
      </c>
      <c r="B232" s="130" t="s">
        <v>207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10800</v>
      </c>
      <c r="B233" s="99" t="n">
        <f aca="false">E185</f>
        <v>10810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208</v>
      </c>
      <c r="B235" s="163" t="s">
        <v>74</v>
      </c>
      <c r="C235" s="130"/>
      <c r="D235" s="130"/>
      <c r="E235" s="163" t="s">
        <v>132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209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210</v>
      </c>
      <c r="B239" s="130" t="s">
        <v>198</v>
      </c>
      <c r="C239" s="130"/>
      <c r="D239" s="130"/>
      <c r="E239" s="163" t="s">
        <v>199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200</v>
      </c>
      <c r="B242" s="163" t="s">
        <v>201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211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212</v>
      </c>
      <c r="B253" s="193" t="n">
        <f aca="false">K35</f>
        <v>0.065</v>
      </c>
      <c r="C253" s="194"/>
      <c r="D253" s="195" t="s">
        <v>213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214</v>
      </c>
      <c r="B254" s="196"/>
      <c r="C254" s="194"/>
      <c r="D254" s="195" t="s">
        <v>215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216</v>
      </c>
      <c r="B255" s="196" t="n">
        <f aca="false">F262+B263</f>
        <v>99.99</v>
      </c>
      <c r="C255" s="194"/>
      <c r="D255" s="195" t="s">
        <v>217</v>
      </c>
      <c r="E255" s="195"/>
      <c r="F255" s="196" t="n">
        <f aca="false">(B254-F254)+B255</f>
        <v>-563.1996225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212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218</v>
      </c>
      <c r="B259" s="201" t="n">
        <f aca="false">B64</f>
        <v>0.05</v>
      </c>
      <c r="C259" s="32"/>
      <c r="D259" s="163" t="s">
        <v>219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213</v>
      </c>
      <c r="B260" s="205" t="n">
        <f aca="false">B83</f>
        <v>0.115</v>
      </c>
      <c r="C260" s="43"/>
      <c r="D260" s="163" t="s">
        <v>214</v>
      </c>
      <c r="E260" s="163"/>
      <c r="F260" s="143" t="n">
        <f aca="false">(B89*B59)-(C89*B59)</f>
        <v>70583.8149211077</v>
      </c>
      <c r="G260" s="23"/>
      <c r="H260" s="33"/>
    </row>
    <row r="261" customFormat="false" ht="17.35" hidden="false" customHeight="false" outlineLevel="0" collapsed="false">
      <c r="A261" s="31" t="s">
        <v>220</v>
      </c>
      <c r="B261" s="205" t="n">
        <f aca="false">B67</f>
        <v>0.00979166666666667</v>
      </c>
      <c r="C261" s="32"/>
      <c r="D261" s="163" t="s">
        <v>220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221</v>
      </c>
      <c r="B262" s="201" t="n">
        <f aca="false">A108</f>
        <v>0.2</v>
      </c>
      <c r="C262" s="32"/>
      <c r="D262" s="163" t="s">
        <v>221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222</v>
      </c>
      <c r="B263" s="143" t="n">
        <f aca="false">A243</f>
        <v>99.99</v>
      </c>
      <c r="C263" s="32"/>
      <c r="D263" s="39" t="s">
        <v>217</v>
      </c>
      <c r="E263" s="39"/>
      <c r="F263" s="143" t="n">
        <f aca="false">(B254-F254)+B255</f>
        <v>-563.1996225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223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224</v>
      </c>
      <c r="B266" s="148" t="n">
        <v>0</v>
      </c>
      <c r="C266" s="32"/>
      <c r="D266" s="206" t="s">
        <v>225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226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227</v>
      </c>
      <c r="B268" s="207" t="s">
        <v>4</v>
      </c>
      <c r="C268" s="32"/>
      <c r="D268" s="163" t="s">
        <v>228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229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230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231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87" activeCellId="0" sqref="B8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262" t="n">
        <v>16745.0</v>
      </c>
      <c r="C3" s="497" t="n">
        <v>0.0</v>
      </c>
      <c r="D3" s="262" t="n">
        <v>0.0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0" t="n">
        <v>0.0</v>
      </c>
      <c r="C4" s="0" t="n">
        <v>0.0</v>
      </c>
      <c r="D4" s="0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695.0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275.0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347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128</v>
      </c>
      <c r="B26" s="218" t="s">
        <v>387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182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183</v>
      </c>
      <c r="B30" s="169" t="s">
        <v>391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4365.0</v>
      </c>
      <c r="I31" s="234" t="n">
        <f aca="false">IF(C107="YES",H31,0)</f>
        <v>18000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84</v>
      </c>
      <c r="B32" s="211" t="s">
        <v>85</v>
      </c>
      <c r="C32" s="211"/>
      <c r="D32" s="457" t="s">
        <v>349</v>
      </c>
      <c r="E32" s="212"/>
      <c r="F32" s="63"/>
      <c r="G32" s="214" t="s">
        <v>36</v>
      </c>
      <c r="I32" s="445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1282.52199265886</v>
      </c>
      <c r="E33" s="212"/>
      <c r="F33" s="63"/>
      <c r="G33" s="215" t="s">
        <v>350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351</v>
      </c>
      <c r="B35" s="211" t="s">
        <v>352</v>
      </c>
      <c r="C35" s="211"/>
      <c r="D35" s="211" t="s">
        <v>353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1148.54199265886</v>
      </c>
      <c r="B36" s="99" t="n">
        <f aca="false">IF(B26="YES", H42, "")</f>
        <v>133.98</v>
      </c>
      <c r="C36" s="217"/>
      <c r="D36" s="181" t="n">
        <f aca="false">I31</f>
        <v>18000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354</v>
      </c>
      <c r="B39" s="211" t="s">
        <v>355</v>
      </c>
      <c r="C39" s="211"/>
      <c r="D39" s="211" t="s">
        <v>356</v>
      </c>
      <c r="E39" s="212"/>
      <c r="F39" s="63"/>
      <c r="G39" s="63" t="s">
        <v>86</v>
      </c>
      <c r="H39" s="234" t="n">
        <f aca="false">H33</f>
        <v>48877.5</v>
      </c>
      <c r="I39" s="234" t="n">
        <f aca="false">(I48*H46)+H44</f>
        <v>52613.796519141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18000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108</v>
      </c>
      <c r="H40" s="234" t="n">
        <f aca="false">A40/1.2</f>
        <v>15000</v>
      </c>
      <c r="I40" s="234" t="n">
        <f aca="false">H39-I39</f>
        <v>-3736.29651914099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357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358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359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78</v>
      </c>
      <c r="B44" s="211"/>
      <c r="C44" s="373" t="s">
        <v>79</v>
      </c>
      <c r="D44" s="373"/>
      <c r="E44" s="212"/>
      <c r="F44" s="63"/>
      <c r="G44" s="63" t="s">
        <v>369</v>
      </c>
      <c r="H44" s="234" t="n">
        <f aca="false">(H40/(1+H41)^(H34+1))</f>
        <v>12349.016529922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36528.483470078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363</v>
      </c>
      <c r="H47" s="234" t="n">
        <f aca="false">H45/H46</f>
        <v>1148.54199265886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463" t="s">
        <v>364</v>
      </c>
      <c r="H48" s="234" t="n">
        <f aca="false">IF(B26="YES", H47+H42, H47)</f>
        <v>1282.52199265886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365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1282.52199265886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86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86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87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87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304" t="s">
        <v>277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B62+(B62*0.25*(H29/12-1))</f>
        <v>0.103541666666667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B61*B63</f>
        <v>5993.509375</v>
      </c>
      <c r="C64" s="211" t="n">
        <v>10000.0</v>
      </c>
      <c r="D64" s="277" t="n">
        <f aca="false">B64-A143</f>
        <v>5993.509375</v>
      </c>
      <c r="E64" s="212"/>
      <c r="F64" s="63"/>
      <c r="G64" s="310" t="s">
        <v>92</v>
      </c>
      <c r="H64" s="129" t="n">
        <f aca="false">H61*H63</f>
        <v>5993.509375</v>
      </c>
      <c r="I64" s="211"/>
      <c r="J64" s="277" t="n">
        <f aca="false">H64-G145</f>
        <v>5993.509375</v>
      </c>
      <c r="K64" s="212"/>
      <c r="L64" s="63"/>
      <c r="M64" s="310" t="s">
        <v>92</v>
      </c>
      <c r="N64" s="129" t="n">
        <f aca="false">N61*N63</f>
        <v>5993.509375</v>
      </c>
      <c r="O64" s="211"/>
      <c r="P64" s="277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11"/>
      <c r="E65" s="212"/>
      <c r="F65" s="63"/>
      <c r="G65" s="304" t="s">
        <v>93</v>
      </c>
      <c r="H65" s="305" t="n">
        <v>0.01</v>
      </c>
      <c r="I65" s="211"/>
      <c r="J65" s="211"/>
      <c r="K65" s="212"/>
      <c r="L65" s="63"/>
      <c r="M65" s="304" t="s">
        <v>93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0.0195833333333333</v>
      </c>
      <c r="C66" s="211"/>
      <c r="D66" s="211"/>
      <c r="E66" s="212"/>
      <c r="F66" s="63"/>
      <c r="G66" s="210" t="s">
        <v>94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94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(B61*B66)</f>
        <v>1133.58125</v>
      </c>
      <c r="C67" s="211"/>
      <c r="D67" s="277"/>
      <c r="E67" s="212"/>
      <c r="F67" s="63"/>
      <c r="G67" s="310" t="s">
        <v>95</v>
      </c>
      <c r="H67" s="129" t="n">
        <f aca="false">(H61*H66)/1.2</f>
        <v>944.651041666667</v>
      </c>
      <c r="I67" s="211"/>
      <c r="J67" s="277"/>
      <c r="K67" s="212"/>
      <c r="L67" s="63"/>
      <c r="M67" s="310" t="s">
        <v>95</v>
      </c>
      <c r="N67" s="129" t="n">
        <f aca="false">(N61*N66)/1.2</f>
        <v>944.651041666667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211"/>
      <c r="D68" s="211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304" t="s">
        <v>96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407" t="s">
        <v>97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70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310" t="s">
        <v>98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200.0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304" t="s">
        <v>99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5.0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407" t="s">
        <v>100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175</v>
      </c>
      <c r="C73" s="211"/>
      <c r="D73" s="277" t="n">
        <f aca="false">B73+B71</f>
        <v>375</v>
      </c>
      <c r="E73" s="212"/>
      <c r="F73" s="63"/>
      <c r="G73" s="310" t="s">
        <v>101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101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13" t="s">
        <v>279</v>
      </c>
      <c r="B74" s="414" t="n">
        <v>0.0</v>
      </c>
      <c r="C74" s="211"/>
      <c r="D74" s="211"/>
      <c r="E74" s="212"/>
      <c r="F74" s="63"/>
      <c r="G74" s="304" t="s">
        <v>279</v>
      </c>
      <c r="H74" s="410" t="n">
        <v>165</v>
      </c>
      <c r="I74" s="211"/>
      <c r="J74" s="211"/>
      <c r="K74" s="212"/>
      <c r="L74" s="63"/>
      <c r="M74" s="413" t="s">
        <v>279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15" t="s">
        <v>280</v>
      </c>
      <c r="B75" s="416" t="n">
        <v>0.0</v>
      </c>
      <c r="C75" s="211"/>
      <c r="D75" s="211"/>
      <c r="E75" s="212"/>
      <c r="F75" s="63"/>
      <c r="G75" s="407" t="s">
        <v>280</v>
      </c>
      <c r="H75" s="411" t="n">
        <v>0</v>
      </c>
      <c r="I75" s="211"/>
      <c r="J75" s="211"/>
      <c r="K75" s="212"/>
      <c r="L75" s="63"/>
      <c r="M75" s="415" t="s">
        <v>280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17" t="s">
        <v>281</v>
      </c>
      <c r="B76" s="418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281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281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282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282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282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284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284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200.0</v>
      </c>
      <c r="C79" s="211"/>
      <c r="D79" s="277" t="n">
        <f aca="false">B79</f>
        <v>200</v>
      </c>
      <c r="E79" s="212"/>
      <c r="F79" s="63"/>
      <c r="G79" s="407" t="s">
        <v>102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102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200.0</v>
      </c>
      <c r="C80" s="211"/>
      <c r="D80" s="277" t="n">
        <f aca="false">B80</f>
        <v>200</v>
      </c>
      <c r="E80" s="212"/>
      <c r="F80" s="63"/>
      <c r="G80" s="420" t="s">
        <v>103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103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7435.17604166667</v>
      </c>
      <c r="C81" s="211"/>
      <c r="D81" s="211"/>
      <c r="E81" s="212"/>
      <c r="F81" s="63"/>
      <c r="G81" s="422" t="s">
        <v>104</v>
      </c>
      <c r="H81" s="423" t="n">
        <f aca="false">SUM(J64:J80)</f>
        <v>7041.009375</v>
      </c>
      <c r="I81" s="211"/>
      <c r="J81" s="211"/>
      <c r="K81" s="212"/>
      <c r="L81" s="63"/>
      <c r="M81" s="422" t="s">
        <v>104</v>
      </c>
      <c r="N81" s="42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212.433601190476</v>
      </c>
      <c r="C82" s="211"/>
      <c r="D82" s="211"/>
      <c r="E82" s="212"/>
      <c r="F82" s="63"/>
      <c r="G82" s="210" t="s">
        <v>105</v>
      </c>
      <c r="H82" s="419" t="n">
        <f aca="false">H81/H29</f>
        <v>201.171696428571</v>
      </c>
      <c r="I82" s="211"/>
      <c r="J82" s="211"/>
      <c r="K82" s="212"/>
      <c r="L82" s="63"/>
      <c r="M82" s="210" t="s">
        <v>105</v>
      </c>
      <c r="N82" s="41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H47</f>
        <v>1148.54199265886</v>
      </c>
      <c r="C83" s="211"/>
      <c r="D83" s="211"/>
      <c r="E83" s="212"/>
      <c r="F83" s="63"/>
      <c r="G83" s="424" t="s">
        <v>106</v>
      </c>
      <c r="H83" s="425" t="n">
        <f aca="false">H47</f>
        <v>1148.54199265886</v>
      </c>
      <c r="I83" s="211"/>
      <c r="J83" s="211"/>
      <c r="K83" s="212"/>
      <c r="L83" s="63"/>
      <c r="M83" s="424" t="s">
        <v>106</v>
      </c>
      <c r="N83" s="425" t="n">
        <f aca="false">H47</f>
        <v>1148.54199265886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((B83*H29)+B81)</f>
        <v>47634.1457847267</v>
      </c>
      <c r="C85" s="211"/>
      <c r="D85" s="211"/>
      <c r="E85" s="212"/>
      <c r="F85" s="63"/>
      <c r="G85" s="404" t="s">
        <v>116</v>
      </c>
      <c r="H85" s="127" t="n">
        <f aca="false">((H83*H29)+H81)*1.2</f>
        <v>56687.9749416721</v>
      </c>
      <c r="I85" s="211"/>
      <c r="J85" s="211"/>
      <c r="K85" s="212"/>
      <c r="L85" s="63"/>
      <c r="M85" s="404" t="s">
        <v>116</v>
      </c>
      <c r="N85" s="127" t="n">
        <f aca="false">((N83*H29)+N81)</f>
        <v>46909.9791180601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(B85/(1-B70))*B70</f>
        <v>403.51636203278</v>
      </c>
      <c r="C86" s="211"/>
      <c r="D86" s="211"/>
      <c r="E86" s="212"/>
      <c r="F86" s="63"/>
      <c r="G86" s="210" t="s">
        <v>117</v>
      </c>
      <c r="H86" s="419" t="n">
        <f aca="false">((((H83*H29)+H81))/(1-H70))*H70</f>
        <v>400.177314029553</v>
      </c>
      <c r="I86" s="211"/>
      <c r="J86" s="211"/>
      <c r="K86" s="212"/>
      <c r="L86" s="63"/>
      <c r="M86" s="210" t="s">
        <v>117</v>
      </c>
      <c r="N86" s="419" t="n">
        <f aca="false">(N85/(1-N70))*N70</f>
        <v>397.381831980339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IF(B110="YES",((B85+B86)-E114),(B85+B86))</f>
        <v>48037.6621467595</v>
      </c>
      <c r="C87" s="211"/>
      <c r="D87" s="211"/>
      <c r="E87" s="212"/>
      <c r="F87" s="63"/>
      <c r="G87" s="310" t="s">
        <v>118</v>
      </c>
      <c r="H87" s="129" t="n">
        <f aca="false">IF(H110="YES",((H85+H86)-K114),(H85+H86))</f>
        <v>57088.1522557016</v>
      </c>
      <c r="I87" s="211"/>
      <c r="J87" s="211"/>
      <c r="K87" s="212"/>
      <c r="L87" s="63"/>
      <c r="M87" s="310" t="s">
        <v>118</v>
      </c>
      <c r="N87" s="129" t="n">
        <f aca="false">IF(N110="YES",((N85+N86)-Q114),(N85+N86))</f>
        <v>47307.3609500404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23" t="n">
        <f aca="false">IF(B99=Y98, (D40+(D40*B105))/(B58), (D40+(D40*B105))/(B57+B58))*(C45/100)</f>
        <v>174.174</v>
      </c>
      <c r="C89" s="211"/>
      <c r="D89" s="211"/>
      <c r="E89" s="212"/>
      <c r="F89" s="63"/>
      <c r="G89" s="422" t="s">
        <v>119</v>
      </c>
      <c r="H89" s="423" t="n">
        <f aca="false">IF(H99=Y98, (D40+(D40*H105))/(H58), (D40+(D40*H105))/(H57+H58))*1.2</f>
        <v>168.8148</v>
      </c>
      <c r="I89" s="211"/>
      <c r="J89" s="211"/>
      <c r="K89" s="212"/>
      <c r="L89" s="63"/>
      <c r="M89" s="422" t="s">
        <v>119</v>
      </c>
      <c r="N89" s="42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IF(B99=Y98, (B87-D105)/(B58), B87/(B57+B58))</f>
        <v>1372.50463276456</v>
      </c>
      <c r="C90" s="211"/>
      <c r="D90" s="211"/>
      <c r="E90" s="212"/>
      <c r="F90" s="63"/>
      <c r="G90" s="427" t="s">
        <v>120</v>
      </c>
      <c r="H90" s="428" t="n">
        <f aca="false">IF(H99=Y98, (H87-J105)/(H58), H87/(H57+H58))</f>
        <v>1427.20380639254</v>
      </c>
      <c r="I90" s="211"/>
      <c r="J90" s="211"/>
      <c r="K90" s="212"/>
      <c r="L90" s="63"/>
      <c r="M90" s="427" t="s">
        <v>120</v>
      </c>
      <c r="N90" s="428" t="n">
        <f aca="false">IF(N99=Y98, (N87-P105)/(N58), N87/(N57+N58))</f>
        <v>1182.68402375101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1546.67863276456</v>
      </c>
      <c r="C91" s="211"/>
      <c r="D91" s="211"/>
      <c r="E91" s="212"/>
      <c r="F91" s="63"/>
      <c r="G91" s="429" t="s">
        <v>121</v>
      </c>
      <c r="H91" s="430" t="n">
        <f aca="false">IF(G105="YES", H90+H89, H90)</f>
        <v>1596.01860639254</v>
      </c>
      <c r="I91" s="211"/>
      <c r="J91" s="211"/>
      <c r="K91" s="212"/>
      <c r="L91" s="63"/>
      <c r="M91" s="429" t="s">
        <v>121</v>
      </c>
      <c r="N91" s="430" t="n">
        <f aca="false">IF(M105="YES", N90+N89, N90)</f>
        <v>1323.36302375101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287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209" t="s">
        <v>287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213" t="s">
        <v>126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265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210" t="s">
        <v>127</v>
      </c>
      <c r="N98" s="211" t="s">
        <v>23</v>
      </c>
      <c r="O98" s="211"/>
      <c r="P98" s="211" t="s">
        <v>288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289</v>
      </c>
      <c r="B99" s="331" t="s">
        <v>130</v>
      </c>
      <c r="C99" s="331"/>
      <c r="D99" s="103" t="n">
        <v>1000.0</v>
      </c>
      <c r="E99" s="103"/>
      <c r="F99" s="63"/>
      <c r="G99" s="216" t="s">
        <v>289</v>
      </c>
      <c r="H99" s="331" t="s">
        <v>261</v>
      </c>
      <c r="I99" s="331"/>
      <c r="J99" s="103" t="n">
        <v>0</v>
      </c>
      <c r="K99" s="103"/>
      <c r="L99" s="63"/>
      <c r="M99" s="216" t="s">
        <v>289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292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210" t="s">
        <v>290</v>
      </c>
      <c r="N101" s="211" t="s">
        <v>291</v>
      </c>
      <c r="O101" s="211"/>
      <c r="P101" s="211" t="s">
        <v>292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400.0</v>
      </c>
      <c r="C102" s="103"/>
      <c r="D102" s="103" t="n">
        <v>200.0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216" t="s">
        <v>128</v>
      </c>
      <c r="N104" s="63" t="s">
        <v>131</v>
      </c>
      <c r="O104" s="211"/>
      <c r="P104" s="211" t="s">
        <v>142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387</v>
      </c>
      <c r="B105" s="334" t="n">
        <v>0.0</v>
      </c>
      <c r="C105" s="334"/>
      <c r="D105" s="103" t="n">
        <v>200.0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293</v>
      </c>
      <c r="C107" s="218" t="s">
        <v>388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293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294</v>
      </c>
      <c r="B108" s="213"/>
      <c r="C108" s="213"/>
      <c r="D108" s="213"/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213" t="s">
        <v>294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295</v>
      </c>
      <c r="B110" s="218" t="s">
        <v>387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210" t="s">
        <v>295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10000.0</v>
      </c>
      <c r="E112" s="103" t="n">
        <v>6000.0</v>
      </c>
      <c r="F112" s="63"/>
      <c r="G112" s="210" t="s">
        <v>176</v>
      </c>
      <c r="H112" s="211"/>
      <c r="I112" s="211"/>
      <c r="J112" s="333" t="n">
        <v>0</v>
      </c>
      <c r="K112" s="103" t="n">
        <v>0</v>
      </c>
      <c r="L112" s="63"/>
      <c r="M112" s="210" t="s">
        <v>176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177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177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178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0</v>
      </c>
      <c r="K115" s="212"/>
      <c r="L115" s="63"/>
      <c r="M115" s="210" t="s">
        <v>179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f aca="false">D99</f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404" t="s">
        <v>138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296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296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213" t="s">
        <v>297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0.0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210" t="s">
        <v>183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300</v>
      </c>
      <c r="H126" s="434" t="s">
        <v>301</v>
      </c>
      <c r="I126" s="434"/>
      <c r="J126" s="434" t="s">
        <v>302</v>
      </c>
      <c r="K126" s="212"/>
      <c r="L126" s="63"/>
      <c r="M126" s="433" t="s">
        <v>303</v>
      </c>
      <c r="N126" s="434" t="s">
        <v>248</v>
      </c>
      <c r="O126" s="434"/>
      <c r="P126" s="434" t="s">
        <v>121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348" t="n">
        <f aca="false">H90</f>
        <v>1427.20380639254</v>
      </c>
      <c r="H127" s="174" t="n">
        <f aca="false">IF(G105="YES", H89*H57, 0)</f>
        <v>1012.8888</v>
      </c>
      <c r="I127" s="174"/>
      <c r="J127" s="349" t="n">
        <f aca="false">H91</f>
        <v>1596.01860639254</v>
      </c>
      <c r="K127" s="212"/>
      <c r="L127" s="63"/>
      <c r="M127" s="348" t="n">
        <f aca="false">N90</f>
        <v>1182.68402375101</v>
      </c>
      <c r="N127" s="174" t="n">
        <f aca="false">IF(M105="YES", N89*N57, 0)</f>
        <v>844.074</v>
      </c>
      <c r="O127" s="174"/>
      <c r="P127" s="174" t="n">
        <f aca="false">N91</f>
        <v>1323.36302375101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1372.50463276456</v>
      </c>
      <c r="B128" s="338" t="n">
        <f aca="false">IF(A105="YES", B89, 0)</f>
        <v>174.174</v>
      </c>
      <c r="C128" s="342"/>
      <c r="D128" s="338" t="n">
        <f aca="false">B91</f>
        <v>1546.67863276456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84</v>
      </c>
      <c r="H129" s="211" t="s">
        <v>85</v>
      </c>
      <c r="I129" s="211"/>
      <c r="J129" s="211" t="s">
        <v>87</v>
      </c>
      <c r="K129" s="212"/>
      <c r="L129" s="63"/>
      <c r="M129" s="210" t="s">
        <v>84</v>
      </c>
      <c r="N129" s="211" t="s">
        <v>85</v>
      </c>
      <c r="O129" s="211"/>
      <c r="P129" s="211" t="s">
        <v>87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1372.50463276456</v>
      </c>
      <c r="C131" s="280"/>
      <c r="D131" s="38" t="n">
        <f aca="false">IF(A105="YES", B89*B57, 0)</f>
        <v>174.174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210" t="s">
        <v>309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8563.22283835524</v>
      </c>
      <c r="H133" s="99" t="n">
        <f aca="false">IF(G105="YES", H89*H57, 0)</f>
        <v>1012.8888</v>
      </c>
      <c r="I133" s="217"/>
      <c r="J133" s="181" t="n">
        <f aca="false">H91*H57</f>
        <v>9576.11163835524</v>
      </c>
      <c r="K133" s="212"/>
      <c r="L133" s="63"/>
      <c r="M133" s="182" t="n">
        <f aca="false">N90*N57</f>
        <v>7096.10414250606</v>
      </c>
      <c r="N133" s="99" t="n">
        <f aca="false">IF(M105="YES", N89*N57, 0)</f>
        <v>844.074</v>
      </c>
      <c r="O133" s="217"/>
      <c r="P133" s="181" t="n">
        <f aca="false">N91*N57</f>
        <v>7940.17814250606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1546.67863276456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1372.50463276456</v>
      </c>
      <c r="B137" s="38" t="n">
        <f aca="false">IF(A105="YES", B89, 0)</f>
        <v>174.174</v>
      </c>
      <c r="C137" s="280"/>
      <c r="D137" s="38" t="n">
        <f aca="false">B91</f>
        <v>1546.67863276456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210" t="s">
        <v>141</v>
      </c>
      <c r="N138" s="211" t="s">
        <v>316</v>
      </c>
      <c r="O138" s="211"/>
      <c r="P138" s="211" t="s">
        <v>317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210" t="s">
        <v>319</v>
      </c>
      <c r="N141" s="211" t="s">
        <v>320</v>
      </c>
      <c r="O141" s="211"/>
      <c r="P141" s="211" t="s">
        <v>321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210" t="s">
        <v>323</v>
      </c>
      <c r="N144" s="211" t="s">
        <v>324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329</v>
      </c>
      <c r="N147" s="163" t="s">
        <v>330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331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1596.01860639254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84</v>
      </c>
      <c r="N153" s="247" t="s">
        <v>85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1323.36302375101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1546.67863276456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1372.50463276456</v>
      </c>
      <c r="B177" s="367" t="n">
        <f aca="false">IF(A105="YES", B89, 0)</f>
        <v>174.174</v>
      </c>
      <c r="C177" s="369"/>
      <c r="D177" s="367" t="n">
        <f aca="false">B91</f>
        <v>1546.67863276456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1372.50463276456</v>
      </c>
      <c r="C180" s="282"/>
      <c r="D180" s="99" t="n">
        <f aca="false">IF(A105="YES", B89*B57, 0)</f>
        <v>174.174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1546.67863276456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1372.50463276456</v>
      </c>
      <c r="B186" s="99" t="n">
        <f aca="false">IF(A105="YES", B89, 0)</f>
        <v>174.174</v>
      </c>
      <c r="C186" s="282"/>
      <c r="D186" s="99" t="n">
        <f aca="false">B91</f>
        <v>1546.67863276456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D64</f>
        <v>5993.509375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1133.58125</v>
      </c>
      <c r="C211" s="337" t="s">
        <v>216</v>
      </c>
      <c r="D211" s="377" t="n">
        <f aca="false">B225+E221+B221+B223</f>
        <v>1746.78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6606.708125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D64</f>
        <v>5993.509375</v>
      </c>
      <c r="C217" s="381" t="s">
        <v>220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B67</f>
        <v>1133.58125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B78-(B78*(E219*100))</f>
        <v>200</v>
      </c>
      <c r="C223" s="351" t="s">
        <v>217</v>
      </c>
      <c r="D223" s="280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1406.79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B71</f>
        <v>200</v>
      </c>
      <c r="C229" s="351" t="s">
        <v>225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B68</f>
        <v>0.0075</v>
      </c>
      <c r="C231" s="351" t="s">
        <v>228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B86</f>
        <v>403.51636203278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B79</f>
        <v>200</v>
      </c>
      <c r="C233" s="387" t="s">
        <v>338</v>
      </c>
      <c r="D233" s="388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B80</f>
        <v>200</v>
      </c>
      <c r="C235" s="391" t="s">
        <v>339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262" t="n">
        <v>16745.0</v>
      </c>
      <c r="C3" s="497" t="n">
        <v>0.0</v>
      </c>
      <c r="D3" s="262" t="n">
        <v>0.0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0" t="n">
        <v>0.0</v>
      </c>
      <c r="C4" s="0" t="n">
        <v>0.0</v>
      </c>
      <c r="D4" s="0" t="n">
        <v>0.0</v>
      </c>
      <c r="E4" s="308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695.0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275.0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347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128</v>
      </c>
      <c r="B26" s="218" t="s">
        <v>388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182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183</v>
      </c>
      <c r="B30" s="169" t="s">
        <v>391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5250.0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84</v>
      </c>
      <c r="B32" s="211" t="s">
        <v>85</v>
      </c>
      <c r="C32" s="211"/>
      <c r="D32" s="457" t="s">
        <v>349</v>
      </c>
      <c r="E32" s="212"/>
      <c r="F32" s="63"/>
      <c r="G32" s="214" t="s">
        <v>36</v>
      </c>
      <c r="I32" s="445" t="n">
        <v>3509.1000000000004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1334.55835324858</v>
      </c>
      <c r="E33" s="212"/>
      <c r="F33" s="63"/>
      <c r="G33" s="215" t="s">
        <v>350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351</v>
      </c>
      <c r="B35" s="211" t="s">
        <v>352</v>
      </c>
      <c r="C35" s="211"/>
      <c r="D35" s="211" t="s">
        <v>353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1334.55835324858</v>
      </c>
      <c r="B36" s="99" t="str">
        <f aca="false">IF(B26="YES", H42, "")</f>
        <v/>
      </c>
      <c r="C36" s="217"/>
      <c r="D36" s="181" t="n">
        <f aca="false">H31</f>
        <v>28900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354</v>
      </c>
      <c r="B39" s="211" t="s">
        <v>355</v>
      </c>
      <c r="C39" s="211"/>
      <c r="D39" s="211" t="s">
        <v>356</v>
      </c>
      <c r="E39" s="212"/>
      <c r="F39" s="63"/>
      <c r="G39" s="63" t="s">
        <v>86</v>
      </c>
      <c r="H39" s="234" t="n">
        <f aca="false">H33</f>
        <v>48877.5</v>
      </c>
      <c r="I39" s="234" t="n">
        <f aca="false">(I48*H46)+H44</f>
        <v>50231.2921912742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28900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108</v>
      </c>
      <c r="H40" s="234" t="n">
        <f aca="false">(A40)/1.2</f>
        <v>24083.3333333333</v>
      </c>
      <c r="I40" s="234" t="n">
        <f aca="false">H39-I39</f>
        <v>-1353.79219127425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357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358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359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78</v>
      </c>
      <c r="B44" s="211"/>
      <c r="C44" s="373" t="s">
        <v>79</v>
      </c>
      <c r="D44" s="373"/>
      <c r="E44" s="212"/>
      <c r="F44" s="63"/>
      <c r="G44" s="63" t="s">
        <v>369</v>
      </c>
      <c r="H44" s="234" t="n">
        <f aca="false">(H40/(1+H41)^(H34+1))</f>
        <v>21269.4741156504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370</v>
      </c>
      <c r="H45" s="234" t="n">
        <f aca="false">(H39-H44)</f>
        <v>27608.0258843496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363</v>
      </c>
      <c r="H47" s="234" t="n">
        <f aca="false">H45/H46</f>
        <v>1334.55835324858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463" t="s">
        <v>364</v>
      </c>
      <c r="H48" s="234" t="n">
        <f aca="false">IF(B26="YES", H47+H42, H47)</f>
        <v>1334.55835324858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365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1334.55835324858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86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86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87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87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304" t="s">
        <v>277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B62+(B62*0.25*(H29/12-1))</f>
        <v>0.0845833333333333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B61*B63</f>
        <v>4896.10625</v>
      </c>
      <c r="C64" s="211" t="n">
        <v>10000.0</v>
      </c>
      <c r="D64" s="277" t="n">
        <f aca="false">B64-A143</f>
        <v>4896.10625</v>
      </c>
      <c r="E64" s="465" t="n">
        <f aca="false">D64/(B58+B57)</f>
        <v>222.550284090909</v>
      </c>
      <c r="F64" s="63"/>
      <c r="G64" s="310" t="s">
        <v>92</v>
      </c>
      <c r="H64" s="129" t="n">
        <f aca="false">H61*H63</f>
        <v>4896.10625</v>
      </c>
      <c r="I64" s="211"/>
      <c r="J64" s="277" t="n">
        <f aca="false">H64-G145</f>
        <v>4896.10625</v>
      </c>
      <c r="K64" s="212"/>
      <c r="L64" s="63"/>
      <c r="M64" s="310" t="s">
        <v>92</v>
      </c>
      <c r="N64" s="129" t="n">
        <f aca="false">N61*N63</f>
        <v>4896.10625</v>
      </c>
      <c r="O64" s="211"/>
      <c r="P64" s="277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11"/>
      <c r="E65" s="212"/>
      <c r="F65" s="63"/>
      <c r="G65" s="304" t="s">
        <v>93</v>
      </c>
      <c r="H65" s="305" t="n">
        <v>0.01</v>
      </c>
      <c r="I65" s="211"/>
      <c r="J65" s="211"/>
      <c r="K65" s="212"/>
      <c r="L65" s="63"/>
      <c r="M65" s="304" t="s">
        <v>93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0.0141666666666667</v>
      </c>
      <c r="C66" s="211"/>
      <c r="D66" s="211"/>
      <c r="E66" s="212"/>
      <c r="F66" s="63"/>
      <c r="G66" s="210" t="s">
        <v>94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94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E15*B66</f>
        <v>820.0375</v>
      </c>
      <c r="C67" s="211"/>
      <c r="D67" s="277"/>
      <c r="E67" s="212"/>
      <c r="F67" s="63"/>
      <c r="G67" s="310" t="s">
        <v>95</v>
      </c>
      <c r="H67" s="129" t="n">
        <f aca="false">(H61*H66)/1.2</f>
        <v>683.364583333333</v>
      </c>
      <c r="I67" s="211"/>
      <c r="J67" s="277"/>
      <c r="K67" s="212"/>
      <c r="L67" s="63"/>
      <c r="M67" s="310" t="s">
        <v>95</v>
      </c>
      <c r="N67" s="129" t="n">
        <f aca="false">(N61*N66)/1.2</f>
        <v>683.364583333333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211"/>
      <c r="D68" s="211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304" t="s">
        <v>96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407" t="s">
        <v>97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310" t="s">
        <v>98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200.0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304" t="s">
        <v>99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5.0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407" t="s">
        <v>100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110</v>
      </c>
      <c r="C73" s="211"/>
      <c r="D73" s="277" t="n">
        <f aca="false">B73+B71</f>
        <v>310</v>
      </c>
      <c r="E73" s="212"/>
      <c r="F73" s="63"/>
      <c r="G73" s="310" t="s">
        <v>101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101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0.0</v>
      </c>
      <c r="C74" s="211"/>
      <c r="D74" s="211"/>
      <c r="E74" s="212"/>
      <c r="F74" s="63"/>
      <c r="G74" s="304" t="s">
        <v>279</v>
      </c>
      <c r="H74" s="410" t="n">
        <v>165</v>
      </c>
      <c r="I74" s="211"/>
      <c r="J74" s="211"/>
      <c r="K74" s="212"/>
      <c r="L74" s="63"/>
      <c r="M74" s="413" t="s">
        <v>279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0.0</v>
      </c>
      <c r="C75" s="211"/>
      <c r="D75" s="211"/>
      <c r="E75" s="212"/>
      <c r="F75" s="63"/>
      <c r="G75" s="407" t="s">
        <v>280</v>
      </c>
      <c r="H75" s="411" t="n">
        <v>0</v>
      </c>
      <c r="I75" s="211"/>
      <c r="J75" s="211"/>
      <c r="K75" s="212"/>
      <c r="L75" s="63"/>
      <c r="M75" s="415" t="s">
        <v>280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((B74+B75)/12)*(H29-11)</f>
        <v>476.666666666667</v>
      </c>
      <c r="C76" s="211"/>
      <c r="D76" s="277" t="n">
        <f aca="false">B76</f>
        <v>476.666666666667</v>
      </c>
      <c r="E76" s="212"/>
      <c r="F76" s="63"/>
      <c r="G76" s="310" t="s">
        <v>281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281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282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465" t="n">
        <f aca="false">D77/(B58+B57)</f>
        <v>20.2020202020202</v>
      </c>
      <c r="F77" s="63"/>
      <c r="G77" s="304" t="s">
        <v>282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282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465"/>
      <c r="F78" s="63"/>
      <c r="G78" s="210" t="s">
        <v>284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284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200.0</v>
      </c>
      <c r="C79" s="211"/>
      <c r="D79" s="277" t="n">
        <f aca="false">B79</f>
        <v>200</v>
      </c>
      <c r="E79" s="465"/>
      <c r="F79" s="63"/>
      <c r="G79" s="407" t="s">
        <v>102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102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200.0</v>
      </c>
      <c r="C80" s="211"/>
      <c r="D80" s="277" t="n">
        <f aca="false">B80</f>
        <v>200</v>
      </c>
      <c r="E80" s="465" t="n">
        <f aca="false">(D73+D76+D79+D80)/(B58+B57)</f>
        <v>53.9393939393939</v>
      </c>
      <c r="F80" s="63"/>
      <c r="G80" s="420" t="s">
        <v>103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103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6749.43958333333</v>
      </c>
      <c r="C81" s="211"/>
      <c r="D81" s="211"/>
      <c r="E81" s="465"/>
      <c r="F81" s="63"/>
      <c r="G81" s="422" t="s">
        <v>104</v>
      </c>
      <c r="H81" s="423" t="n">
        <f aca="false">SUM(J64:J80)</f>
        <v>5706.35625</v>
      </c>
      <c r="I81" s="211"/>
      <c r="J81" s="211"/>
      <c r="K81" s="212"/>
      <c r="L81" s="63"/>
      <c r="M81" s="422" t="s">
        <v>104</v>
      </c>
      <c r="N81" s="42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306.792708333333</v>
      </c>
      <c r="C82" s="211"/>
      <c r="D82" s="211"/>
      <c r="E82" s="465"/>
      <c r="F82" s="63"/>
      <c r="G82" s="210" t="s">
        <v>105</v>
      </c>
      <c r="H82" s="419" t="n">
        <f aca="false">H81/H29</f>
        <v>259.379829545455</v>
      </c>
      <c r="I82" s="211"/>
      <c r="J82" s="211"/>
      <c r="K82" s="212"/>
      <c r="L82" s="63"/>
      <c r="M82" s="210" t="s">
        <v>105</v>
      </c>
      <c r="N82" s="41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H47</f>
        <v>1334.55835324858</v>
      </c>
      <c r="C83" s="211"/>
      <c r="D83" s="211"/>
      <c r="E83" s="465" t="n">
        <f aca="false">B83+E80+E77+E64</f>
        <v>1631.2500514809</v>
      </c>
      <c r="F83" s="63"/>
      <c r="G83" s="424" t="s">
        <v>106</v>
      </c>
      <c r="H83" s="425" t="n">
        <f aca="false">H47</f>
        <v>1334.55835324858</v>
      </c>
      <c r="I83" s="211"/>
      <c r="J83" s="211"/>
      <c r="K83" s="212"/>
      <c r="L83" s="63"/>
      <c r="M83" s="424" t="s">
        <v>106</v>
      </c>
      <c r="N83" s="425" t="n">
        <f aca="false">H47</f>
        <v>1334.55835324858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((B83*H29)+B81)*1.2</f>
        <v>43331.6680257625</v>
      </c>
      <c r="C85" s="211"/>
      <c r="D85" s="211"/>
      <c r="E85" s="465" t="n">
        <f aca="false">B85/(B58+B57)</f>
        <v>1969.62127389829</v>
      </c>
      <c r="F85" s="63"/>
      <c r="G85" s="404" t="s">
        <v>116</v>
      </c>
      <c r="H85" s="127" t="n">
        <f aca="false">((H83*H29)+H81)*1.2</f>
        <v>42079.9680257624</v>
      </c>
      <c r="I85" s="211"/>
      <c r="J85" s="211"/>
      <c r="K85" s="212"/>
      <c r="L85" s="63"/>
      <c r="M85" s="404" t="s">
        <v>116</v>
      </c>
      <c r="N85" s="127" t="n">
        <f aca="false">((N83*H29)+N81)</f>
        <v>34915.3900214687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((((B83*H29)+B81))/(1-B70))*B70</f>
        <v>305.891161940638</v>
      </c>
      <c r="C86" s="211"/>
      <c r="D86" s="211"/>
      <c r="E86" s="465" t="n">
        <f aca="false">B86/(B58+B57)</f>
        <v>13.9041437245745</v>
      </c>
      <c r="F86" s="63"/>
      <c r="G86" s="210" t="s">
        <v>117</v>
      </c>
      <c r="H86" s="419" t="n">
        <f aca="false">((((H83*H29)+H81))/(1-H70))*H70</f>
        <v>297.055038503769</v>
      </c>
      <c r="I86" s="211"/>
      <c r="J86" s="211"/>
      <c r="K86" s="212"/>
      <c r="L86" s="63"/>
      <c r="M86" s="210" t="s">
        <v>117</v>
      </c>
      <c r="N86" s="419" t="n">
        <f aca="false">(N85/(1-N70))*N70</f>
        <v>295.773775897879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IF(B110="YES",((B85+B86)-E114),(B85+B86))</f>
        <v>43637.5591877031</v>
      </c>
      <c r="C87" s="211"/>
      <c r="D87" s="211"/>
      <c r="E87" s="465" t="n">
        <f aca="false">E86+E85</f>
        <v>1983.52541762287</v>
      </c>
      <c r="F87" s="63"/>
      <c r="G87" s="310" t="s">
        <v>118</v>
      </c>
      <c r="H87" s="129" t="n">
        <f aca="false">IF(H110="YES",((H85+H86)-K114),(H85+H86))</f>
        <v>42377.0230642662</v>
      </c>
      <c r="I87" s="211"/>
      <c r="J87" s="211"/>
      <c r="K87" s="212"/>
      <c r="L87" s="63"/>
      <c r="M87" s="310" t="s">
        <v>118</v>
      </c>
      <c r="N87" s="129" t="n">
        <f aca="false">IF(N110="YES",((N85+N86)-Q114),(N85+N86))</f>
        <v>35211.1637973666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23" t="n">
        <f aca="false">IF(B99=Y98, (D40+(D40*B105))/(B58), (D40+(D40*B105))/(B57+B58))*1.2*(C45/100)</f>
        <v>0</v>
      </c>
      <c r="C89" s="211"/>
      <c r="D89" s="211"/>
      <c r="E89" s="212"/>
      <c r="F89" s="63"/>
      <c r="G89" s="422" t="s">
        <v>119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119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IF(B99=Y98, (B87-D105)/(B58), B87/(B57+B58))</f>
        <v>1983.52541762287</v>
      </c>
      <c r="C90" s="211"/>
      <c r="D90" s="211"/>
      <c r="E90" s="212"/>
      <c r="F90" s="63"/>
      <c r="G90" s="427" t="s">
        <v>120</v>
      </c>
      <c r="H90" s="428" t="n">
        <f aca="false">IF(H99=Y98, (H87-J105)/(H58), H87/(H57+H58))</f>
        <v>1569.5193727506</v>
      </c>
      <c r="I90" s="211"/>
      <c r="J90" s="211"/>
      <c r="K90" s="212"/>
      <c r="L90" s="63"/>
      <c r="M90" s="427" t="s">
        <v>120</v>
      </c>
      <c r="N90" s="428" t="n">
        <f aca="false">IF(N99=Y98, (N87-P105)/(N58), N87/(N57+N58))</f>
        <v>1304.11717768024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1983.52541762287</v>
      </c>
      <c r="C91" s="211"/>
      <c r="D91" s="211"/>
      <c r="E91" s="212"/>
      <c r="F91" s="63"/>
      <c r="G91" s="429" t="s">
        <v>121</v>
      </c>
      <c r="H91" s="430" t="n">
        <f aca="false">IF(G105="YES", H90+H89, H90)</f>
        <v>1569.5193727506</v>
      </c>
      <c r="I91" s="211"/>
      <c r="J91" s="211"/>
      <c r="K91" s="212"/>
      <c r="L91" s="63"/>
      <c r="M91" s="429" t="s">
        <v>121</v>
      </c>
      <c r="N91" s="430" t="n">
        <f aca="false">IF(M105="YES", N90+N89, N90)</f>
        <v>1304.11717768024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286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209" t="s">
        <v>287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213" t="s">
        <v>126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265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210" t="s">
        <v>127</v>
      </c>
      <c r="N98" s="211" t="s">
        <v>23</v>
      </c>
      <c r="O98" s="211"/>
      <c r="P98" s="211" t="s">
        <v>288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289</v>
      </c>
      <c r="B99" s="331" t="s">
        <v>340</v>
      </c>
      <c r="C99" s="331"/>
      <c r="D99" s="103" t="n">
        <v>1000.0</v>
      </c>
      <c r="E99" s="103"/>
      <c r="F99" s="63"/>
      <c r="G99" s="216" t="s">
        <v>289</v>
      </c>
      <c r="H99" s="331" t="s">
        <v>261</v>
      </c>
      <c r="I99" s="331"/>
      <c r="J99" s="103" t="n">
        <v>0</v>
      </c>
      <c r="K99" s="103"/>
      <c r="L99" s="63"/>
      <c r="M99" s="216" t="s">
        <v>289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292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210" t="s">
        <v>290</v>
      </c>
      <c r="N101" s="211" t="s">
        <v>291</v>
      </c>
      <c r="O101" s="211"/>
      <c r="P101" s="211" t="s">
        <v>292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400.0</v>
      </c>
      <c r="C102" s="103"/>
      <c r="D102" s="103" t="n">
        <v>200.0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216" t="s">
        <v>128</v>
      </c>
      <c r="N104" s="63" t="s">
        <v>131</v>
      </c>
      <c r="O104" s="211"/>
      <c r="P104" s="211" t="s">
        <v>142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388</v>
      </c>
      <c r="B105" s="334" t="n">
        <v>0.3</v>
      </c>
      <c r="C105" s="334"/>
      <c r="D105" s="103" t="s">
        <v>392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293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294</v>
      </c>
      <c r="B108" s="213"/>
      <c r="C108" s="213"/>
      <c r="D108" s="213"/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213" t="s">
        <v>294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295</v>
      </c>
      <c r="B110" s="218" t="s">
        <v>387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210" t="s">
        <v>295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10000.0</v>
      </c>
      <c r="E112" s="103" t="n">
        <v>6000.0</v>
      </c>
      <c r="F112" s="63"/>
      <c r="G112" s="210" t="s">
        <v>176</v>
      </c>
      <c r="H112" s="211"/>
      <c r="I112" s="211"/>
      <c r="J112" s="333" t="n">
        <v>0</v>
      </c>
      <c r="K112" s="103" t="n">
        <v>0</v>
      </c>
      <c r="L112" s="63"/>
      <c r="M112" s="210" t="s">
        <v>176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177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177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178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0</v>
      </c>
      <c r="K115" s="212"/>
      <c r="L115" s="63"/>
      <c r="M115" s="210" t="s">
        <v>179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f aca="false">D99</f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404" t="s">
        <v>138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((E118/1.2)+E117)-(D115-E113)</f>
        <v>-800.008333333333</v>
      </c>
      <c r="F119" s="63"/>
      <c r="G119" s="432" t="s">
        <v>296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296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213" t="s">
        <v>297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0.0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210" t="s">
        <v>183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300</v>
      </c>
      <c r="H126" s="434" t="s">
        <v>301</v>
      </c>
      <c r="I126" s="434"/>
      <c r="J126" s="434" t="s">
        <v>302</v>
      </c>
      <c r="K126" s="212"/>
      <c r="L126" s="63"/>
      <c r="M126" s="433" t="s">
        <v>303</v>
      </c>
      <c r="N126" s="434" t="s">
        <v>248</v>
      </c>
      <c r="O126" s="434"/>
      <c r="P126" s="434" t="s">
        <v>121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348" t="n">
        <f aca="false">H90</f>
        <v>1569.5193727506</v>
      </c>
      <c r="H127" s="174" t="n">
        <f aca="false">IF(G105="YES", H89*H57, 0)</f>
        <v>0</v>
      </c>
      <c r="I127" s="174"/>
      <c r="J127" s="349" t="n">
        <f aca="false">H91</f>
        <v>1569.5193727506</v>
      </c>
      <c r="K127" s="212"/>
      <c r="L127" s="63"/>
      <c r="M127" s="348" t="n">
        <f aca="false">N90</f>
        <v>1304.11717768024</v>
      </c>
      <c r="N127" s="174" t="n">
        <f aca="false">IF(M105="YES", N89*N57, 0)</f>
        <v>0</v>
      </c>
      <c r="O127" s="174"/>
      <c r="P127" s="174" t="n">
        <f aca="false">N91</f>
        <v>1304.11717768024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1983.52541762287</v>
      </c>
      <c r="B128" s="338" t="n">
        <f aca="false">IF(A105="YES", B89, 0)</f>
        <v>0</v>
      </c>
      <c r="C128" s="342"/>
      <c r="D128" s="338" t="n">
        <f aca="false">B91</f>
        <v>1983.52541762287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84</v>
      </c>
      <c r="H129" s="211" t="s">
        <v>85</v>
      </c>
      <c r="I129" s="211"/>
      <c r="J129" s="211" t="s">
        <v>87</v>
      </c>
      <c r="K129" s="212"/>
      <c r="L129" s="63"/>
      <c r="M129" s="210" t="s">
        <v>84</v>
      </c>
      <c r="N129" s="211" t="s">
        <v>85</v>
      </c>
      <c r="O129" s="211"/>
      <c r="P129" s="211" t="s">
        <v>87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17851.7287586058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210" t="s">
        <v>309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9417.1162365036</v>
      </c>
      <c r="H133" s="99" t="n">
        <f aca="false">IF(G105="YES", H89*H57, 0)</f>
        <v>0</v>
      </c>
      <c r="I133" s="217"/>
      <c r="J133" s="181" t="n">
        <f aca="false">H91*H57</f>
        <v>9417.1162365036</v>
      </c>
      <c r="K133" s="212"/>
      <c r="L133" s="63"/>
      <c r="M133" s="182" t="n">
        <f aca="false">N90*N57</f>
        <v>7824.70306608146</v>
      </c>
      <c r="N133" s="99" t="n">
        <f aca="false">IF(M105="YES", N89*N57, 0)</f>
        <v>0</v>
      </c>
      <c r="O133" s="217"/>
      <c r="P133" s="181" t="n">
        <f aca="false">N91*N57</f>
        <v>7824.70306608146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17851.7287586058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1983.52541762287</v>
      </c>
      <c r="B137" s="38" t="n">
        <f aca="false">IF(A105="YES", B89, 0)</f>
        <v>0</v>
      </c>
      <c r="C137" s="280"/>
      <c r="D137" s="38" t="n">
        <f aca="false">B91</f>
        <v>1983.52541762287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210" t="s">
        <v>141</v>
      </c>
      <c r="N138" s="211" t="s">
        <v>316</v>
      </c>
      <c r="O138" s="211"/>
      <c r="P138" s="211" t="s">
        <v>317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0</v>
      </c>
      <c r="C140" s="280"/>
      <c r="D140" s="358" t="n">
        <f aca="false">A140+B140</f>
        <v>41.6772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210" t="s">
        <v>319</v>
      </c>
      <c r="N141" s="211" t="s">
        <v>320</v>
      </c>
      <c r="O141" s="211"/>
      <c r="P141" s="211" t="s">
        <v>321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210" t="s">
        <v>323</v>
      </c>
      <c r="N144" s="211" t="s">
        <v>324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329</v>
      </c>
      <c r="N147" s="163" t="s">
        <v>330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1320.02916666667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331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1569.5193727506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84</v>
      </c>
      <c r="N153" s="247" t="s">
        <v>85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1304.11717768024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1983.52541762287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1983.52541762287</v>
      </c>
      <c r="B177" s="367" t="n">
        <f aca="false">IF(A105="YES", B89, 0)</f>
        <v>0</v>
      </c>
      <c r="C177" s="369"/>
      <c r="D177" s="367" t="n">
        <f aca="false">B91</f>
        <v>1983.52541762287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Terminal pause with 9 down </v>
      </c>
      <c r="B180" s="99" t="n">
        <f aca="false">B90*B57</f>
        <v>17851.7287586058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17851.7287586058</v>
      </c>
      <c r="B183" s="99" t="n">
        <f aca="false">E114</f>
        <v>4000</v>
      </c>
      <c r="C183" s="282"/>
      <c r="D183" s="371" t="n">
        <f aca="false">B58</f>
        <v>13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1983.52541762287</v>
      </c>
      <c r="B186" s="99" t="n">
        <f aca="false">IF(A105="YES", B89, 0)</f>
        <v>0</v>
      </c>
      <c r="C186" s="282"/>
      <c r="D186" s="99" t="n">
        <f aca="false">B91</f>
        <v>1983.52541762287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0</v>
      </c>
      <c r="C189" s="282"/>
      <c r="D189" s="375" t="n">
        <f aca="false">A189+B189</f>
        <v>41.6772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1320.02916666667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D64</f>
        <v>4896.10625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820.0375</v>
      </c>
      <c r="C211" s="337" t="s">
        <v>216</v>
      </c>
      <c r="D211" s="377" t="n">
        <f aca="false">B225+E221+B221+B223</f>
        <v>339.991666666667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4416.06041666667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D64</f>
        <v>4896.10625</v>
      </c>
      <c r="C217" s="381" t="s">
        <v>220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B67</f>
        <v>820.0375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B197*E219*100</f>
        <v>40</v>
      </c>
      <c r="C221" s="351" t="s">
        <v>222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B78-(B78*(E219*100))</f>
        <v>200</v>
      </c>
      <c r="C223" s="351" t="s">
        <v>217</v>
      </c>
      <c r="D223" s="280"/>
      <c r="E223" s="33" t="n">
        <f aca="false">(B217-B211+D211)</f>
        <v>4416.06041666667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B71</f>
        <v>200</v>
      </c>
      <c r="C229" s="351" t="s">
        <v>225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B68</f>
        <v>0.0075</v>
      </c>
      <c r="C231" s="351" t="s">
        <v>228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B86</f>
        <v>305.891161940638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B79</f>
        <v>200</v>
      </c>
      <c r="C233" s="387" t="s">
        <v>338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B80</f>
        <v>200</v>
      </c>
      <c r="C235" s="391" t="s">
        <v>339</v>
      </c>
      <c r="D235" s="391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262" t="n">
        <v>16745.0</v>
      </c>
      <c r="C3" s="497" t="n">
        <v>0.0</v>
      </c>
      <c r="D3" s="262" t="n">
        <v>0.0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0" t="n">
        <v>0.0</v>
      </c>
      <c r="C4" s="0" t="n">
        <v>0.0</v>
      </c>
      <c r="D4" s="0" t="n">
        <v>0.0</v>
      </c>
      <c r="E4" s="308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0.0</v>
      </c>
      <c r="C5" s="497" t="n">
        <v>0.0</v>
      </c>
      <c r="D5" s="497" t="n">
        <v>0.0</v>
      </c>
      <c r="E5" s="41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 t="n">
        <v>60000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695.0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 t="n">
        <v>1000</v>
      </c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 t="n">
        <v>0</v>
      </c>
      <c r="C13" s="487"/>
      <c r="D13" s="487"/>
      <c r="E13" s="498" t="n">
        <v>275.0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347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128</v>
      </c>
      <c r="B26" s="218" t="s">
        <v>388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182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183</v>
      </c>
      <c r="B30" s="169" t="s">
        <v>391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7350.0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84</v>
      </c>
      <c r="B32" s="211" t="s">
        <v>85</v>
      </c>
      <c r="C32" s="211"/>
      <c r="D32" s="457" t="s">
        <v>349</v>
      </c>
      <c r="E32" s="212"/>
      <c r="F32" s="63"/>
      <c r="G32" s="214" t="s">
        <v>36</v>
      </c>
      <c r="I32" s="445" t="n">
        <v>662.0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1372.35835324858</v>
      </c>
      <c r="E33" s="212"/>
      <c r="F33" s="63"/>
      <c r="G33" s="215" t="s">
        <v>350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351</v>
      </c>
      <c r="B35" s="211" t="s">
        <v>352</v>
      </c>
      <c r="C35" s="211"/>
      <c r="D35" s="211" t="s">
        <v>353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1334.55835324858</v>
      </c>
      <c r="B36" s="99" t="n">
        <f aca="false">IF(B26="YES", H42, "")</f>
        <v>37.8</v>
      </c>
      <c r="C36" s="217"/>
      <c r="D36" s="181" t="n">
        <f aca="false">H31</f>
        <v>28900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354</v>
      </c>
      <c r="B39" s="211" t="s">
        <v>355</v>
      </c>
      <c r="C39" s="211"/>
      <c r="D39" s="211" t="s">
        <v>356</v>
      </c>
      <c r="E39" s="212"/>
      <c r="F39" s="63"/>
      <c r="G39" s="63" t="s">
        <v>86</v>
      </c>
      <c r="H39" s="234" t="n">
        <f aca="false">H33</f>
        <v>48877.5</v>
      </c>
      <c r="I39" s="234" t="n">
        <f aca="false">(I48*H46)+H44</f>
        <v>49449.3231032324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28900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108</v>
      </c>
      <c r="H40" s="234" t="n">
        <f aca="false">A40/1.2</f>
        <v>24083.3333333333</v>
      </c>
      <c r="I40" s="234" t="n">
        <f aca="false">H39-I39</f>
        <v>-571.823103232397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357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358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359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78</v>
      </c>
      <c r="B44" s="211"/>
      <c r="C44" s="373" t="s">
        <v>79</v>
      </c>
      <c r="D44" s="373"/>
      <c r="E44" s="212"/>
      <c r="F44" s="63"/>
      <c r="G44" s="63" t="s">
        <v>369</v>
      </c>
      <c r="H44" s="234" t="n">
        <f aca="false">(H40/(1+H41)^(H34+1))</f>
        <v>21269.4741156504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27608.0258843496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363</v>
      </c>
      <c r="H47" s="234" t="n">
        <f aca="false">H45/H46</f>
        <v>1334.55835324858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463" t="s">
        <v>364</v>
      </c>
      <c r="H48" s="234" t="n">
        <f aca="false">IF(B26="YES", H47+H42, H47)</f>
        <v>1372.35835324858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365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1372.35835324858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86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86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87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87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304" t="s">
        <v>277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B62+(B62*0.25*((H29/12)-1))</f>
        <v>0.0845833333333333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B61*B63</f>
        <v>4896.10625</v>
      </c>
      <c r="C64" s="464" t="n">
        <v>10000.0</v>
      </c>
      <c r="D64" s="277" t="n">
        <f aca="false">B64</f>
        <v>4896.10625</v>
      </c>
      <c r="E64" s="465" t="n">
        <f aca="false">D64/(B58+B57)</f>
        <v>222.550284090909</v>
      </c>
      <c r="F64" s="63"/>
      <c r="G64" s="310" t="s">
        <v>92</v>
      </c>
      <c r="H64" s="129" t="n">
        <f aca="false">H61*H63</f>
        <v>4896.10625</v>
      </c>
      <c r="I64" s="211"/>
      <c r="J64" s="277" t="n">
        <f aca="false">H64-G145</f>
        <v>4896.10625</v>
      </c>
      <c r="K64" s="212"/>
      <c r="L64" s="63"/>
      <c r="M64" s="310" t="s">
        <v>92</v>
      </c>
      <c r="N64" s="129" t="n">
        <f aca="false">N61*N63</f>
        <v>4896.10625</v>
      </c>
      <c r="O64" s="211"/>
      <c r="P64" s="277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77"/>
      <c r="E65" s="212"/>
      <c r="F65" s="63"/>
      <c r="G65" s="304" t="s">
        <v>93</v>
      </c>
      <c r="H65" s="305" t="n">
        <v>0.01</v>
      </c>
      <c r="I65" s="211"/>
      <c r="J65" s="211"/>
      <c r="K65" s="212"/>
      <c r="L65" s="63"/>
      <c r="M65" s="304" t="s">
        <v>93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0.0141666666666667</v>
      </c>
      <c r="C66" s="466" t="s">
        <v>220</v>
      </c>
      <c r="D66" s="211"/>
      <c r="E66" s="212"/>
      <c r="F66" s="63"/>
      <c r="G66" s="210" t="s">
        <v>94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94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E15*B66</f>
        <v>820.0375</v>
      </c>
      <c r="C67" s="467" t="s">
        <v>220</v>
      </c>
      <c r="D67" s="468"/>
      <c r="E67" s="212"/>
      <c r="F67" s="63"/>
      <c r="G67" s="310" t="s">
        <v>95</v>
      </c>
      <c r="H67" s="129" t="n">
        <f aca="false">(H61*H66)/1.2</f>
        <v>683.364583333333</v>
      </c>
      <c r="I67" s="211"/>
      <c r="J67" s="277"/>
      <c r="K67" s="212"/>
      <c r="L67" s="63"/>
      <c r="M67" s="310" t="s">
        <v>95</v>
      </c>
      <c r="N67" s="129" t="n">
        <f aca="false">(N61*N66)/1.2</f>
        <v>683.364583333333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469"/>
      <c r="D68" s="277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304" t="s">
        <v>96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407" t="s">
        <v>97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310" t="s">
        <v>98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200.0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304" t="s">
        <v>99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5.0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407" t="s">
        <v>100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226</v>
      </c>
      <c r="F73" s="63"/>
      <c r="G73" s="310" t="s">
        <v>101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101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0.0</v>
      </c>
      <c r="C74" s="211"/>
      <c r="D74" s="211"/>
      <c r="E74" s="212"/>
      <c r="F74" s="63"/>
      <c r="G74" s="304" t="s">
        <v>279</v>
      </c>
      <c r="H74" s="410" t="n">
        <v>165</v>
      </c>
      <c r="I74" s="211"/>
      <c r="J74" s="211"/>
      <c r="K74" s="212"/>
      <c r="L74" s="63"/>
      <c r="M74" s="413" t="s">
        <v>279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0.0</v>
      </c>
      <c r="C75" s="211"/>
      <c r="D75" s="211"/>
      <c r="E75" s="212"/>
      <c r="F75" s="63"/>
      <c r="G75" s="407" t="s">
        <v>280</v>
      </c>
      <c r="H75" s="411" t="n">
        <v>0</v>
      </c>
      <c r="I75" s="211"/>
      <c r="J75" s="211"/>
      <c r="K75" s="212"/>
      <c r="L75" s="63"/>
      <c r="M75" s="415" t="s">
        <v>280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((B74+B75)/12)*(H29-11)</f>
        <v>476.666666666667</v>
      </c>
      <c r="C76" s="211"/>
      <c r="D76" s="277" t="n">
        <f aca="false">B76</f>
        <v>476.666666666667</v>
      </c>
      <c r="E76" s="212"/>
      <c r="F76" s="63"/>
      <c r="G76" s="310" t="s">
        <v>281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281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282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20.2020202020202</v>
      </c>
      <c r="F77" s="63"/>
      <c r="G77" s="304" t="s">
        <v>282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282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284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284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200.0</v>
      </c>
      <c r="C79" s="472"/>
      <c r="D79" s="277" t="n">
        <f aca="false">B79</f>
        <v>200</v>
      </c>
      <c r="E79" s="465"/>
      <c r="F79" s="63"/>
      <c r="G79" s="407" t="s">
        <v>102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102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200.0</v>
      </c>
      <c r="C80" s="472"/>
      <c r="D80" s="277" t="n">
        <f aca="false">B80</f>
        <v>200</v>
      </c>
      <c r="E80" s="465" t="n">
        <f aca="false">(D73+D76+D79+D80)/(B58+B57)</f>
        <v>53.9393939393939</v>
      </c>
      <c r="F80" s="63"/>
      <c r="G80" s="420" t="s">
        <v>103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103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6749.43958333333</v>
      </c>
      <c r="C81" s="472"/>
      <c r="D81" s="473"/>
      <c r="E81" s="465"/>
      <c r="F81" s="63"/>
      <c r="G81" s="422" t="s">
        <v>104</v>
      </c>
      <c r="H81" s="423" t="n">
        <f aca="false">SUM(J64:J80)</f>
        <v>5706.35625</v>
      </c>
      <c r="I81" s="211"/>
      <c r="J81" s="211"/>
      <c r="K81" s="212"/>
      <c r="L81" s="63"/>
      <c r="M81" s="422" t="s">
        <v>104</v>
      </c>
      <c r="N81" s="42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306.792708333333</v>
      </c>
      <c r="C82" s="472"/>
      <c r="D82" s="211"/>
      <c r="E82" s="465"/>
      <c r="F82" s="63"/>
      <c r="G82" s="210" t="s">
        <v>105</v>
      </c>
      <c r="H82" s="419" t="n">
        <f aca="false">H81/H29</f>
        <v>259.379829545455</v>
      </c>
      <c r="I82" s="211"/>
      <c r="J82" s="211"/>
      <c r="K82" s="212"/>
      <c r="L82" s="63"/>
      <c r="M82" s="210" t="s">
        <v>105</v>
      </c>
      <c r="N82" s="41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H47</f>
        <v>1334.55835324858</v>
      </c>
      <c r="C83" s="472"/>
      <c r="D83" s="211"/>
      <c r="E83" s="465" t="n">
        <f aca="false">B83+E80+E77+E64</f>
        <v>1631.2500514809</v>
      </c>
      <c r="F83" s="63"/>
      <c r="G83" s="424" t="s">
        <v>106</v>
      </c>
      <c r="H83" s="425" t="n">
        <f aca="false">H47</f>
        <v>1334.55835324858</v>
      </c>
      <c r="I83" s="211"/>
      <c r="J83" s="211"/>
      <c r="K83" s="212"/>
      <c r="L83" s="63"/>
      <c r="M83" s="424" t="s">
        <v>106</v>
      </c>
      <c r="N83" s="425" t="n">
        <f aca="false">H47</f>
        <v>1334.55835324858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((B83*H29)+B81)</f>
        <v>36109.723354802</v>
      </c>
      <c r="C85" s="472"/>
      <c r="D85" s="472"/>
      <c r="E85" s="465" t="n">
        <f aca="false">B85/(B58+B57)</f>
        <v>1641.35106158191</v>
      </c>
      <c r="F85" s="63"/>
      <c r="G85" s="404" t="s">
        <v>116</v>
      </c>
      <c r="H85" s="127" t="n">
        <f aca="false">((H83*H29)+H81)*1.2</f>
        <v>42079.9680257624</v>
      </c>
      <c r="I85" s="211"/>
      <c r="J85" s="211"/>
      <c r="K85" s="212"/>
      <c r="L85" s="63"/>
      <c r="M85" s="404" t="s">
        <v>116</v>
      </c>
      <c r="N85" s="127" t="n">
        <f aca="false">((N83*H29)+N81)</f>
        <v>34915.3900214687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(((B83*H29)+B81)/(1-B70))*B70</f>
        <v>305.891161940638</v>
      </c>
      <c r="C86" s="472" t="s">
        <v>229</v>
      </c>
      <c r="D86" s="211"/>
      <c r="E86" s="465" t="n">
        <f aca="false">B86/(B58+B57)</f>
        <v>13.9041437245745</v>
      </c>
      <c r="F86" s="63"/>
      <c r="G86" s="210" t="s">
        <v>117</v>
      </c>
      <c r="H86" s="419" t="n">
        <f aca="false">((((H83*H29)+H81))/(1-H70))*H70</f>
        <v>297.055038503769</v>
      </c>
      <c r="I86" s="211"/>
      <c r="J86" s="211"/>
      <c r="K86" s="212"/>
      <c r="L86" s="63"/>
      <c r="M86" s="210" t="s">
        <v>117</v>
      </c>
      <c r="N86" s="419" t="n">
        <f aca="false">(N85/(1-N70))*N70</f>
        <v>295.773775897879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IF(B110="YES",((B85+B86)-E114),((B85+B86)))</f>
        <v>36415.6145167427</v>
      </c>
      <c r="C87" s="472"/>
      <c r="D87" s="474"/>
      <c r="E87" s="465" t="n">
        <f aca="false">E86+E85</f>
        <v>1655.25520530649</v>
      </c>
      <c r="F87" s="63"/>
      <c r="G87" s="310" t="s">
        <v>118</v>
      </c>
      <c r="H87" s="129" t="n">
        <f aca="false">IF(H110="YES",((H85+H86)-K114),(H85+H86))</f>
        <v>42377.0230642662</v>
      </c>
      <c r="I87" s="211"/>
      <c r="J87" s="211"/>
      <c r="K87" s="212"/>
      <c r="L87" s="63"/>
      <c r="M87" s="310" t="s">
        <v>118</v>
      </c>
      <c r="N87" s="129" t="n">
        <f aca="false">IF(N110="YES",((N85+N86)-Q114),(N85+N86))</f>
        <v>35211.1637973666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23" t="n">
        <f aca="false">IF(B99=Y98, (I32+(I32*B105))/(B58), (I32+(I32*B105))/(B57+B58))*(C45/100)</f>
        <v>49.14</v>
      </c>
      <c r="C89" s="472"/>
      <c r="D89" s="211"/>
      <c r="E89" s="212"/>
      <c r="F89" s="63"/>
      <c r="G89" s="422" t="s">
        <v>119</v>
      </c>
      <c r="H89" s="423" t="n">
        <f aca="false">IF(H99=Y98, (D40+(D40*H105))/(H58), (D40+(D40*H105))/(H57+H58))*1.2</f>
        <v>44.352</v>
      </c>
      <c r="I89" s="211"/>
      <c r="J89" s="211"/>
      <c r="K89" s="212"/>
      <c r="L89" s="63"/>
      <c r="M89" s="422" t="s">
        <v>119</v>
      </c>
      <c r="N89" s="42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IF(B99=Y98, (B87-D105)/(B58), B87/(B57+B58))</f>
        <v>1655.25520530649</v>
      </c>
      <c r="C90" s="472"/>
      <c r="D90" s="211"/>
      <c r="E90" s="475"/>
      <c r="F90" s="63"/>
      <c r="G90" s="427" t="s">
        <v>120</v>
      </c>
      <c r="H90" s="428" t="n">
        <f aca="false">IF(H99=Y98, (H87-J105)/(H58), H87/(H57+H58))</f>
        <v>1569.5193727506</v>
      </c>
      <c r="I90" s="211"/>
      <c r="J90" s="211"/>
      <c r="K90" s="212"/>
      <c r="L90" s="63"/>
      <c r="M90" s="427" t="s">
        <v>120</v>
      </c>
      <c r="N90" s="428" t="n">
        <f aca="false">IF(N99=Y98, (N87-P105)/(N58), N87/(N57+N58))</f>
        <v>1304.11717768024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1704.39520530649</v>
      </c>
      <c r="C91" s="472"/>
      <c r="D91" s="476"/>
      <c r="E91" s="412"/>
      <c r="F91" s="63"/>
      <c r="G91" s="429" t="s">
        <v>121</v>
      </c>
      <c r="H91" s="430" t="n">
        <f aca="false">IF(G105="YES", H90+H89, H90)</f>
        <v>1613.8713727506</v>
      </c>
      <c r="I91" s="211"/>
      <c r="J91" s="211"/>
      <c r="K91" s="212"/>
      <c r="L91" s="63"/>
      <c r="M91" s="429" t="s">
        <v>121</v>
      </c>
      <c r="N91" s="430" t="n">
        <f aca="false">IF(M105="YES", N90+N89, N90)</f>
        <v>1341.07717768024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209" t="s">
        <v>287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213" t="s">
        <v>126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265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210" t="s">
        <v>127</v>
      </c>
      <c r="N98" s="211" t="s">
        <v>23</v>
      </c>
      <c r="O98" s="211"/>
      <c r="P98" s="211" t="s">
        <v>288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289</v>
      </c>
      <c r="B99" s="331" t="s">
        <v>340</v>
      </c>
      <c r="C99" s="331"/>
      <c r="D99" s="103" t="n">
        <v>1000.0</v>
      </c>
      <c r="E99" s="103"/>
      <c r="F99" s="63"/>
      <c r="G99" s="216" t="s">
        <v>289</v>
      </c>
      <c r="H99" s="331" t="s">
        <v>261</v>
      </c>
      <c r="I99" s="331"/>
      <c r="J99" s="103" t="n">
        <v>0</v>
      </c>
      <c r="K99" s="103"/>
      <c r="L99" s="63"/>
      <c r="M99" s="216" t="s">
        <v>289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374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210" t="s">
        <v>290</v>
      </c>
      <c r="N101" s="211" t="s">
        <v>291</v>
      </c>
      <c r="O101" s="211"/>
      <c r="P101" s="211" t="s">
        <v>292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400.0</v>
      </c>
      <c r="C102" s="103"/>
      <c r="D102" s="103" t="n">
        <v>200.0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216" t="s">
        <v>128</v>
      </c>
      <c r="N104" s="63" t="s">
        <v>131</v>
      </c>
      <c r="O104" s="211"/>
      <c r="P104" s="211" t="s">
        <v>142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388</v>
      </c>
      <c r="B105" s="334" t="n">
        <v>0.3</v>
      </c>
      <c r="C105" s="334"/>
      <c r="D105" s="103" t="s">
        <v>392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293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213" t="s">
        <v>294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295</v>
      </c>
      <c r="B110" s="218" t="s">
        <v>387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210" t="s">
        <v>295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10000.0</v>
      </c>
      <c r="E112" s="103" t="n">
        <v>6000.0</v>
      </c>
      <c r="F112" s="63"/>
      <c r="G112" s="210" t="s">
        <v>176</v>
      </c>
      <c r="H112" s="211"/>
      <c r="I112" s="211"/>
      <c r="J112" s="333" t="n">
        <v>0</v>
      </c>
      <c r="K112" s="103" t="n">
        <v>0</v>
      </c>
      <c r="L112" s="63"/>
      <c r="M112" s="210" t="s">
        <v>176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177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177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178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0</v>
      </c>
      <c r="K115" s="212"/>
      <c r="L115" s="63"/>
      <c r="M115" s="210" t="s">
        <v>179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404" t="s">
        <v>138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296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296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213" t="s">
        <v>297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0.0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210" t="s">
        <v>183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300</v>
      </c>
      <c r="H126" s="434" t="s">
        <v>301</v>
      </c>
      <c r="I126" s="434"/>
      <c r="J126" s="434" t="s">
        <v>302</v>
      </c>
      <c r="K126" s="212"/>
      <c r="L126" s="63"/>
      <c r="M126" s="433" t="s">
        <v>303</v>
      </c>
      <c r="N126" s="434" t="s">
        <v>248</v>
      </c>
      <c r="O126" s="434"/>
      <c r="P126" s="434" t="s">
        <v>121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348" t="n">
        <f aca="false">H90</f>
        <v>1569.5193727506</v>
      </c>
      <c r="H127" s="174" t="n">
        <f aca="false">IF(G105="YES", H89*H57, 0)</f>
        <v>266.112</v>
      </c>
      <c r="I127" s="174"/>
      <c r="J127" s="349" t="n">
        <f aca="false">H91</f>
        <v>1613.8713727506</v>
      </c>
      <c r="K127" s="212"/>
      <c r="L127" s="63"/>
      <c r="M127" s="348" t="n">
        <f aca="false">N90</f>
        <v>1304.11717768024</v>
      </c>
      <c r="N127" s="174" t="n">
        <f aca="false">IF(M105="YES", N89*N57, 0)</f>
        <v>221.76</v>
      </c>
      <c r="O127" s="174"/>
      <c r="P127" s="174" t="n">
        <f aca="false">N91</f>
        <v>1341.07717768024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1655.25520530649</v>
      </c>
      <c r="B128" s="338" t="n">
        <f aca="false">IF(A105="YES", B89, 0)</f>
        <v>49.14</v>
      </c>
      <c r="C128" s="342"/>
      <c r="D128" s="338" t="n">
        <f aca="false">B91</f>
        <v>1704.39520530649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84</v>
      </c>
      <c r="H129" s="211" t="s">
        <v>85</v>
      </c>
      <c r="I129" s="211"/>
      <c r="J129" s="211" t="s">
        <v>87</v>
      </c>
      <c r="K129" s="212"/>
      <c r="L129" s="63"/>
      <c r="M129" s="210" t="s">
        <v>84</v>
      </c>
      <c r="N129" s="211" t="s">
        <v>85</v>
      </c>
      <c r="O129" s="211"/>
      <c r="P129" s="211" t="s">
        <v>87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14897.2968477584</v>
      </c>
      <c r="C131" s="280"/>
      <c r="D131" s="38" t="n">
        <f aca="false">IF(A105="YES", B89*B57, 0)</f>
        <v>442.26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210" t="s">
        <v>309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9417.1162365036</v>
      </c>
      <c r="H133" s="99" t="n">
        <f aca="false">IF(G105="YES", H89*H57, 0)</f>
        <v>266.112</v>
      </c>
      <c r="I133" s="217"/>
      <c r="J133" s="181" t="n">
        <f aca="false">H91*H57</f>
        <v>9683.2282365036</v>
      </c>
      <c r="K133" s="212"/>
      <c r="L133" s="63"/>
      <c r="M133" s="182" t="n">
        <f aca="false">N90*N57</f>
        <v>7824.70306608146</v>
      </c>
      <c r="N133" s="99" t="n">
        <f aca="false">IF(M105="YES", N89*N57, 0)</f>
        <v>221.76</v>
      </c>
      <c r="O133" s="217"/>
      <c r="P133" s="181" t="n">
        <f aca="false">N91*N57</f>
        <v>8046.46306608146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15339.5568477584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1655.25520530649</v>
      </c>
      <c r="B137" s="38" t="n">
        <f aca="false">IF(A105="YES", B89, 0)</f>
        <v>49.14</v>
      </c>
      <c r="C137" s="280"/>
      <c r="D137" s="38" t="n">
        <f aca="false">B91</f>
        <v>1704.39520530649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210" t="s">
        <v>141</v>
      </c>
      <c r="N138" s="211" t="s">
        <v>316</v>
      </c>
      <c r="O138" s="211"/>
      <c r="P138" s="211" t="s">
        <v>317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210" t="s">
        <v>319</v>
      </c>
      <c r="N141" s="211" t="s">
        <v>320</v>
      </c>
      <c r="O141" s="211"/>
      <c r="P141" s="211" t="s">
        <v>321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210" t="s">
        <v>323</v>
      </c>
      <c r="N144" s="211" t="s">
        <v>324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329</v>
      </c>
      <c r="N147" s="163" t="s">
        <v>330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331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1613.8713727506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84</v>
      </c>
      <c r="N153" s="247" t="s">
        <v>85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1341.07717768024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1704.39520530649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297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127</v>
      </c>
      <c r="B173" s="366" t="s">
        <v>39</v>
      </c>
      <c r="C173" s="367"/>
      <c r="D173" s="366" t="s">
        <v>85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289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452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120</v>
      </c>
      <c r="B176" s="366" t="s">
        <v>298</v>
      </c>
      <c r="C176" s="367"/>
      <c r="D176" s="366" t="s">
        <v>299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1655.25520530649</v>
      </c>
      <c r="B177" s="367" t="n">
        <f aca="false">IF(A105="YES", B89, 0)</f>
        <v>49.14</v>
      </c>
      <c r="C177" s="369"/>
      <c r="D177" s="367" t="n">
        <f aca="false">B91</f>
        <v>1704.39520530649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304</v>
      </c>
      <c r="C179" s="226"/>
      <c r="D179" s="370" t="s">
        <v>305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Terminal pause with 9 down </v>
      </c>
      <c r="B180" s="99" t="n">
        <f aca="false">B90*B57</f>
        <v>14897.2968477584</v>
      </c>
      <c r="C180" s="282"/>
      <c r="D180" s="99" t="n">
        <f aca="false">IF(A105="YES", B89*B57, 0)</f>
        <v>442.26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310</v>
      </c>
      <c r="B182" s="163" t="s">
        <v>311</v>
      </c>
      <c r="C182" s="285"/>
      <c r="D182" s="237" t="s">
        <v>205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15339.5568477584</v>
      </c>
      <c r="B183" s="99" t="n">
        <f aca="false">E114</f>
        <v>4000</v>
      </c>
      <c r="C183" s="282"/>
      <c r="D183" s="371" t="n">
        <f aca="false">B58</f>
        <v>13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120</v>
      </c>
      <c r="B185" s="373" t="s">
        <v>298</v>
      </c>
      <c r="C185" s="282"/>
      <c r="D185" s="282" t="s">
        <v>299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1655.25520530649</v>
      </c>
      <c r="B186" s="99" t="n">
        <f aca="false">IF(A105="YES", B89, 0)</f>
        <v>49.14</v>
      </c>
      <c r="C186" s="282"/>
      <c r="D186" s="99" t="n">
        <f aca="false">B91</f>
        <v>1704.39520530649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318</v>
      </c>
      <c r="C188" s="99"/>
      <c r="D188" s="374" t="s">
        <v>74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322</v>
      </c>
      <c r="B191" s="374" t="s">
        <v>53</v>
      </c>
      <c r="C191" s="99"/>
      <c r="D191" s="374" t="s">
        <v>282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325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326</v>
      </c>
      <c r="B196" s="282" t="s">
        <v>327</v>
      </c>
      <c r="C196" s="282"/>
      <c r="D196" s="282" t="s">
        <v>328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332</v>
      </c>
      <c r="B199" s="282" t="s">
        <v>324</v>
      </c>
      <c r="C199" s="282"/>
      <c r="D199" s="282" t="s">
        <v>321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333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211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212</v>
      </c>
      <c r="B209" s="376" t="n">
        <f aca="false">H35</f>
        <v>0.065</v>
      </c>
      <c r="C209" s="338" t="s">
        <v>214</v>
      </c>
      <c r="D209" s="377" t="n">
        <f aca="false">D64</f>
        <v>4896.10625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215</v>
      </c>
      <c r="B211" s="338" t="n">
        <f aca="false">B219</f>
        <v>820.0375</v>
      </c>
      <c r="C211" s="337" t="s">
        <v>216</v>
      </c>
      <c r="D211" s="377" t="n">
        <f aca="false">B225+E221+B221+B223</f>
        <v>589.47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217</v>
      </c>
      <c r="B213" s="338" t="n">
        <f aca="false">E223</f>
        <v>4665.53875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212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214</v>
      </c>
      <c r="B217" s="100" t="n">
        <f aca="false">D64</f>
        <v>4896.10625</v>
      </c>
      <c r="C217" s="381" t="s">
        <v>220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220</v>
      </c>
      <c r="B219" s="100" t="n">
        <f aca="false">B67</f>
        <v>820.0375</v>
      </c>
      <c r="C219" s="351" t="s">
        <v>334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334</v>
      </c>
      <c r="B221" s="237" t="n">
        <f aca="false">(B77-(B77*(E219*100)))*0.1</f>
        <v>40</v>
      </c>
      <c r="C221" s="351" t="s">
        <v>222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335</v>
      </c>
      <c r="B223" s="237" t="n">
        <f aca="false">B78-(B78*(E219*100))</f>
        <v>200</v>
      </c>
      <c r="C223" s="351" t="s">
        <v>217</v>
      </c>
      <c r="D223" s="280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336</v>
      </c>
      <c r="B225" s="356" t="n">
        <f aca="false">D197/0.1</f>
        <v>249.48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337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224</v>
      </c>
      <c r="B229" s="100" t="n">
        <f aca="false">B71</f>
        <v>200</v>
      </c>
      <c r="C229" s="351" t="s">
        <v>225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226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227</v>
      </c>
      <c r="B231" s="386" t="n">
        <f aca="false">B68</f>
        <v>0.0075</v>
      </c>
      <c r="C231" s="351" t="s">
        <v>228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229</v>
      </c>
      <c r="D232" s="358"/>
      <c r="E232" s="33" t="n">
        <f aca="false">B86</f>
        <v>305.891161940638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230</v>
      </c>
      <c r="B233" s="100" t="n">
        <f aca="false">B79</f>
        <v>200</v>
      </c>
      <c r="C233" s="387" t="s">
        <v>338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231</v>
      </c>
      <c r="B235" s="100" t="n">
        <f aca="false">B80</f>
        <v>200</v>
      </c>
      <c r="C235" s="391" t="s">
        <v>339</v>
      </c>
      <c r="D235" s="391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141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253</v>
      </c>
      <c r="H44" s="234" t="n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n">
        <v>0.01</v>
      </c>
      <c r="C47" s="396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379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366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83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84</v>
      </c>
      <c r="B56" s="247" t="s">
        <v>85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86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86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86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87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87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87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277</v>
      </c>
      <c r="B68" s="305" t="n">
        <v>0.07</v>
      </c>
      <c r="C68" s="211"/>
      <c r="D68" s="211"/>
      <c r="E68" s="212"/>
      <c r="F68" s="63"/>
      <c r="G68" s="304" t="s">
        <v>277</v>
      </c>
      <c r="H68" s="305" t="n">
        <v>0.07</v>
      </c>
      <c r="I68" s="211"/>
      <c r="J68" s="211"/>
      <c r="K68" s="212"/>
      <c r="L68" s="63"/>
      <c r="M68" s="304" t="s">
        <v>277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92</v>
      </c>
      <c r="B70" s="129" t="n">
        <f aca="false">B67*B69</f>
        <v>4051.95</v>
      </c>
      <c r="C70" s="211"/>
      <c r="D70" s="277" t="n">
        <f aca="false">B70-A151</f>
        <v>4051.95</v>
      </c>
      <c r="E70" s="212" t="n">
        <f aca="false">D70/12</f>
        <v>337.6625</v>
      </c>
      <c r="F70" s="63"/>
      <c r="G70" s="310" t="s">
        <v>92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92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93</v>
      </c>
      <c r="B71" s="305" t="n">
        <v>0.01</v>
      </c>
      <c r="C71" s="211"/>
      <c r="D71" s="211"/>
      <c r="E71" s="212"/>
      <c r="F71" s="63"/>
      <c r="G71" s="304" t="s">
        <v>93</v>
      </c>
      <c r="H71" s="305" t="n">
        <v>0.005</v>
      </c>
      <c r="I71" s="211"/>
      <c r="J71" s="211"/>
      <c r="K71" s="212"/>
      <c r="L71" s="63"/>
      <c r="M71" s="304" t="s">
        <v>93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94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94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94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95</v>
      </c>
      <c r="B73" s="129" t="n">
        <f aca="false">B67*B72</f>
        <v>578.85</v>
      </c>
      <c r="C73" s="211"/>
      <c r="D73" s="277"/>
      <c r="E73" s="212"/>
      <c r="F73" s="63"/>
      <c r="G73" s="310" t="s">
        <v>95</v>
      </c>
      <c r="H73" s="129" t="n">
        <f aca="false">H67*H72</f>
        <v>289.425</v>
      </c>
      <c r="I73" s="211"/>
      <c r="J73" s="277"/>
      <c r="K73" s="212"/>
      <c r="L73" s="63"/>
      <c r="M73" s="310" t="s">
        <v>95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96</v>
      </c>
      <c r="B74" s="305" t="n">
        <v>0.0075</v>
      </c>
      <c r="C74" s="211"/>
      <c r="D74" s="211"/>
      <c r="E74" s="212"/>
      <c r="F74" s="63"/>
      <c r="G74" s="304" t="s">
        <v>96</v>
      </c>
      <c r="H74" s="305" t="n">
        <v>0.0075</v>
      </c>
      <c r="I74" s="211"/>
      <c r="J74" s="211"/>
      <c r="K74" s="212"/>
      <c r="L74" s="63"/>
      <c r="M74" s="304" t="s">
        <v>96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97</v>
      </c>
      <c r="B75" s="408" t="n">
        <v>0.12</v>
      </c>
      <c r="C75" s="211"/>
      <c r="D75" s="211"/>
      <c r="E75" s="212"/>
      <c r="F75" s="63"/>
      <c r="G75" s="407" t="s">
        <v>97</v>
      </c>
      <c r="H75" s="408" t="n">
        <v>0.12</v>
      </c>
      <c r="I75" s="211"/>
      <c r="J75" s="211"/>
      <c r="K75" s="212"/>
      <c r="L75" s="63"/>
      <c r="M75" s="407" t="s">
        <v>97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98</v>
      </c>
      <c r="B76" s="409" t="n">
        <f aca="false">B74*(1+B75)</f>
        <v>0.0084</v>
      </c>
      <c r="C76" s="211"/>
      <c r="D76" s="211"/>
      <c r="E76" s="212"/>
      <c r="F76" s="63"/>
      <c r="G76" s="310" t="s">
        <v>98</v>
      </c>
      <c r="H76" s="409" t="n">
        <f aca="false">H74*(1+H75)</f>
        <v>0.0084</v>
      </c>
      <c r="I76" s="211"/>
      <c r="J76" s="211"/>
      <c r="K76" s="212"/>
      <c r="L76" s="63"/>
      <c r="M76" s="310" t="s">
        <v>98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99</v>
      </c>
      <c r="B77" s="410" t="n">
        <v>200</v>
      </c>
      <c r="C77" s="211"/>
      <c r="D77" s="211"/>
      <c r="E77" s="212"/>
      <c r="F77" s="63"/>
      <c r="G77" s="304" t="s">
        <v>99</v>
      </c>
      <c r="H77" s="410" t="n">
        <v>160</v>
      </c>
      <c r="I77" s="211"/>
      <c r="J77" s="211"/>
      <c r="K77" s="212"/>
      <c r="L77" s="63"/>
      <c r="M77" s="304" t="s">
        <v>99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100</v>
      </c>
      <c r="B78" s="411" t="n">
        <v>5</v>
      </c>
      <c r="C78" s="211"/>
      <c r="D78" s="211"/>
      <c r="E78" s="212"/>
      <c r="F78" s="63"/>
      <c r="G78" s="407" t="s">
        <v>100</v>
      </c>
      <c r="H78" s="411" t="n">
        <v>4.5</v>
      </c>
      <c r="I78" s="211"/>
      <c r="J78" s="211"/>
      <c r="K78" s="212"/>
      <c r="L78" s="63"/>
      <c r="M78" s="407" t="s">
        <v>100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101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101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101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279</v>
      </c>
      <c r="B80" s="410" t="n">
        <v>0</v>
      </c>
      <c r="C80" s="211"/>
      <c r="D80" s="211"/>
      <c r="E80" s="412" t="n">
        <f aca="false">E79+D82</f>
        <v>660</v>
      </c>
      <c r="F80" s="63"/>
      <c r="G80" s="304" t="s">
        <v>279</v>
      </c>
      <c r="H80" s="410" t="n">
        <v>150</v>
      </c>
      <c r="I80" s="211"/>
      <c r="J80" s="211"/>
      <c r="K80" s="212"/>
      <c r="L80" s="63"/>
      <c r="M80" s="413" t="s">
        <v>279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280</v>
      </c>
      <c r="B81" s="411" t="n">
        <v>0</v>
      </c>
      <c r="C81" s="211"/>
      <c r="D81" s="211"/>
      <c r="E81" s="212" t="n">
        <f aca="false">E80/12</f>
        <v>55</v>
      </c>
      <c r="F81" s="63"/>
      <c r="G81" s="407" t="s">
        <v>280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280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281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281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281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282</v>
      </c>
      <c r="B83" s="410" t="n"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282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282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283</v>
      </c>
      <c r="B84" s="419" t="n">
        <v>0</v>
      </c>
      <c r="C84" s="211"/>
      <c r="D84" s="277" t="n">
        <f aca="false">B84</f>
        <v>0</v>
      </c>
      <c r="E84" s="212"/>
      <c r="F84" s="63"/>
      <c r="G84" s="210" t="s">
        <v>284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284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102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102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102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103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103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103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104</v>
      </c>
      <c r="B87" s="423" t="n">
        <f aca="false">SUM(D70:D86)</f>
        <v>4711.95</v>
      </c>
      <c r="C87" s="211"/>
      <c r="D87" s="211"/>
      <c r="E87" s="212"/>
      <c r="F87" s="63"/>
      <c r="G87" s="422" t="s">
        <v>104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104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105</v>
      </c>
      <c r="B88" s="419" t="n">
        <f aca="false">B87/H29</f>
        <v>392.6625</v>
      </c>
      <c r="C88" s="211"/>
      <c r="D88" s="211"/>
      <c r="E88" s="212"/>
      <c r="F88" s="63"/>
      <c r="G88" s="210" t="s">
        <v>105</v>
      </c>
      <c r="H88" s="419" t="n">
        <f aca="false">H87/H29</f>
        <v>600.461111111111</v>
      </c>
      <c r="I88" s="211"/>
      <c r="J88" s="211"/>
      <c r="K88" s="212"/>
      <c r="L88" s="63"/>
      <c r="M88" s="210" t="s">
        <v>105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106</v>
      </c>
      <c r="B89" s="425" t="n">
        <f aca="false">H46</f>
        <v>501</v>
      </c>
      <c r="C89" s="211"/>
      <c r="D89" s="211"/>
      <c r="E89" s="212"/>
      <c r="F89" s="63"/>
      <c r="G89" s="424" t="s">
        <v>106</v>
      </c>
      <c r="H89" s="425" t="n">
        <f aca="false">H46</f>
        <v>501</v>
      </c>
      <c r="I89" s="211"/>
      <c r="J89" s="211"/>
      <c r="K89" s="212"/>
      <c r="L89" s="63"/>
      <c r="M89" s="424" t="s">
        <v>106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116</v>
      </c>
      <c r="B91" s="127" t="n">
        <f aca="false">((B89*H29)+B87)</f>
        <v>10723.95</v>
      </c>
      <c r="C91" s="211"/>
      <c r="D91" s="211"/>
      <c r="E91" s="212"/>
      <c r="F91" s="63"/>
      <c r="G91" s="404" t="s">
        <v>116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116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117</v>
      </c>
      <c r="B92" s="419" t="n">
        <f aca="false">(((B89*H29)+B87)/(1-B76))*B76</f>
        <v>90.8442718838241</v>
      </c>
      <c r="C92" s="211"/>
      <c r="D92" s="211"/>
      <c r="E92" s="426"/>
      <c r="F92" s="63"/>
      <c r="G92" s="210" t="s">
        <v>117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117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118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310" t="s">
        <v>118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118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119</v>
      </c>
      <c r="B95" s="423" t="n">
        <f aca="false">((H44*B35)+((H44*B35)*B111))/(B63+B64)</f>
        <v>31.304347826087</v>
      </c>
      <c r="C95" s="211"/>
      <c r="D95" s="211"/>
      <c r="E95" s="212"/>
      <c r="F95" s="63"/>
      <c r="G95" s="422" t="s">
        <v>119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119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120</v>
      </c>
      <c r="B96" s="428" t="n">
        <f aca="false">IF(B105=Y104, (B93-D111)/(B64), B93/(B63+B64))</f>
        <v>470.208446603645</v>
      </c>
      <c r="C96" s="211"/>
      <c r="D96" s="211"/>
      <c r="E96" s="212"/>
      <c r="F96" s="63"/>
      <c r="G96" s="427" t="s">
        <v>120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120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121</v>
      </c>
      <c r="B97" s="430" t="n">
        <f aca="false">IF(A111="YES", B96+B95, B96)</f>
        <v>501.512794429732</v>
      </c>
      <c r="C97" s="211"/>
      <c r="D97" s="431"/>
      <c r="E97" s="212"/>
      <c r="F97" s="63"/>
      <c r="G97" s="429" t="s">
        <v>121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121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286</v>
      </c>
      <c r="H100" s="209"/>
      <c r="I100" s="209"/>
      <c r="J100" s="209"/>
      <c r="K100" s="209"/>
      <c r="L100" s="63"/>
      <c r="M100" s="209" t="s">
        <v>287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126</v>
      </c>
      <c r="B102" s="213"/>
      <c r="C102" s="213"/>
      <c r="D102" s="213"/>
      <c r="E102" s="213"/>
      <c r="F102" s="63"/>
      <c r="G102" s="213" t="s">
        <v>126</v>
      </c>
      <c r="H102" s="213"/>
      <c r="I102" s="213"/>
      <c r="J102" s="213"/>
      <c r="K102" s="213"/>
      <c r="L102" s="63"/>
      <c r="M102" s="213" t="s">
        <v>126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0" t="s">
        <v>127</v>
      </c>
      <c r="B104" s="211" t="s">
        <v>23</v>
      </c>
      <c r="C104" s="211"/>
      <c r="D104" s="211" t="s">
        <v>288</v>
      </c>
      <c r="E104" s="212"/>
      <c r="F104" s="63"/>
      <c r="G104" s="210" t="s">
        <v>127</v>
      </c>
      <c r="H104" s="211" t="s">
        <v>23</v>
      </c>
      <c r="I104" s="211"/>
      <c r="J104" s="211" t="s">
        <v>288</v>
      </c>
      <c r="K104" s="212"/>
      <c r="L104" s="63"/>
      <c r="M104" s="210" t="s">
        <v>127</v>
      </c>
      <c r="N104" s="211" t="s">
        <v>23</v>
      </c>
      <c r="O104" s="211"/>
      <c r="P104" s="211" t="s">
        <v>288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 t="s">
        <v>289</v>
      </c>
      <c r="B105" s="331" t="s">
        <v>264</v>
      </c>
      <c r="C105" s="331"/>
      <c r="D105" s="332" t="n">
        <v>0</v>
      </c>
      <c r="E105" s="332"/>
      <c r="F105" s="63"/>
      <c r="G105" s="216" t="s">
        <v>289</v>
      </c>
      <c r="H105" s="331" t="s">
        <v>265</v>
      </c>
      <c r="I105" s="331"/>
      <c r="J105" s="332" t="n">
        <v>5000</v>
      </c>
      <c r="K105" s="332"/>
      <c r="L105" s="63"/>
      <c r="M105" s="216" t="s">
        <v>289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290</v>
      </c>
      <c r="B107" s="211" t="s">
        <v>291</v>
      </c>
      <c r="C107" s="211"/>
      <c r="D107" s="211" t="s">
        <v>292</v>
      </c>
      <c r="E107" s="212"/>
      <c r="F107" s="63"/>
      <c r="G107" s="210" t="s">
        <v>290</v>
      </c>
      <c r="H107" s="211" t="s">
        <v>291</v>
      </c>
      <c r="I107" s="211"/>
      <c r="J107" s="211" t="s">
        <v>292</v>
      </c>
      <c r="K107" s="212"/>
      <c r="L107" s="63"/>
      <c r="M107" s="210" t="s">
        <v>290</v>
      </c>
      <c r="N107" s="211" t="s">
        <v>291</v>
      </c>
      <c r="O107" s="211"/>
      <c r="P107" s="211" t="s">
        <v>292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128</v>
      </c>
      <c r="B110" s="63" t="s">
        <v>131</v>
      </c>
      <c r="C110" s="211"/>
      <c r="D110" s="211" t="s">
        <v>142</v>
      </c>
      <c r="E110" s="212"/>
      <c r="F110" s="63"/>
      <c r="G110" s="216" t="s">
        <v>128</v>
      </c>
      <c r="H110" s="63" t="s">
        <v>131</v>
      </c>
      <c r="I110" s="211"/>
      <c r="J110" s="211" t="s">
        <v>142</v>
      </c>
      <c r="K110" s="212"/>
      <c r="L110" s="63"/>
      <c r="M110" s="216" t="s">
        <v>128</v>
      </c>
      <c r="N110" s="63" t="s">
        <v>131</v>
      </c>
      <c r="O110" s="211"/>
      <c r="P110" s="211" t="s">
        <v>142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0.2</v>
      </c>
      <c r="C111" s="334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293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294</v>
      </c>
      <c r="B114" s="213"/>
      <c r="C114" s="213"/>
      <c r="D114" s="213"/>
      <c r="E114" s="213"/>
      <c r="F114" s="63"/>
      <c r="G114" s="213" t="s">
        <v>294</v>
      </c>
      <c r="H114" s="213"/>
      <c r="I114" s="213"/>
      <c r="J114" s="213"/>
      <c r="K114" s="213"/>
      <c r="L114" s="63"/>
      <c r="M114" s="213" t="s">
        <v>294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295</v>
      </c>
      <c r="B116" s="218" t="s">
        <v>19</v>
      </c>
      <c r="C116" s="211"/>
      <c r="D116" s="211"/>
      <c r="E116" s="212"/>
      <c r="F116" s="63"/>
      <c r="G116" s="210" t="s">
        <v>295</v>
      </c>
      <c r="H116" s="218" t="s">
        <v>18</v>
      </c>
      <c r="I116" s="211"/>
      <c r="J116" s="211"/>
      <c r="K116" s="212"/>
      <c r="L116" s="63"/>
      <c r="M116" s="210" t="s">
        <v>295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176</v>
      </c>
      <c r="B118" s="211"/>
      <c r="C118" s="211"/>
      <c r="D118" s="333" t="n">
        <v>0</v>
      </c>
      <c r="E118" s="103" t="n">
        <v>0</v>
      </c>
      <c r="F118" s="63"/>
      <c r="G118" s="210" t="s">
        <v>176</v>
      </c>
      <c r="H118" s="211"/>
      <c r="I118" s="211"/>
      <c r="J118" s="333" t="n">
        <v>10000</v>
      </c>
      <c r="K118" s="103" t="n">
        <v>5000</v>
      </c>
      <c r="L118" s="63"/>
      <c r="M118" s="210" t="s">
        <v>176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177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177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177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178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178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178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179</v>
      </c>
      <c r="B121" s="211"/>
      <c r="C121" s="211"/>
      <c r="D121" s="163" t="n">
        <f aca="false">D120-E120</f>
        <v>0</v>
      </c>
      <c r="E121" s="212"/>
      <c r="F121" s="63"/>
      <c r="G121" s="210" t="s">
        <v>179</v>
      </c>
      <c r="H121" s="211"/>
      <c r="I121" s="211"/>
      <c r="J121" s="163" t="n">
        <f aca="false">J120-K120</f>
        <v>5000</v>
      </c>
      <c r="K121" s="212"/>
      <c r="L121" s="63"/>
      <c r="M121" s="210" t="s">
        <v>179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138</v>
      </c>
      <c r="B123" s="405"/>
      <c r="C123" s="405"/>
      <c r="D123" s="405"/>
      <c r="E123" s="127" t="n">
        <f aca="false">D105</f>
        <v>0</v>
      </c>
      <c r="F123" s="63"/>
      <c r="G123" s="404" t="s">
        <v>138</v>
      </c>
      <c r="H123" s="405"/>
      <c r="I123" s="405"/>
      <c r="J123" s="405"/>
      <c r="K123" s="127" t="n">
        <f aca="false">J105</f>
        <v>5000</v>
      </c>
      <c r="L123" s="63"/>
      <c r="M123" s="404" t="s">
        <v>138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296</v>
      </c>
      <c r="B125" s="402"/>
      <c r="C125" s="402"/>
      <c r="D125" s="402"/>
      <c r="E125" s="129" t="n">
        <f aca="false">(E124+E123)-E120</f>
        <v>199.99</v>
      </c>
      <c r="F125" s="63"/>
      <c r="G125" s="432" t="s">
        <v>296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296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297</v>
      </c>
      <c r="B128" s="213"/>
      <c r="C128" s="213"/>
      <c r="D128" s="213"/>
      <c r="E128" s="213"/>
      <c r="F128" s="63"/>
      <c r="G128" s="213" t="s">
        <v>297</v>
      </c>
      <c r="H128" s="213"/>
      <c r="I128" s="213"/>
      <c r="J128" s="213"/>
      <c r="K128" s="213"/>
      <c r="L128" s="63"/>
      <c r="M128" s="213" t="s">
        <v>297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183</v>
      </c>
      <c r="B130" s="169" t="n">
        <v>1200</v>
      </c>
      <c r="C130" s="169"/>
      <c r="D130" s="211"/>
      <c r="E130" s="212"/>
      <c r="F130" s="63"/>
      <c r="G130" s="210" t="s">
        <v>183</v>
      </c>
      <c r="H130" s="169" t="n">
        <v>0</v>
      </c>
      <c r="I130" s="169"/>
      <c r="J130" s="211"/>
      <c r="K130" s="212"/>
      <c r="L130" s="63"/>
      <c r="M130" s="210" t="s">
        <v>183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84</v>
      </c>
      <c r="B132" s="211" t="s">
        <v>85</v>
      </c>
      <c r="C132" s="211"/>
      <c r="D132" s="211" t="s">
        <v>87</v>
      </c>
      <c r="E132" s="212"/>
      <c r="F132" s="63"/>
      <c r="G132" s="210" t="s">
        <v>84</v>
      </c>
      <c r="H132" s="211" t="s">
        <v>85</v>
      </c>
      <c r="I132" s="211"/>
      <c r="J132" s="211" t="s">
        <v>87</v>
      </c>
      <c r="K132" s="212"/>
      <c r="L132" s="63"/>
      <c r="M132" s="210" t="s">
        <v>84</v>
      </c>
      <c r="N132" s="211" t="s">
        <v>85</v>
      </c>
      <c r="O132" s="211"/>
      <c r="P132" s="211" t="s">
        <v>87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433" t="s">
        <v>303</v>
      </c>
      <c r="B135" s="434" t="s">
        <v>248</v>
      </c>
      <c r="C135" s="434"/>
      <c r="D135" s="434" t="s">
        <v>121</v>
      </c>
      <c r="E135" s="212"/>
      <c r="F135" s="63"/>
      <c r="G135" s="433" t="s">
        <v>300</v>
      </c>
      <c r="H135" s="434" t="s">
        <v>301</v>
      </c>
      <c r="I135" s="434"/>
      <c r="J135" s="434" t="s">
        <v>302</v>
      </c>
      <c r="K135" s="212"/>
      <c r="L135" s="63"/>
      <c r="M135" s="433" t="s">
        <v>303</v>
      </c>
      <c r="N135" s="434" t="s">
        <v>248</v>
      </c>
      <c r="O135" s="434"/>
      <c r="P135" s="434" t="s">
        <v>121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8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309</v>
      </c>
      <c r="B138" s="211" t="s">
        <v>239</v>
      </c>
      <c r="C138" s="211"/>
      <c r="D138" s="211" t="s">
        <v>242</v>
      </c>
      <c r="E138" s="212"/>
      <c r="F138" s="63"/>
      <c r="G138" s="210" t="s">
        <v>306</v>
      </c>
      <c r="H138" s="211" t="s">
        <v>307</v>
      </c>
      <c r="I138" s="211"/>
      <c r="J138" s="211" t="s">
        <v>308</v>
      </c>
      <c r="K138" s="212"/>
      <c r="L138" s="63"/>
      <c r="M138" s="210" t="s">
        <v>309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250</v>
      </c>
      <c r="B141" s="211" t="s">
        <v>251</v>
      </c>
      <c r="C141" s="211"/>
      <c r="D141" s="211" t="s">
        <v>255</v>
      </c>
      <c r="E141" s="212"/>
      <c r="F141" s="63"/>
      <c r="G141" s="210" t="s">
        <v>312</v>
      </c>
      <c r="H141" s="211" t="s">
        <v>313</v>
      </c>
      <c r="I141" s="211"/>
      <c r="J141" s="211" t="s">
        <v>314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141</v>
      </c>
      <c r="B144" s="211" t="s">
        <v>316</v>
      </c>
      <c r="C144" s="211"/>
      <c r="D144" s="211" t="s">
        <v>317</v>
      </c>
      <c r="E144" s="212"/>
      <c r="F144" s="63"/>
      <c r="G144" s="210" t="s">
        <v>315</v>
      </c>
      <c r="H144" s="211" t="s">
        <v>316</v>
      </c>
      <c r="I144" s="211"/>
      <c r="J144" s="211" t="s">
        <v>317</v>
      </c>
      <c r="K144" s="212"/>
      <c r="L144" s="63"/>
      <c r="M144" s="210" t="s">
        <v>141</v>
      </c>
      <c r="N144" s="211" t="s">
        <v>316</v>
      </c>
      <c r="O144" s="211"/>
      <c r="P144" s="211" t="s">
        <v>317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319</v>
      </c>
      <c r="B147" s="211" t="s">
        <v>320</v>
      </c>
      <c r="C147" s="211"/>
      <c r="D147" s="211" t="s">
        <v>321</v>
      </c>
      <c r="E147" s="212"/>
      <c r="F147" s="63"/>
      <c r="G147" s="210" t="s">
        <v>319</v>
      </c>
      <c r="H147" s="211" t="s">
        <v>320</v>
      </c>
      <c r="I147" s="211"/>
      <c r="J147" s="211" t="s">
        <v>321</v>
      </c>
      <c r="K147" s="212"/>
      <c r="L147" s="63"/>
      <c r="M147" s="210" t="s">
        <v>319</v>
      </c>
      <c r="N147" s="211" t="s">
        <v>320</v>
      </c>
      <c r="O147" s="211"/>
      <c r="P147" s="211" t="s">
        <v>321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323</v>
      </c>
      <c r="B150" s="211" t="s">
        <v>324</v>
      </c>
      <c r="C150" s="211"/>
      <c r="D150" s="211"/>
      <c r="E150" s="212"/>
      <c r="F150" s="63"/>
      <c r="G150" s="210" t="s">
        <v>323</v>
      </c>
      <c r="H150" s="211" t="s">
        <v>324</v>
      </c>
      <c r="I150" s="211"/>
      <c r="J150" s="211"/>
      <c r="K150" s="212"/>
      <c r="L150" s="63"/>
      <c r="M150" s="210" t="s">
        <v>323</v>
      </c>
      <c r="N150" s="211" t="s">
        <v>324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329</v>
      </c>
      <c r="N153" s="163" t="s">
        <v>330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398" t="s">
        <v>331</v>
      </c>
      <c r="B154" s="211"/>
      <c r="C154" s="211"/>
      <c r="D154" s="399"/>
      <c r="E154" s="400"/>
      <c r="F154" s="63"/>
      <c r="G154" s="398" t="s">
        <v>331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84</v>
      </c>
      <c r="B156" s="247" t="s">
        <v>85</v>
      </c>
      <c r="C156" s="247"/>
      <c r="D156" s="211"/>
      <c r="E156" s="212"/>
      <c r="F156" s="63"/>
      <c r="G156" s="246" t="s">
        <v>84</v>
      </c>
      <c r="H156" s="247" t="s">
        <v>85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331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84</v>
      </c>
      <c r="N159" s="247" t="s">
        <v>85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0"/>
      <c r="B163" s="402"/>
      <c r="C163" s="402"/>
      <c r="D163" s="402"/>
      <c r="E163" s="403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510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141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90" t="n">
        <f aca="false">A44+B44</f>
        <v>1</v>
      </c>
      <c r="E44" s="290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366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86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367</v>
      </c>
      <c r="D58" s="211"/>
      <c r="E58" s="212"/>
      <c r="F58" s="63"/>
      <c r="G58" s="210" t="s">
        <v>87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B61*B63</f>
        <v>4051.95</v>
      </c>
      <c r="C64" s="211" t="n">
        <v>10000</v>
      </c>
      <c r="D64" s="277" t="n">
        <f aca="false">B64</f>
        <v>4051.95</v>
      </c>
      <c r="E64" s="212"/>
      <c r="F64" s="63"/>
      <c r="G64" s="310" t="s">
        <v>92</v>
      </c>
      <c r="H64" s="129" t="n">
        <f aca="false">H61*H63</f>
        <v>4051.95</v>
      </c>
      <c r="I64" s="211"/>
      <c r="J64" s="277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11"/>
      <c r="E65" s="212"/>
      <c r="F65" s="63"/>
      <c r="G65" s="304" t="s">
        <v>93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94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B61*B66</f>
        <v>578.85</v>
      </c>
      <c r="C67" s="211"/>
      <c r="D67" s="277"/>
      <c r="E67" s="212"/>
      <c r="F67" s="63"/>
      <c r="G67" s="310" t="s">
        <v>95</v>
      </c>
      <c r="H67" s="129" t="n">
        <f aca="false">H61*H66</f>
        <v>289.425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211"/>
      <c r="D68" s="211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101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0</v>
      </c>
      <c r="C74" s="211"/>
      <c r="D74" s="211"/>
      <c r="E74" s="212"/>
      <c r="F74" s="63"/>
      <c r="G74" s="304" t="s">
        <v>279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</v>
      </c>
      <c r="C75" s="211" t="n">
        <f aca="false">IF(G18&gt;40000, 325, 0)</f>
        <v>325</v>
      </c>
      <c r="D75" s="211"/>
      <c r="E75" s="212"/>
      <c r="F75" s="63"/>
      <c r="G75" s="407" t="s">
        <v>280</v>
      </c>
      <c r="H75" s="411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281</v>
      </c>
      <c r="H76" s="129" t="n">
        <f aca="false">((H74+H75)/12)*(H29-11)</f>
        <v>39.5833333333333</v>
      </c>
      <c r="I76" s="211"/>
      <c r="J76" s="277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282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282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284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102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103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5378.61666666667</v>
      </c>
      <c r="C81" s="211"/>
      <c r="D81" s="211"/>
      <c r="E81" s="212"/>
      <c r="F81" s="63"/>
      <c r="G81" s="422" t="s">
        <v>104</v>
      </c>
      <c r="H81" s="42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448.218055555556</v>
      </c>
      <c r="C82" s="211"/>
      <c r="D82" s="211"/>
      <c r="E82" s="212"/>
      <c r="F82" s="63"/>
      <c r="G82" s="210" t="s">
        <v>105</v>
      </c>
      <c r="H82" s="41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H46</f>
        <v>501</v>
      </c>
      <c r="C83" s="211"/>
      <c r="D83" s="211"/>
      <c r="E83" s="212"/>
      <c r="F83" s="63"/>
      <c r="G83" s="424" t="s">
        <v>106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((B83*(H29)+B81))*1.2</f>
        <v>13668.74</v>
      </c>
      <c r="C85" s="211"/>
      <c r="D85" s="211"/>
      <c r="E85" s="212"/>
      <c r="F85" s="63"/>
      <c r="G85" s="404" t="s">
        <v>116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(((B83*(H29))+B81)/(1-B70))*B70</f>
        <v>96.4917103670835</v>
      </c>
      <c r="C86" s="211"/>
      <c r="D86" s="211"/>
      <c r="E86" s="212"/>
      <c r="F86" s="63"/>
      <c r="G86" s="210" t="s">
        <v>117</v>
      </c>
      <c r="H86" s="41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IF(B110="YES",((B85+B86)-E114),((B85+B86)))</f>
        <v>9765.23171036708</v>
      </c>
      <c r="C87" s="211"/>
      <c r="D87" s="211"/>
      <c r="E87" s="212"/>
      <c r="F87" s="63"/>
      <c r="G87" s="310" t="s">
        <v>118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50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422" t="s">
        <v>119</v>
      </c>
      <c r="H89" s="42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IF(B99=Z102, (B87-D105)/(B58), B87/(B57+B58))</f>
        <v>813.769309197257</v>
      </c>
      <c r="C90" s="211"/>
      <c r="D90" s="211"/>
      <c r="E90" s="212"/>
      <c r="F90" s="63"/>
      <c r="G90" s="427" t="s">
        <v>120</v>
      </c>
      <c r="H90" s="42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813.769309197257</v>
      </c>
      <c r="C91" s="211"/>
      <c r="D91" s="211"/>
      <c r="E91" s="212"/>
      <c r="F91" s="63"/>
      <c r="G91" s="429" t="s">
        <v>121</v>
      </c>
      <c r="H91" s="43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286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289</v>
      </c>
      <c r="B99" s="331" t="s">
        <v>130</v>
      </c>
      <c r="C99" s="331"/>
      <c r="D99" s="103" t="n">
        <v>1000</v>
      </c>
      <c r="E99" s="103"/>
      <c r="F99" s="63"/>
      <c r="G99" s="216" t="s">
        <v>289</v>
      </c>
      <c r="H99" s="331" t="s">
        <v>130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292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33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19</v>
      </c>
      <c r="B105" s="331" t="n">
        <v>0</v>
      </c>
      <c r="C105" s="331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294</v>
      </c>
      <c r="B108" s="213"/>
      <c r="C108" s="213"/>
      <c r="D108" s="213"/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295</v>
      </c>
      <c r="B110" s="218" t="s">
        <v>18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</v>
      </c>
      <c r="E112" s="103" t="n">
        <v>6000</v>
      </c>
      <c r="F112" s="63"/>
      <c r="G112" s="210" t="s">
        <v>176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177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f aca="false">D99</f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296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84</v>
      </c>
      <c r="H126" s="211" t="s">
        <v>85</v>
      </c>
      <c r="I126" s="211"/>
      <c r="J126" s="211" t="s">
        <v>87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813.769309197257</v>
      </c>
      <c r="B128" s="338" t="n">
        <f aca="false">IF(A105="YES", B89, 0)</f>
        <v>0</v>
      </c>
      <c r="C128" s="394"/>
      <c r="D128" s="338" t="n">
        <f aca="false">B91</f>
        <v>813.769309197257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300</v>
      </c>
      <c r="H129" s="434" t="s">
        <v>301</v>
      </c>
      <c r="I129" s="434"/>
      <c r="J129" s="434" t="s">
        <v>302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348" t="n">
        <f aca="false">H90</f>
        <v>1171.69258941778</v>
      </c>
      <c r="H130" s="174" t="n">
        <f aca="false">IF(G105="YES", H89*H57, 0)</f>
        <v>0</v>
      </c>
      <c r="I130" s="174"/>
      <c r="J130" s="349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813.769309197257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813.769309197257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813.769309197257</v>
      </c>
      <c r="B137" s="38" t="n">
        <f aca="false">IF(A105="YES", B89, 0)</f>
        <v>0</v>
      </c>
      <c r="C137" s="280"/>
      <c r="D137" s="38" t="n">
        <f aca="false">B91</f>
        <v>813.769309197257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813.769309197257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297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127</v>
      </c>
      <c r="B167" s="366" t="s">
        <v>39</v>
      </c>
      <c r="C167" s="367"/>
      <c r="D167" s="366" t="s">
        <v>85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289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120</v>
      </c>
      <c r="B170" s="366" t="s">
        <v>298</v>
      </c>
      <c r="C170" s="367"/>
      <c r="D170" s="366" t="s">
        <v>299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813.769309197257</v>
      </c>
      <c r="B171" s="367" t="n">
        <f aca="false">IF(A105="YES", B89, 0)</f>
        <v>0</v>
      </c>
      <c r="C171" s="395"/>
      <c r="D171" s="367" t="n">
        <f aca="false">B91</f>
        <v>813.769309197257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304</v>
      </c>
      <c r="C173" s="226"/>
      <c r="D173" s="370" t="s">
        <v>305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Monthly in advance </v>
      </c>
      <c r="B174" s="99" t="n">
        <f aca="false">B90*B57</f>
        <v>813.769309197257</v>
      </c>
      <c r="C174" s="282"/>
      <c r="D174" s="99" t="n">
        <f aca="false">IF(A105="YES", B89*B57, 0)</f>
        <v>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310</v>
      </c>
      <c r="B176" s="163" t="s">
        <v>311</v>
      </c>
      <c r="C176" s="285"/>
      <c r="D176" s="237" t="s">
        <v>205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813.769309197257</v>
      </c>
      <c r="B177" s="99" t="n">
        <f aca="false">E114</f>
        <v>4000</v>
      </c>
      <c r="C177" s="282"/>
      <c r="D177" s="371" t="n">
        <f aca="false">B58</f>
        <v>11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120</v>
      </c>
      <c r="B179" s="373" t="s">
        <v>298</v>
      </c>
      <c r="C179" s="282"/>
      <c r="D179" s="282" t="s">
        <v>299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813.769309197257</v>
      </c>
      <c r="B180" s="99" t="n">
        <f aca="false">IF(A105="YES", B89, 0)</f>
        <v>0</v>
      </c>
      <c r="C180" s="282"/>
      <c r="D180" s="99" t="n">
        <f aca="false">B91</f>
        <v>813.769309197257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318</v>
      </c>
      <c r="C182" s="99"/>
      <c r="D182" s="374" t="s">
        <v>74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322</v>
      </c>
      <c r="B185" s="374" t="s">
        <v>53</v>
      </c>
      <c r="C185" s="99"/>
      <c r="D185" s="374" t="s">
        <v>282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325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326</v>
      </c>
      <c r="B190" s="282" t="s">
        <v>327</v>
      </c>
      <c r="C190" s="282"/>
      <c r="D190" s="282" t="s">
        <v>328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332</v>
      </c>
      <c r="B193" s="282" t="s">
        <v>324</v>
      </c>
      <c r="C193" s="282"/>
      <c r="D193" s="282" t="s">
        <v>321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333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211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212</v>
      </c>
      <c r="B203" s="376" t="n">
        <f aca="false">B209</f>
        <v>0.065</v>
      </c>
      <c r="C203" s="338" t="s">
        <v>214</v>
      </c>
      <c r="D203" s="377" t="n">
        <f aca="false">D64</f>
        <v>4051.95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215</v>
      </c>
      <c r="B205" s="338" t="n">
        <f aca="false">B213</f>
        <v>578.85</v>
      </c>
      <c r="C205" s="337" t="s">
        <v>216</v>
      </c>
      <c r="D205" s="377" t="n">
        <f aca="false">B219+E215+B215+B217</f>
        <v>339.99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217</v>
      </c>
      <c r="B207" s="338" t="n">
        <f aca="false">E217</f>
        <v>3813.09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212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214</v>
      </c>
      <c r="B211" s="100" t="n">
        <f aca="false">D64</f>
        <v>4051.95</v>
      </c>
      <c r="C211" s="381" t="s">
        <v>220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220</v>
      </c>
      <c r="B213" s="100" t="n">
        <f aca="false">B67</f>
        <v>578.85</v>
      </c>
      <c r="C213" s="351" t="s">
        <v>334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334</v>
      </c>
      <c r="B215" s="237" t="n">
        <f aca="false">B191*E213*100</f>
        <v>40</v>
      </c>
      <c r="C215" s="351" t="s">
        <v>222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335</v>
      </c>
      <c r="B217" s="237" t="n">
        <f aca="false">B78-(B78*(E213*100))</f>
        <v>200</v>
      </c>
      <c r="C217" s="351" t="s">
        <v>217</v>
      </c>
      <c r="D217" s="280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336</v>
      </c>
      <c r="B219" s="356" t="n">
        <f aca="false">D191/0.1</f>
        <v>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337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224</v>
      </c>
      <c r="B223" s="100" t="n">
        <f aca="false">B71</f>
        <v>200</v>
      </c>
      <c r="C223" s="351" t="s">
        <v>225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226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227</v>
      </c>
      <c r="B225" s="386" t="n">
        <f aca="false">B68</f>
        <v>0.0075</v>
      </c>
      <c r="C225" s="351" t="s">
        <v>228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229</v>
      </c>
      <c r="D226" s="358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230</v>
      </c>
      <c r="B227" s="100" t="n">
        <f aca="false">B79</f>
        <v>200</v>
      </c>
      <c r="C227" s="387" t="s">
        <v>338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231</v>
      </c>
      <c r="B229" s="100" t="n">
        <f aca="false">B80</f>
        <v>200</v>
      </c>
      <c r="C229" s="391" t="s">
        <v>339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145</v>
      </c>
      <c r="C2" s="496" t="s">
        <v>146</v>
      </c>
      <c r="D2" s="496" t="s">
        <v>147</v>
      </c>
      <c r="E2" s="482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151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152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153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154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155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163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164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165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166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167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168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169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170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171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172</v>
      </c>
      <c r="C18" s="489"/>
      <c r="D18" s="489"/>
      <c r="E18" s="502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172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172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173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86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87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45011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130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121</v>
      </c>
      <c r="C40" s="226"/>
      <c r="D40" s="181" t="s">
        <v>141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90" t="n">
        <f aca="false">A44+B44</f>
        <v>1</v>
      </c>
      <c r="E44" s="290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366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83</v>
      </c>
      <c r="B48" s="211"/>
      <c r="C48" s="211"/>
      <c r="D48" s="399"/>
      <c r="E48" s="400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84</v>
      </c>
      <c r="B50" s="247" t="s">
        <v>85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86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86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87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367</v>
      </c>
      <c r="D58" s="211"/>
      <c r="E58" s="212"/>
      <c r="F58" s="63"/>
      <c r="G58" s="210" t="s">
        <v>87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277</v>
      </c>
      <c r="B62" s="305" t="n">
        <v>0.07</v>
      </c>
      <c r="C62" s="211"/>
      <c r="D62" s="211"/>
      <c r="E62" s="212"/>
      <c r="F62" s="63"/>
      <c r="G62" s="304" t="s">
        <v>277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92</v>
      </c>
      <c r="B64" s="129" t="n">
        <f aca="false">B61*B63</f>
        <v>4051.95</v>
      </c>
      <c r="C64" s="211" t="n">
        <v>10000</v>
      </c>
      <c r="D64" s="277" t="n">
        <f aca="false">B64</f>
        <v>4051.95</v>
      </c>
      <c r="E64" s="212"/>
      <c r="F64" s="63"/>
      <c r="G64" s="310" t="s">
        <v>92</v>
      </c>
      <c r="H64" s="129" t="n">
        <f aca="false">H61*H63</f>
        <v>4051.95</v>
      </c>
      <c r="I64" s="211"/>
      <c r="J64" s="277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93</v>
      </c>
      <c r="B65" s="305" t="n">
        <v>0.01</v>
      </c>
      <c r="C65" s="211"/>
      <c r="D65" s="211"/>
      <c r="E65" s="212"/>
      <c r="F65" s="63"/>
      <c r="G65" s="304" t="s">
        <v>93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94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94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95</v>
      </c>
      <c r="B67" s="129" t="n">
        <f aca="false">B61*B66</f>
        <v>578.85</v>
      </c>
      <c r="C67" s="211"/>
      <c r="D67" s="277"/>
      <c r="E67" s="212"/>
      <c r="F67" s="63"/>
      <c r="G67" s="310" t="s">
        <v>95</v>
      </c>
      <c r="H67" s="129" t="n">
        <f aca="false">H61*H66</f>
        <v>289.425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96</v>
      </c>
      <c r="B68" s="305" t="n">
        <v>0.0075</v>
      </c>
      <c r="C68" s="211"/>
      <c r="D68" s="211"/>
      <c r="E68" s="212"/>
      <c r="F68" s="63"/>
      <c r="G68" s="304" t="s">
        <v>96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97</v>
      </c>
      <c r="B69" s="408" t="n">
        <v>0.12</v>
      </c>
      <c r="C69" s="211"/>
      <c r="D69" s="211"/>
      <c r="E69" s="212"/>
      <c r="F69" s="63"/>
      <c r="G69" s="407" t="s">
        <v>97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98</v>
      </c>
      <c r="B70" s="409" t="n">
        <f aca="false">B68*(1+B69)</f>
        <v>0.0084</v>
      </c>
      <c r="C70" s="211"/>
      <c r="D70" s="211"/>
      <c r="E70" s="212"/>
      <c r="F70" s="63"/>
      <c r="G70" s="310" t="s">
        <v>98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99</v>
      </c>
      <c r="B71" s="410" t="n">
        <v>200</v>
      </c>
      <c r="C71" s="211"/>
      <c r="D71" s="211"/>
      <c r="E71" s="212"/>
      <c r="F71" s="63"/>
      <c r="G71" s="304" t="s">
        <v>99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100</v>
      </c>
      <c r="B72" s="411" t="n">
        <v>5</v>
      </c>
      <c r="C72" s="211"/>
      <c r="D72" s="211"/>
      <c r="E72" s="212"/>
      <c r="F72" s="63"/>
      <c r="G72" s="407" t="s">
        <v>100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101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101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279</v>
      </c>
      <c r="B74" s="410" t="n">
        <v>0</v>
      </c>
      <c r="C74" s="211"/>
      <c r="D74" s="211"/>
      <c r="E74" s="212"/>
      <c r="F74" s="63"/>
      <c r="G74" s="304" t="s">
        <v>279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280</v>
      </c>
      <c r="B75" s="411" t="n">
        <v>0</v>
      </c>
      <c r="C75" s="211"/>
      <c r="D75" s="211"/>
      <c r="E75" s="212"/>
      <c r="F75" s="63"/>
      <c r="G75" s="407" t="s">
        <v>280</v>
      </c>
      <c r="H75" s="411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281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281</v>
      </c>
      <c r="H76" s="129" t="n">
        <f aca="false">((H74+H75)/12)*(H29-11)</f>
        <v>39.5833333333333</v>
      </c>
      <c r="I76" s="211"/>
      <c r="J76" s="277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282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282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284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284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102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102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103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103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104</v>
      </c>
      <c r="B81" s="423" t="n">
        <f aca="false">SUM(D64:D80)</f>
        <v>5378.61666666667</v>
      </c>
      <c r="C81" s="211"/>
      <c r="D81" s="211"/>
      <c r="E81" s="212"/>
      <c r="F81" s="63"/>
      <c r="G81" s="422" t="s">
        <v>104</v>
      </c>
      <c r="H81" s="42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105</v>
      </c>
      <c r="B82" s="419" t="n">
        <f aca="false">B81/H29</f>
        <v>448.218055555556</v>
      </c>
      <c r="C82" s="211"/>
      <c r="D82" s="211"/>
      <c r="E82" s="212"/>
      <c r="F82" s="63"/>
      <c r="G82" s="210" t="s">
        <v>105</v>
      </c>
      <c r="H82" s="41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106</v>
      </c>
      <c r="B83" s="425" t="n">
        <f aca="false">H46</f>
        <v>501</v>
      </c>
      <c r="C83" s="211"/>
      <c r="D83" s="211"/>
      <c r="E83" s="212"/>
      <c r="F83" s="63"/>
      <c r="G83" s="424" t="s">
        <v>106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116</v>
      </c>
      <c r="B85" s="127" t="n">
        <f aca="false">((B83*(H29)+B81))</f>
        <v>11390.6166666667</v>
      </c>
      <c r="C85" s="211"/>
      <c r="D85" s="211"/>
      <c r="E85" s="212"/>
      <c r="F85" s="63"/>
      <c r="G85" s="404" t="s">
        <v>116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117</v>
      </c>
      <c r="B86" s="419" t="n">
        <f aca="false">(B85/(1-B70))*B70</f>
        <v>96.4917103670835</v>
      </c>
      <c r="C86" s="211"/>
      <c r="D86" s="211"/>
      <c r="E86" s="212"/>
      <c r="F86" s="63"/>
      <c r="G86" s="210" t="s">
        <v>117</v>
      </c>
      <c r="H86" s="41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118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310" t="s">
        <v>118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119</v>
      </c>
      <c r="B89" s="450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422" t="s">
        <v>119</v>
      </c>
      <c r="H89" s="42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120</v>
      </c>
      <c r="B90" s="428" t="n">
        <f aca="false">IF(B99=Z102, (B87-D105)/(B58), B87/(B57+B58))</f>
        <v>623.925698086146</v>
      </c>
      <c r="C90" s="211"/>
      <c r="D90" s="211"/>
      <c r="E90" s="212"/>
      <c r="F90" s="63"/>
      <c r="G90" s="427" t="s">
        <v>120</v>
      </c>
      <c r="H90" s="42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121</v>
      </c>
      <c r="B91" s="430" t="n">
        <f aca="false">IF(A105="YES", B90+B89, B90)</f>
        <v>623.925698086146</v>
      </c>
      <c r="C91" s="211"/>
      <c r="D91" s="211"/>
      <c r="E91" s="212"/>
      <c r="F91" s="63"/>
      <c r="G91" s="429" t="s">
        <v>121</v>
      </c>
      <c r="H91" s="43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286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126</v>
      </c>
      <c r="B96" s="213"/>
      <c r="C96" s="213"/>
      <c r="D96" s="213"/>
      <c r="E96" s="213"/>
      <c r="F96" s="63"/>
      <c r="G96" s="213" t="s">
        <v>126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127</v>
      </c>
      <c r="B98" s="211" t="s">
        <v>23</v>
      </c>
      <c r="C98" s="211"/>
      <c r="D98" s="211" t="s">
        <v>288</v>
      </c>
      <c r="E98" s="212"/>
      <c r="F98" s="63"/>
      <c r="G98" s="210" t="s">
        <v>127</v>
      </c>
      <c r="H98" s="211" t="s">
        <v>23</v>
      </c>
      <c r="I98" s="211"/>
      <c r="J98" s="211" t="s">
        <v>288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289</v>
      </c>
      <c r="B99" s="331" t="s">
        <v>340</v>
      </c>
      <c r="C99" s="331"/>
      <c r="D99" s="103" t="n">
        <v>1000</v>
      </c>
      <c r="E99" s="103"/>
      <c r="F99" s="63"/>
      <c r="G99" s="216" t="s">
        <v>289</v>
      </c>
      <c r="H99" s="331" t="s">
        <v>130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290</v>
      </c>
      <c r="B101" s="211" t="s">
        <v>291</v>
      </c>
      <c r="C101" s="211"/>
      <c r="D101" s="211" t="s">
        <v>292</v>
      </c>
      <c r="E101" s="212"/>
      <c r="F101" s="63"/>
      <c r="G101" s="210" t="s">
        <v>290</v>
      </c>
      <c r="H101" s="211" t="s">
        <v>291</v>
      </c>
      <c r="I101" s="211"/>
      <c r="J101" s="211" t="s">
        <v>292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128</v>
      </c>
      <c r="B104" s="63" t="s">
        <v>131</v>
      </c>
      <c r="C104" s="211"/>
      <c r="D104" s="211" t="s">
        <v>142</v>
      </c>
      <c r="E104" s="212"/>
      <c r="F104" s="63"/>
      <c r="G104" s="216" t="s">
        <v>128</v>
      </c>
      <c r="H104" s="63" t="s">
        <v>131</v>
      </c>
      <c r="I104" s="211"/>
      <c r="J104" s="211" t="s">
        <v>142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19</v>
      </c>
      <c r="B105" s="331" t="n">
        <v>0</v>
      </c>
      <c r="C105" s="331"/>
      <c r="D105" s="103" t="s">
        <v>341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294</v>
      </c>
      <c r="B108" s="213"/>
      <c r="C108" s="213"/>
      <c r="D108" s="213"/>
      <c r="E108" s="213"/>
      <c r="F108" s="63"/>
      <c r="G108" s="213" t="s">
        <v>294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295</v>
      </c>
      <c r="B110" s="218" t="s">
        <v>18</v>
      </c>
      <c r="C110" s="211"/>
      <c r="D110" s="211"/>
      <c r="E110" s="212"/>
      <c r="F110" s="63"/>
      <c r="G110" s="210" t="s">
        <v>295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176</v>
      </c>
      <c r="B112" s="211"/>
      <c r="C112" s="211"/>
      <c r="D112" s="333" t="n">
        <v>10000</v>
      </c>
      <c r="E112" s="103" t="n">
        <v>6000</v>
      </c>
      <c r="F112" s="63"/>
      <c r="G112" s="210" t="s">
        <v>176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177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177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178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178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179</v>
      </c>
      <c r="B115" s="211"/>
      <c r="C115" s="211"/>
      <c r="D115" s="163" t="n">
        <f aca="false">D114-E114</f>
        <v>4000</v>
      </c>
      <c r="E115" s="212"/>
      <c r="F115" s="63"/>
      <c r="G115" s="210" t="s">
        <v>179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138</v>
      </c>
      <c r="B117" s="405"/>
      <c r="C117" s="405"/>
      <c r="D117" s="405"/>
      <c r="E117" s="127" t="n">
        <f aca="false">D99</f>
        <v>1000</v>
      </c>
      <c r="F117" s="63"/>
      <c r="G117" s="404" t="s">
        <v>138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296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296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297</v>
      </c>
      <c r="B122" s="213"/>
      <c r="C122" s="213"/>
      <c r="D122" s="213"/>
      <c r="E122" s="213"/>
      <c r="F122" s="63"/>
      <c r="G122" s="213" t="s">
        <v>297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127</v>
      </c>
      <c r="B124" s="337" t="n">
        <v>0</v>
      </c>
      <c r="C124" s="338"/>
      <c r="D124" s="337" t="s">
        <v>85</v>
      </c>
      <c r="E124" s="339"/>
      <c r="F124" s="63"/>
      <c r="G124" s="210" t="s">
        <v>183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289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84</v>
      </c>
      <c r="H126" s="211" t="s">
        <v>85</v>
      </c>
      <c r="I126" s="211"/>
      <c r="J126" s="211" t="s">
        <v>87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120</v>
      </c>
      <c r="B127" s="337" t="s">
        <v>298</v>
      </c>
      <c r="C127" s="338"/>
      <c r="D127" s="337" t="s">
        <v>299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623.925698086146</v>
      </c>
      <c r="B128" s="338" t="n">
        <f aca="false">IF(A105="YES", B89, 0)</f>
        <v>0</v>
      </c>
      <c r="C128" s="394"/>
      <c r="D128" s="338" t="n">
        <f aca="false">B91</f>
        <v>623.925698086146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300</v>
      </c>
      <c r="H129" s="434" t="s">
        <v>301</v>
      </c>
      <c r="I129" s="434"/>
      <c r="J129" s="434" t="s">
        <v>302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304</v>
      </c>
      <c r="C130" s="343"/>
      <c r="D130" s="347" t="s">
        <v>305</v>
      </c>
      <c r="E130" s="283"/>
      <c r="F130" s="63"/>
      <c r="G130" s="348" t="n">
        <f aca="false">H90</f>
        <v>1171.69258941778</v>
      </c>
      <c r="H130" s="174" t="n">
        <f aca="false">IF(G105="YES", H89*H57, 0)</f>
        <v>0</v>
      </c>
      <c r="I130" s="174"/>
      <c r="J130" s="349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5615.33128277531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306</v>
      </c>
      <c r="H132" s="211" t="s">
        <v>307</v>
      </c>
      <c r="I132" s="211"/>
      <c r="J132" s="211" t="s">
        <v>308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310</v>
      </c>
      <c r="B133" s="39" t="s">
        <v>311</v>
      </c>
      <c r="C133" s="351"/>
      <c r="D133" s="243" t="s">
        <v>205</v>
      </c>
      <c r="E133" s="283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5615.33128277531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312</v>
      </c>
      <c r="H135" s="211" t="s">
        <v>313</v>
      </c>
      <c r="I135" s="211"/>
      <c r="J135" s="211" t="s">
        <v>314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120</v>
      </c>
      <c r="B136" s="354" t="s">
        <v>298</v>
      </c>
      <c r="C136" s="280"/>
      <c r="D136" s="280" t="s">
        <v>299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0</v>
      </c>
      <c r="C137" s="280"/>
      <c r="D137" s="38" t="n">
        <f aca="false">B91</f>
        <v>623.925698086146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315</v>
      </c>
      <c r="H138" s="211" t="s">
        <v>316</v>
      </c>
      <c r="I138" s="211"/>
      <c r="J138" s="211" t="s">
        <v>317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318</v>
      </c>
      <c r="C139" s="38"/>
      <c r="D139" s="356" t="s">
        <v>74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319</v>
      </c>
      <c r="H141" s="211" t="s">
        <v>320</v>
      </c>
      <c r="I141" s="211"/>
      <c r="J141" s="211" t="s">
        <v>321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322</v>
      </c>
      <c r="B142" s="356" t="s">
        <v>53</v>
      </c>
      <c r="C142" s="38"/>
      <c r="D142" s="356" t="s">
        <v>282</v>
      </c>
      <c r="E142" s="283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323</v>
      </c>
      <c r="H144" s="211" t="s">
        <v>324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325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326</v>
      </c>
      <c r="B147" s="280" t="s">
        <v>327</v>
      </c>
      <c r="C147" s="280"/>
      <c r="D147" s="280" t="s">
        <v>328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398" t="s">
        <v>331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332</v>
      </c>
      <c r="B150" s="280" t="s">
        <v>324</v>
      </c>
      <c r="C150" s="280"/>
      <c r="D150" s="280" t="s">
        <v>321</v>
      </c>
      <c r="E150" s="283"/>
      <c r="F150" s="63"/>
      <c r="G150" s="246" t="s">
        <v>84</v>
      </c>
      <c r="H150" s="247" t="s">
        <v>85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333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331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84</v>
      </c>
      <c r="B159" s="247" t="s">
        <v>85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623.925698086146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297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127</v>
      </c>
      <c r="B167" s="366" t="s">
        <v>39</v>
      </c>
      <c r="C167" s="367"/>
      <c r="D167" s="366" t="s">
        <v>85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289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120</v>
      </c>
      <c r="B170" s="366" t="s">
        <v>298</v>
      </c>
      <c r="C170" s="367"/>
      <c r="D170" s="366" t="s">
        <v>299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623.925698086146</v>
      </c>
      <c r="B171" s="367" t="n">
        <f aca="false">IF(A105="YES", B89, 0)</f>
        <v>0</v>
      </c>
      <c r="C171" s="395"/>
      <c r="D171" s="367" t="n">
        <f aca="false">B91</f>
        <v>623.925698086146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304</v>
      </c>
      <c r="C173" s="226"/>
      <c r="D173" s="370" t="s">
        <v>305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5615.33128277531</v>
      </c>
      <c r="C174" s="282"/>
      <c r="D174" s="99" t="n">
        <f aca="false">IF(A105="YES", B89*B57, 0)</f>
        <v>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310</v>
      </c>
      <c r="B176" s="163" t="s">
        <v>311</v>
      </c>
      <c r="C176" s="285"/>
      <c r="D176" s="237" t="s">
        <v>205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5615.33128277531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120</v>
      </c>
      <c r="B179" s="373" t="s">
        <v>298</v>
      </c>
      <c r="C179" s="282"/>
      <c r="D179" s="282" t="s">
        <v>299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0</v>
      </c>
      <c r="C180" s="282"/>
      <c r="D180" s="99" t="n">
        <f aca="false">B91</f>
        <v>623.925698086146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318</v>
      </c>
      <c r="C182" s="99"/>
      <c r="D182" s="374" t="s">
        <v>74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322</v>
      </c>
      <c r="B185" s="374" t="s">
        <v>53</v>
      </c>
      <c r="C185" s="99"/>
      <c r="D185" s="374" t="s">
        <v>282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325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326</v>
      </c>
      <c r="B190" s="282" t="s">
        <v>327</v>
      </c>
      <c r="C190" s="282"/>
      <c r="D190" s="282" t="s">
        <v>328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332</v>
      </c>
      <c r="B193" s="282" t="s">
        <v>324</v>
      </c>
      <c r="C193" s="282"/>
      <c r="D193" s="282" t="s">
        <v>321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333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211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212</v>
      </c>
      <c r="B203" s="376" t="n">
        <f aca="false">H29</f>
        <v>12</v>
      </c>
      <c r="C203" s="338" t="s">
        <v>214</v>
      </c>
      <c r="D203" s="377" t="n">
        <f aca="false">D64</f>
        <v>4051.95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215</v>
      </c>
      <c r="B205" s="338" t="n">
        <f aca="false">B213</f>
        <v>578.85</v>
      </c>
      <c r="C205" s="337" t="s">
        <v>216</v>
      </c>
      <c r="D205" s="377" t="n">
        <f aca="false">B219+E215+B215+B217</f>
        <v>339.99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217</v>
      </c>
      <c r="B207" s="338" t="n">
        <f aca="false">E217</f>
        <v>3813.09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212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214</v>
      </c>
      <c r="B211" s="100" t="n">
        <f aca="false">D64</f>
        <v>4051.95</v>
      </c>
      <c r="C211" s="381" t="s">
        <v>220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220</v>
      </c>
      <c r="B213" s="100" t="n">
        <f aca="false">B67</f>
        <v>578.85</v>
      </c>
      <c r="C213" s="351" t="s">
        <v>334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334</v>
      </c>
      <c r="B215" s="237" t="n">
        <f aca="false">B191*E213*100</f>
        <v>40</v>
      </c>
      <c r="C215" s="351" t="s">
        <v>222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335</v>
      </c>
      <c r="B217" s="237" t="n">
        <f aca="false">B78-(B78*(E213*100))</f>
        <v>200</v>
      </c>
      <c r="C217" s="351" t="s">
        <v>217</v>
      </c>
      <c r="D217" s="280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336</v>
      </c>
      <c r="B219" s="356" t="n">
        <f aca="false">D191/0.1</f>
        <v>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337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224</v>
      </c>
      <c r="B223" s="100" t="n">
        <f aca="false">B71</f>
        <v>200</v>
      </c>
      <c r="C223" s="351" t="s">
        <v>225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226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227</v>
      </c>
      <c r="B225" s="386" t="n">
        <f aca="false">B68</f>
        <v>0.0075</v>
      </c>
      <c r="C225" s="351" t="s">
        <v>228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229</v>
      </c>
      <c r="D226" s="358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230</v>
      </c>
      <c r="B227" s="100" t="n">
        <f aca="false">B79</f>
        <v>200</v>
      </c>
      <c r="C227" s="387" t="s">
        <v>338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231</v>
      </c>
      <c r="B229" s="100" t="n">
        <f aca="false">B80</f>
        <v>200</v>
      </c>
      <c r="C229" s="391" t="s">
        <v>339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4401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2023-03-25T14:20:12Z</dcterms:modified>
  <cp:revision>722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