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CP_used_car" sheetId="1" state="visible" r:id="rId2"/>
    <sheet name="CP_used_car" sheetId="2" state="visible" r:id="rId3"/>
    <sheet name="HPR_used_car" sheetId="3" state="visible" r:id="rId4"/>
    <sheet name="HPNR_used_car" sheetId="4" state="visible" r:id="rId5"/>
    <sheet name="HPNR (F3)-BCH_Used_car" sheetId="5" state="visible" r:id="rId6"/>
    <sheet name="BCH-F3-PCH_Used_car" sheetId="6" state="visible" r:id="rId7"/>
    <sheet name="BCH-F3-BCH_Used_car" sheetId="7" state="visible" r:id="rId8"/>
    <sheet name="Formula1-FL_Used_car" sheetId="8" state="visible" r:id="rId9"/>
    <sheet name="Formula1-PCH_Used_car" sheetId="9" state="visible" r:id="rId10"/>
    <sheet name="CP (Formula 3) - PCH" sheetId="10" state="visible" r:id="rId11"/>
    <sheet name="CP (Formula 3) - BCH" sheetId="11" state="visible" r:id="rId12"/>
    <sheet name="CP (Formula 2) - CP" sheetId="12" state="visible" r:id="rId13"/>
    <sheet name="CP (Formula 2) - PCP" sheetId="13" state="visible" r:id="rId14"/>
    <sheet name="Formula1-BCH_Used_car" sheetId="14" state="visible" r:id="rId15"/>
    <sheet name="Formula1-BCH" sheetId="15" state="visible" r:id="rId16"/>
    <sheet name="HPNR (Formula 3) - PCP" sheetId="16" state="visible" r:id="rId17"/>
    <sheet name="HPNR (Formula 3) - CP" sheetId="17" state="visible" r:id="rId18"/>
    <sheet name="HPNR (Formula 3) - HPR" sheetId="18" state="visible" r:id="rId19"/>
    <sheet name="HPNR (Formula 3) - FL" sheetId="19" state="visible" r:id="rId20"/>
    <sheet name="HPNR (Formula 3) - PCH" sheetId="20" state="visible" r:id="rId21"/>
    <sheet name="HPNR (Formula 3) - BCH" sheetId="21" state="visible" r:id="rId22"/>
    <sheet name="HPNR (Formula 3) - HPNR" sheetId="22" state="visible" r:id="rId23"/>
    <sheet name="FL (Formula 3) - FL" sheetId="23" state="visible" r:id="rId24"/>
    <sheet name="FL (Formula 3) - PCH" sheetId="24" state="visible" r:id="rId25"/>
    <sheet name="FL (Formula 3) - BCH" sheetId="25" state="visible" r:id="rId26"/>
    <sheet name="HirePurchaseNonRegulated" sheetId="26" state="visible" r:id="rId27"/>
    <sheet name="HirePurchaseRegulated" sheetId="27" state="visible" r:id="rId28"/>
    <sheet name="PersonalContractPurchase" sheetId="28" state="visible" r:id="rId29"/>
    <sheet name="ContractPurchase" sheetId="29" state="visible" r:id="rId30"/>
    <sheet name="Formula1-FL" sheetId="30" state="visible" r:id="rId31"/>
    <sheet name="Formula1-PCH" sheetId="31" state="visible" r:id="rId32"/>
    <sheet name="FL (Formula 3) - BCH, PCH, FL" sheetId="32" state="visible" r:id="rId33"/>
    <sheet name="BCH (Formula 3) - PCH" sheetId="33" state="visible" r:id="rId34"/>
    <sheet name="BCH (Formula 3) - BCH" sheetId="34" state="visible" r:id="rId3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<sst xmlns="http://schemas.openxmlformats.org/spreadsheetml/2006/main" count="15945" uniqueCount="382">
  <si>
    <t xml:space="preserve">Calculations</t>
  </si>
  <si>
    <t xml:space="preserve">Cost price ex. VAT &amp; RFL </t>
  </si>
  <si>
    <t xml:space="preserve">VAT </t>
  </si>
  <si>
    <t xml:space="preserve">RFL &amp; FRF </t>
  </si>
  <si>
    <t xml:space="preserve"> </t>
  </si>
  <si>
    <t xml:space="preserve">Cost OTR price </t>
  </si>
  <si>
    <t xml:space="preserve">OTR component </t>
  </si>
  <si>
    <t xml:space="preserve">Cost price</t>
  </si>
  <si>
    <t xml:space="preserve">Vehicle cost price </t>
  </si>
  <si>
    <t xml:space="preserve">YES</t>
  </si>
  <si>
    <t xml:space="preserve">NO</t>
  </si>
  <si>
    <t xml:space="preserve">Options and preparation cost </t>
  </si>
  <si>
    <t xml:space="preserve">RFL </t>
  </si>
  <si>
    <t xml:space="preserve">Target OTR</t>
  </si>
  <si>
    <t xml:space="preserve">OTR price </t>
  </si>
  <si>
    <t xml:space="preserve">Buying group</t>
  </si>
  <si>
    <t xml:space="preserve">P11D</t>
  </si>
  <si>
    <t xml:space="preserve">Dealer</t>
  </si>
  <si>
    <t xml:space="preserve">Manufacturer</t>
  </si>
  <si>
    <t xml:space="preserve">OTR for invoice </t>
  </si>
  <si>
    <t xml:space="preserve">       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</si>
  <si>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</si>
  <si>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</si>
  <si>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</si>
  <si>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</si>
  <si>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</si>
  <si>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Own book customer quote</t>
  </si>
  <si>
    <t xml:space="preserve">Advance payment in Value</t>
  </si>
  <si>
    <t xml:space="preserve">Term (months)</t>
  </si>
  <si>
    <t xml:space="preserve">Target rental</t>
  </si>
  <si>
    <t xml:space="preserve">0</t>
  </si>
  <si>
    <t xml:space="preserve">Mileage</t>
  </si>
  <si>
    <t xml:space="preserve">Residual Value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</si>
  <si>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</si>
  <si>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</si>
  <si>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</si>
  <si>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</si>
  <si>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</si>
  <si>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</si>
  <si>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</si>
  <si>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</si>
  <si>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</si>
  <si>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</si>
  <si>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</si>
  <si>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</si>
  <si>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</si>
  <si>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</si>
  <si>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</si>
  <si>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</si>
  <si>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</si>
  <si>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</si>
  <si>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</si>
  <si>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</si>
  <si>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</si>
  <si>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</si>
  <si>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</si>
  <si>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</si>
  <si>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</si>
  <si>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</si>
  <si>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</si>
  <si>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</si>
  <si>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</si>
  <si>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</si>
  <si>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</si>
  <si>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</si>
  <si>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</si>
  <si>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</si>
  <si>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</si>
  <si>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</si>
  <si>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</si>
  <si>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</si>
  <si>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</si>
  <si>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</si>
  <si>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</si>
  <si>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</si>
  <si>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</si>
  <si>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</si>
  <si>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</si>
  <si>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</si>
  <si>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</si>
  <si>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</si>
  <si>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</si>
  <si>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</si>
  <si>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</si>
  <si>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</si>
  <si>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</si>
  <si>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</si>
  <si>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</si>
  <si>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</si>
  <si>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</si>
  <si>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</si>
  <si>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</si>
  <si>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</si>
  <si>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</si>
  <si>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</si>
  <si>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</si>
  <si>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</si>
  <si>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</si>
  <si>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Contract type</t>
  </si>
  <si>
    <t xml:space="preserve">Hire purchase - NON regulated</t>
  </si>
  <si>
    <t xml:space="preserve"> Monthly in advance </t>
  </si>
  <si>
    <t xml:space="preserve">Maintenance margin %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</si>
  <si>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</si>
  <si>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</si>
  <si>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</si>
  <si>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</si>
  <si>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</si>
  <si>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</si>
  <si>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Order deposit</t>
  </si>
  <si>
    <t xml:space="preserve">Finance deposit</t>
  </si>
  <si>
    <t xml:space="preserve">Total deposit</t>
  </si>
  <si>
    <t xml:space="preserve">Document fee (Ex. VAT)</t>
  </si>
  <si>
    <t xml:space="preserve">Initial payment</t>
  </si>
  <si>
    <t xml:space="preserve">239.99</t>
  </si>
  <si>
    <t xml:space="preserve">       Sales price</t>
  </si>
  <si>
    <t xml:space="preserve">Vehicle</t>
  </si>
  <si>
    <t xml:space="preserve">Paint</t>
  </si>
  <si>
    <t xml:space="preserve">Options</t>
  </si>
  <si>
    <t xml:space="preserve">Accessories</t>
  </si>
  <si>
    <t xml:space="preserve">OTR price</t>
  </si>
  <si>
    <t xml:space="preserve">Sales price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</si>
  <si>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</si>
  <si>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</si>
  <si>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</si>
  <si>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</si>
  <si>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</si>
  <si>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</si>
  <si>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</si>
  <si>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</si>
  <si>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</si>
  <si>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</si>
  <si>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</si>
  <si>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</si>
  <si>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</si>
  <si>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</si>
  <si>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</si>
  <si>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</si>
  <si>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</si>
  <si>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</si>
  <si>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On the road price for invoice           </t>
  </si>
  <si>
    <t xml:space="preserve">Rebate           </t>
  </si>
  <si>
    <t xml:space="preserve">Other support           </t>
  </si>
  <si>
    <t xml:space="preserve">Remarks</t>
  </si>
  <si>
    <t xml:space="preserve">On the road price for calculation           </t>
  </si>
  <si>
    <t xml:space="preserve">Sales profit          </t>
  </si>
  <si>
    <t xml:space="preserve">       Part exchange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</si>
  <si>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</si>
  <si>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</si>
  <si>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</si>
  <si>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</si>
  <si>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Deposit required</t>
  </si>
  <si>
    <t xml:space="preserve">Balance to finanace</t>
  </si>
  <si>
    <t xml:space="preserve">Document fee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</si>
  <si>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</si>
  <si>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</si>
  <si>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</si>
  <si>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</si>
  <si>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</si>
  <si>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</si>
  <si>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</si>
  <si>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</si>
  <si>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</si>
  <si>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</si>
  <si>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</si>
  <si>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</si>
  <si>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</si>
  <si>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</si>
  <si>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</si>
  <si>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</si>
  <si>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</si>
  <si>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</si>
  <si>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</si>
  <si>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</si>
  <si>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</si>
  <si>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Term</t>
  </si>
  <si>
    <t xml:space="preserve">Miles per annum</t>
  </si>
  <si>
    <t xml:space="preserve">Contract Purchase</t>
  </si>
  <si>
    <t xml:space="preserve">Followed by</t>
  </si>
  <si>
    <t xml:space="preserve">Guaranteed future value</t>
  </si>
  <si>
    <t xml:space="preserve">Final payment (inc. option to purchase fee)</t>
  </si>
  <si>
    <t xml:space="preserve">Pence per excess mile - finance</t>
  </si>
  <si>
    <t xml:space="preserve">Pence per excess mile - maint.</t>
  </si>
  <si>
    <t xml:space="preserve">Pence per excess mile - total</t>
  </si>
  <si>
    <t xml:space="preserve">       Commission due</t>
  </si>
  <si>
    <t xml:space="preserve">Vehicle comm.</t>
  </si>
  <si>
    <t xml:space="preserve">        Configuration</t>
  </si>
  <si>
    <t xml:space="preserve">Base interest rate</t>
  </si>
  <si>
    <t xml:space="preserve">Customer interest rate</t>
  </si>
  <si>
    <t xml:space="preserve">Finance margin</t>
  </si>
  <si>
    <t xml:space="preserve">Deductions</t>
  </si>
  <si>
    <t xml:space="preserve">Additional margin</t>
  </si>
  <si>
    <t xml:space="preserve">Total margin</t>
  </si>
  <si>
    <t xml:space="preserve">Customer rate over base</t>
  </si>
  <si>
    <t xml:space="preserve">Period supplement</t>
  </si>
  <si>
    <t xml:space="preserve">Default broker margin</t>
  </si>
  <si>
    <t xml:space="preserve">Maint. Margin</t>
  </si>
  <si>
    <t xml:space="preserve">Document fee margin</t>
  </si>
  <si>
    <t xml:space="preserve">       Additional items</t>
  </si>
  <si>
    <t xml:space="preserve">Tracker cost</t>
  </si>
  <si>
    <t xml:space="preserve">Tracker subs per month</t>
  </si>
  <si>
    <t xml:space="preserve">Total tracker cost</t>
  </si>
  <si>
    <t xml:space="preserve">Contingency insurance multiplier</t>
  </si>
  <si>
    <t xml:space="preserve">Insurance tax</t>
  </si>
  <si>
    <t xml:space="preserve">Contingency insurance value</t>
  </si>
  <si>
    <t xml:space="preserve">Disposal cost</t>
  </si>
  <si>
    <t xml:space="preserve">Delivery &amp; collection cost</t>
  </si>
  <si>
    <t xml:space="preserve">199.99</t>
  </si>
  <si>
    <t xml:space="preserve">Hire Purchase Non-Regulated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</si>
  <si>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</si>
  <si>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</si>
  <si>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</si>
  <si>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</si>
  <si>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</si>
  <si>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</si>
  <si>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Duration</t>
  </si>
  <si>
    <t xml:space="preserve">Initial finance rental(Ex. VAT)</t>
  </si>
  <si>
    <t xml:space="preserve">Initial maintenance rental (Ex. VAT)</t>
  </si>
  <si>
    <t xml:space="preserve">Finance Rental Monthly</t>
  </si>
  <si>
    <t xml:space="preserve">Maintenance monthly</t>
  </si>
  <si>
    <t xml:space="preserve">Optional final payment</t>
  </si>
  <si>
    <t xml:space="preserve">Total initial rental (Ex. VAT)</t>
  </si>
  <si>
    <t xml:space="preserve">Term (months) 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</si>
  <si>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</si>
  <si>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</si>
  <si>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</si>
  <si>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</si>
  <si>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500</t>
  </si>
  <si>
    <t xml:space="preserve">Monthly maintenance rental (Ex. VAT)</t>
  </si>
  <si>
    <t xml:space="preserve">Final balloon payment (Ex. VAT)</t>
  </si>
  <si>
    <t xml:space="preserve">Pence per excess mile - finance (Ex. VAT)</t>
  </si>
  <si>
    <t xml:space="preserve">Pence per excess mile - maintenance (Ex. VAT)</t>
  </si>
  <si>
    <t xml:space="preserve">Monthly Fianance Cost</t>
  </si>
  <si>
    <t xml:space="preserve">12</t>
  </si>
  <si>
    <t xml:space="preserve">Maintenanace Cost</t>
  </si>
  <si>
    <t xml:space="preserve">Holding Cost (Monthly)</t>
  </si>
  <si>
    <t xml:space="preserve">Pence per excess mile - total (Ex. VAT)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</si>
  <si>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</si>
  <si>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</si>
  <si>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</si>
  <si>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          </t>
  </si>
  <si>
    <t xml:space="preserve">otr   </t>
  </si>
  <si>
    <t xml:space="preserve">Minimum Margin (%)</t>
  </si>
  <si>
    <t xml:space="preserve">Margin Required (%)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</si>
  <si>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</si>
  <si>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</si>
  <si>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</si>
  <si>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</si>
  <si>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</si>
  <si>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</si>
  <si>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</si>
  <si>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</si>
  <si>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</si>
  <si>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Order deposit (No VAT)</t>
  </si>
  <si>
    <t xml:space="preserve"> Spread rentals initial payment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</si>
  <si>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</si>
  <si>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</si>
  <si>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</si>
  <si>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</si>
  <si>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</si>
  <si>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</si>
  <si>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</si>
  <si>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</si>
  <si>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</si>
  <si>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</si>
  <si>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</si>
  <si>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</si>
  <si>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</si>
  <si>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</si>
  <si>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</si>
  <si>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Balance due</t>
  </si>
  <si>
    <t xml:space="preserve">        Summary</t>
  </si>
  <si>
    <t xml:space="preserve">Monthly maint. rental</t>
  </si>
  <si>
    <t xml:space="preserve">Total monthly rental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</si>
  <si>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</si>
  <si>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</si>
  <si>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</si>
  <si>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Monthly finance rental (Ex. VAT)</t>
  </si>
  <si>
    <t xml:space="preserve">Initial finance rental</t>
  </si>
  <si>
    <t xml:space="preserve">Initial maint. rental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</si>
  <si>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</si>
  <si>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</si>
  <si>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</si>
  <si>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Initial finance rental (Ex. VAT)</t>
  </si>
  <si>
    <t xml:space="preserve">Total initial rental</t>
  </si>
  <si>
    <t xml:space="preserve">Part exchange value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</si>
  <si>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</si>
  <si>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</si>
  <si>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</si>
  <si>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Document fee (In. VAT)</t>
  </si>
  <si>
    <t xml:space="preserve">Default commission (Ex. VAT)</t>
  </si>
  <si>
    <t xml:space="preserve">Upsell commission (Ex. VAT)</t>
  </si>
  <si>
    <t xml:space="preserve">Pence per excess mile - main.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</si>
  <si>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</si>
  <si>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</si>
  <si>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</si>
  <si>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</si>
  <si>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Requested</t>
  </si>
  <si>
    <t xml:space="preserve">Subsidy Commission Deduction</t>
  </si>
  <si>
    <t xml:space="preserve">Commission due</t>
  </si>
  <si>
    <t xml:space="preserve">Default finance comm.</t>
  </si>
  <si>
    <t xml:space="preserve">Upsell comm.</t>
  </si>
  <si>
    <t xml:space="preserve">Maint. comm.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</si>
  <si>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</si>
  <si>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</si>
  <si>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</si>
  <si>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Document fee comm.</t>
  </si>
  <si>
    <t xml:space="preserve">Referrer comm.</t>
  </si>
  <si>
    <t xml:space="preserve">Broker upsell margin</t>
  </si>
  <si>
    <t xml:space="preserve">Referrer margin</t>
  </si>
  <si>
    <t xml:space="preserve">Maintnance Margin</t>
  </si>
  <si>
    <t xml:space="preserve">            Additional items</t>
  </si>
  <si>
    <t xml:space="preserve">Additional RFL per annum</t>
  </si>
  <si>
    <t xml:space="preserve">Additional RFL (List price over 40k) per annum</t>
  </si>
  <si>
    <t xml:space="preserve">Upload document</t>
  </si>
  <si>
    <t xml:space="preserve">`</t>
  </si>
  <si>
    <t xml:space="preserve"> Terminal pause with 9 down 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</si>
  <si>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</si>
  <si>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</si>
  <si>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</si>
  <si>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</si>
  <si>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Otr   </t>
  </si>
  <si>
    <t xml:space="preserve">Select Caste</t>
  </si>
  <si>
    <t xml:space="preserve">Referrer commission (Ex. VAT)</t>
  </si>
  <si>
    <t xml:space="preserve">           </t>
  </si>
  <si>
    <t xml:space="preserve">OTR Calculation</t>
  </si>
  <si>
    <t xml:space="preserve">Cash deposit</t>
  </si>
  <si>
    <t xml:space="preserve">5000</t>
  </si>
  <si>
    <t xml:space="preserve">Balance to finance</t>
  </si>
  <si>
    <t xml:space="preserve">1000</t>
  </si>
  <si>
    <t xml:space="preserve">Number of monthly payments</t>
  </si>
  <si>
    <t xml:space="preserve">Monthly payment</t>
  </si>
  <si>
    <t xml:space="preserve">funderQuouteMonthlyPayment</t>
  </si>
  <si>
    <t xml:space="preserve">optionalFinalPayment</t>
  </si>
  <si>
    <t xml:space="preserve">Option to purchase fee</t>
  </si>
  <si>
    <t xml:space="preserve">Maintenance included</t>
  </si>
  <si>
    <t xml:space="preserve">vat</t>
  </si>
  <si>
    <t xml:space="preserve">6000</t>
  </si>
  <si>
    <t xml:space="preserve">20</t>
  </si>
  <si>
    <t xml:space="preserve">maintenanceCost</t>
  </si>
  <si>
    <t xml:space="preserve">fundingContractPeriod</t>
  </si>
  <si>
    <t xml:space="preserve">50</t>
  </si>
  <si>
    <t xml:space="preserve">10</t>
  </si>
  <si>
    <t xml:space="preserve">vatElement</t>
  </si>
  <si>
    <t xml:space="preserve">Holding Cost</t>
  </si>
  <si>
    <t xml:space="preserve">  </t>
  </si>
  <si>
    <t xml:space="preserve">rfl</t>
  </si>
  <si>
    <t xml:space="preserve">DocumentTermCal</t>
  </si>
  <si>
    <t xml:space="preserve">Option to Purchase fee</t>
  </si>
  <si>
    <t xml:space="preserve">monthlyHoldingCost</t>
  </si>
  <si>
    <t xml:space="preserve">without maintenance Holding cost</t>
  </si>
  <si>
    <t xml:space="preserve">Holding cost - formula - 2</t>
  </si>
  <si>
    <t xml:space="preserve">      Funder information</t>
  </si>
  <si>
    <t xml:space="preserve">Monthly advance</t>
  </si>
  <si>
    <t xml:space="preserve">Quote expiry date</t>
  </si>
  <si>
    <t xml:space="preserve">sadasa</t>
  </si>
  <si>
    <t xml:space="preserve">dsfsfds</t>
  </si>
  <si>
    <t xml:space="preserve">33</t>
  </si>
  <si>
    <t xml:space="preserve">Total cash price</t>
  </si>
  <si>
    <t xml:space="preserve">Monthly maint. Payment</t>
  </si>
  <si>
    <t xml:space="preserve">Pence per excess mile - maint</t>
  </si>
  <si>
    <t xml:space="preserve">monthlyFinanceCost</t>
  </si>
  <si>
    <t xml:space="preserve">Total Cap Maint. Value</t>
  </si>
  <si>
    <t xml:space="preserve">470.00</t>
  </si>
  <si>
    <t xml:space="preserve">Total Maint value</t>
  </si>
  <si>
    <t xml:space="preserve">Limited Credit</t>
  </si>
  <si>
    <t xml:space="preserve">TOTAL CASH PRICE</t>
  </si>
  <si>
    <t xml:space="preserve">48877.50</t>
  </si>
  <si>
    <t xml:space="preserve">CASH DEPOSIT</t>
  </si>
  <si>
    <t xml:space="preserve">BALANCE TO FINANCE</t>
  </si>
  <si>
    <t xml:space="preserve">Hire purchase – Regulated</t>
  </si>
  <si>
    <t xml:space="preserve">5.28</t>
  </si>
  <si>
    <t xml:space="preserve">60</t>
  </si>
  <si>
    <t xml:space="preserve">2</t>
  </si>
  <si>
    <t xml:space="preserve">1</t>
  </si>
  <si>
    <t xml:space="preserve">Customer Quote – Finance Lease</t>
  </si>
  <si>
    <t xml:space="preserve">A1 Credit</t>
  </si>
  <si>
    <t xml:space="preserve">RFL included?</t>
  </si>
  <si>
    <t>YES</t>
  </si>
  <si>
    <t>0</t>
  </si>
  <si>
    <t>239.99</t>
  </si>
  <si>
    <t>NO</t>
  </si>
  <si>
    <t>30</t>
  </si>
</sst>
</file>

<file path=xl/styles.xml><?xml version="1.0" encoding="utf-8"?>
<styleSheet xmlns="http://schemas.openxmlformats.org/spreadsheetml/2006/main">
  <numFmts count="24">
    <numFmt numFmtId="164" formatCode="General"/>
    <numFmt numFmtId="165" formatCode="\£#,##0.00"/>
    <numFmt numFmtId="166" formatCode="General"/>
    <numFmt numFmtId="167" formatCode="0%"/>
    <numFmt numFmtId="168" formatCode="#,##0.00"/>
    <numFmt numFmtId="169" formatCode="0.00%"/>
    <numFmt numFmtId="170" formatCode="[$-409]m/d/yyyy"/>
    <numFmt numFmtId="171" formatCode="0.00"/>
    <numFmt numFmtId="172" formatCode="#,##0.0000000"/>
    <numFmt numFmtId="173" formatCode="_(* #,##0.00_);_(* \(#,##0.00\);_(* \-??_);_(@_)"/>
    <numFmt numFmtId="174" formatCode="_(* #,##0_);_(* \(#,##0\);_(* \-??_);_(@_)"/>
    <numFmt numFmtId="175" formatCode="&quot;TRUE&quot;;&quot;TRUE&quot;;&quot;FALSE&quot;"/>
    <numFmt numFmtId="176" formatCode="\£#,##0.00000"/>
    <numFmt numFmtId="177" formatCode="\£#,##0.0000"/>
    <numFmt numFmtId="178" formatCode="0.0000%"/>
    <numFmt numFmtId="179" formatCode="#,##0.000000000"/>
    <numFmt numFmtId="180" formatCode="#,##0.0"/>
    <numFmt numFmtId="181" formatCode="0.0000000000000"/>
    <numFmt numFmtId="182" formatCode="0.0000"/>
    <numFmt numFmtId="183" formatCode="0.000%"/>
    <numFmt numFmtId="184" formatCode="#,##0.00000"/>
    <numFmt numFmtId="185" formatCode="#,##0.000"/>
    <numFmt numFmtId="186" formatCode="#,##0.0000000000"/>
    <numFmt numFmtId="187" formatCode="#,##0.0000"/>
  </numFmts>
  <fonts count="3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32"/>
      <color rgb="FFFFFFFF"/>
      <name val="Calibri"/>
      <family val="2"/>
      <charset val="1"/>
    </font>
    <font>
      <b val="true"/>
      <sz val="36"/>
      <color rgb="FFFFFFFF"/>
      <name val="Calibri"/>
      <family val="2"/>
      <charset val="1"/>
    </font>
    <font>
      <b val="true"/>
      <sz val="11"/>
      <color rgb="FFC9211E"/>
      <name val="Arial"/>
      <family val="0"/>
      <charset val="1"/>
    </font>
    <font>
      <b val="true"/>
      <sz val="14"/>
      <color rgb="FFC9211E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Arial"/>
      <family val="0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9"/>
      <color rgb="FF000000"/>
      <name val="Arial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8"/>
      <color rgb="FF000000"/>
      <name val="Arial"/>
      <family val="0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7E3794"/>
      <name val="Inconsolata"/>
      <family val="0"/>
      <charset val="1"/>
    </font>
    <font>
      <strike val="true"/>
      <sz val="14"/>
      <color rgb="FF000000"/>
      <name val="Calibri"/>
      <family val="2"/>
      <charset val="1"/>
    </font>
    <font>
      <sz val="14"/>
      <color rgb="FFC9211E"/>
      <name val="Calibri"/>
      <family val="2"/>
      <charset val="1"/>
    </font>
    <font>
      <b val="true"/>
      <sz val="12"/>
      <color rgb="FF000000"/>
      <name val="Arial"/>
      <family val="0"/>
      <charset val="1"/>
    </font>
  </fonts>
  <fills count="21">
    <fill>
      <patternFill patternType="none"/>
    </fill>
    <fill>
      <patternFill patternType="gray125"/>
    </fill>
    <fill>
      <patternFill patternType="solid">
        <fgColor rgb="FFC9211E"/>
        <bgColor rgb="FFC00000"/>
      </patternFill>
    </fill>
    <fill>
      <patternFill patternType="solid">
        <fgColor rgb="FFC00000"/>
        <bgColor rgb="FFC9211E"/>
      </patternFill>
    </fill>
    <fill>
      <patternFill patternType="solid">
        <fgColor rgb="FFFFFFD7"/>
        <bgColor rgb="FFFFFFFF"/>
      </patternFill>
    </fill>
    <fill>
      <patternFill patternType="solid">
        <fgColor rgb="FFBFBFBF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D7"/>
      </patternFill>
    </fill>
    <fill>
      <patternFill patternType="solid">
        <fgColor rgb="FF81D41A"/>
        <bgColor rgb="FF70AD47"/>
      </patternFill>
    </fill>
    <fill>
      <patternFill patternType="solid">
        <fgColor rgb="FFA6A6A6"/>
        <bgColor rgb="FFA5A5A5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9D18E"/>
        <bgColor rgb="FFA8D08D"/>
      </patternFill>
    </fill>
    <fill>
      <patternFill patternType="solid">
        <fgColor rgb="FF2A6099"/>
        <bgColor rgb="FF666699"/>
      </patternFill>
    </fill>
    <fill>
      <patternFill patternType="solid">
        <fgColor rgb="FFA8D08D"/>
        <bgColor rgb="FFA9D18E"/>
      </patternFill>
    </fill>
    <fill>
      <patternFill patternType="solid">
        <fgColor rgb="FFFFEBEB"/>
        <bgColor rgb="FFE7E6E6"/>
      </patternFill>
    </fill>
    <fill>
      <patternFill patternType="solid">
        <fgColor rgb="FFD0CECE"/>
        <bgColor rgb="FFD8D8D8"/>
      </patternFill>
    </fill>
    <fill>
      <patternFill patternType="solid">
        <fgColor rgb="FFAFD095"/>
        <bgColor rgb="FFA9D18E"/>
      </patternFill>
    </fill>
    <fill>
      <patternFill patternType="solid">
        <fgColor rgb="FFA5A5A5"/>
        <bgColor rgb="FFA6A6A6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ck">
        <color rgb="FFFF0000"/>
      </bottom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7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8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11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1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8" fillId="1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1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1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9" fillId="7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6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4" fillId="7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4" fillId="7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7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6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6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9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7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7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7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5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5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7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7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6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4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1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6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4" fillId="7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4" fillId="7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7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5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4" fillId="5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4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5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6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7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9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7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4" fillId="7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4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4" fillId="7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4" fillId="7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6" borderId="9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4" fillId="6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9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5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6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7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6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6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7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6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8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8" fillId="7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8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8" fillId="7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4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7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9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9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7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9" fillId="7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28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9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9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8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9" fillId="7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9" fillId="7" borderId="3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7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6" borderId="9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7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7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4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6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3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7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7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4" fillId="7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1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7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7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1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4" fillId="1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4" fillId="7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7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15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1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15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7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7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7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7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5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7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5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5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5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7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7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6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6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7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4" fillId="7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6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6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16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6" borderId="4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6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4" fillId="6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7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8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17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8" fillId="17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4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7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28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14" fillId="7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4" fillId="7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14" fillId="7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1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14" fillId="7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14" fillId="7" borderId="3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7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4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7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7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1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8" fillId="17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4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4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14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28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8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8" fontId="4" fillId="6" borderId="9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7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9" fontId="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14" fillId="7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4" fillId="7" borderId="3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6" borderId="9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4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1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8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6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0" fillId="11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4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4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4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3" fontId="4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7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3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4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5" fontId="4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6" fontId="4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7" fontId="4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2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1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6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1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8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6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7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9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6" fillId="11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14" fillId="1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6" borderId="9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5" borderId="16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4" fillId="5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4" fillId="5" borderId="1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4" fillId="7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4" fillId="7" borderId="1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7" borderId="17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6" borderId="9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6" borderId="9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7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6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4" fillId="7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6" fillId="3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7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2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11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4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2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6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0" fillId="6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4" fillId="6" borderId="9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4" fillId="6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FFFFD7"/>
      <rgbColor rgb="FFE7E6E6"/>
      <rgbColor rgb="FF660066"/>
      <rgbColor rgb="FFFF8080"/>
      <rgbColor rgb="FF2A6099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9D18E"/>
      <rgbColor rgb="FFD9D9D9"/>
      <rgbColor rgb="FFFFEBEB"/>
      <rgbColor rgb="FFAFD095"/>
      <rgbColor rgb="FFFF99CC"/>
      <rgbColor rgb="FFA8D08D"/>
      <rgbColor rgb="FFD8D8D8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worksheets/sheet24.xml" Type="http://schemas.openxmlformats.org/officeDocument/2006/relationships/worksheet"/><Relationship Id="rId26" Target="worksheets/sheet25.xml" Type="http://schemas.openxmlformats.org/officeDocument/2006/relationships/worksheet"/><Relationship Id="rId27" Target="worksheets/sheet26.xml" Type="http://schemas.openxmlformats.org/officeDocument/2006/relationships/worksheet"/><Relationship Id="rId28" Target="worksheets/sheet27.xml" Type="http://schemas.openxmlformats.org/officeDocument/2006/relationships/worksheet"/><Relationship Id="rId29" Target="worksheets/sheet28.xml" Type="http://schemas.openxmlformats.org/officeDocument/2006/relationships/worksheet"/><Relationship Id="rId3" Target="worksheets/sheet2.xml" Type="http://schemas.openxmlformats.org/officeDocument/2006/relationships/worksheet"/><Relationship Id="rId30" Target="worksheets/sheet29.xml" Type="http://schemas.openxmlformats.org/officeDocument/2006/relationships/worksheet"/><Relationship Id="rId31" Target="worksheets/sheet30.xml" Type="http://schemas.openxmlformats.org/officeDocument/2006/relationships/worksheet"/><Relationship Id="rId32" Target="worksheets/sheet31.xml" Type="http://schemas.openxmlformats.org/officeDocument/2006/relationships/worksheet"/><Relationship Id="rId33" Target="worksheets/sheet32.xml" Type="http://schemas.openxmlformats.org/officeDocument/2006/relationships/worksheet"/><Relationship Id="rId34" Target="worksheets/sheet33.xml" Type="http://schemas.openxmlformats.org/officeDocument/2006/relationships/worksheet"/><Relationship Id="rId35" Target="worksheets/sheet34.xml" Type="http://schemas.openxmlformats.org/officeDocument/2006/relationships/worksheet"/><Relationship Id="rId36" Target="sharedStrings.xml" Type="http://schemas.openxmlformats.org/officeDocument/2006/relationships/sharedStrings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48576"/>
  <sheetViews>
    <sheetView showFormulas="false" showGridLines="true" showRowColHeaders="true" showZeros="true" rightToLeft="false" tabSelected="true" showOutlineSymbols="true" defaultGridColor="true" view="normal" topLeftCell="A204" colorId="64" zoomScale="75" zoomScaleNormal="75" zoomScalePageLayoutView="100" workbookViewId="0">
      <selection pane="topLeft" activeCell="B234" activeCellId="0" sqref="B234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4"/>
      <c r="H1" s="4"/>
      <c r="I1" s="2"/>
      <c r="J1" s="2"/>
    </row>
    <row r="2" customFormat="false" ht="19.7" hidden="false" customHeight="false" outlineLevel="0" collapsed="false">
      <c r="A2" s="5" t="s">
        <v>1</v>
      </c>
      <c r="B2" s="6" t="n">
        <f aca="false">B9+B11</f>
        <v>23125</v>
      </c>
      <c r="C2" s="5" t="s">
        <v>2</v>
      </c>
      <c r="D2" s="6" t="n">
        <f aca="false">C9</f>
        <v>4625</v>
      </c>
      <c r="E2" s="5" t="s">
        <v>3</v>
      </c>
      <c r="F2" s="7" t="n">
        <f aca="false">B13</f>
        <v>0</v>
      </c>
      <c r="G2" s="8"/>
      <c r="H2" s="9"/>
      <c r="I2" s="2"/>
      <c r="J2" s="2"/>
    </row>
    <row r="3" customFormat="false" ht="17.35" hidden="false" customHeight="false" outlineLevel="0" collapsed="false">
      <c r="A3" s="10"/>
      <c r="B3" s="11"/>
      <c r="C3" s="11"/>
      <c r="D3" s="11"/>
      <c r="E3" s="11"/>
      <c r="F3" s="12" t="s">
        <v>4</v>
      </c>
      <c r="G3" s="13"/>
      <c r="H3" s="14"/>
      <c r="I3" s="2"/>
      <c r="J3" s="2"/>
    </row>
    <row r="4" customFormat="false" ht="17.35" hidden="false" customHeight="false" outlineLevel="0" collapsed="false">
      <c r="A4" s="5" t="s">
        <v>5</v>
      </c>
      <c r="B4" s="6" t="n">
        <f aca="false">B15+C15</f>
        <v>27750</v>
      </c>
      <c r="C4" s="15"/>
      <c r="D4" s="15"/>
      <c r="E4" s="15"/>
      <c r="F4" s="16" t="s">
        <v>4</v>
      </c>
      <c r="G4" s="17"/>
      <c r="H4" s="18"/>
      <c r="I4" s="2"/>
      <c r="J4" s="2"/>
    </row>
    <row r="5" customFormat="false" ht="17.35" hidden="false" customHeight="false" outlineLevel="0" collapsed="false">
      <c r="A5" s="19"/>
      <c r="B5" s="19"/>
      <c r="C5" s="19"/>
      <c r="D5" s="19"/>
      <c r="E5" s="19"/>
      <c r="F5" s="19" t="s">
        <v>4</v>
      </c>
      <c r="G5" s="13"/>
      <c r="H5" s="20"/>
      <c r="I5" s="2"/>
      <c r="J5" s="2"/>
    </row>
    <row r="6" customFormat="false" ht="17.35" hidden="false" customHeight="false" outlineLevel="0" collapsed="false">
      <c r="A6" s="19"/>
      <c r="B6" s="19"/>
      <c r="C6" s="19"/>
      <c r="D6" s="19"/>
      <c r="E6" s="19"/>
      <c r="F6" s="19"/>
      <c r="G6" s="21"/>
      <c r="H6" s="20"/>
      <c r="I6" s="2"/>
      <c r="J6" s="2"/>
    </row>
    <row r="7" customFormat="false" ht="17.35" hidden="false" customHeight="false" outlineLevel="0" collapsed="false">
      <c r="A7" s="22" t="s">
        <v>6</v>
      </c>
      <c r="B7" s="22" t="s">
        <v>7</v>
      </c>
      <c r="C7" s="22" t="s">
        <v>2</v>
      </c>
      <c r="D7" s="23"/>
      <c r="E7" s="23"/>
      <c r="F7" s="19"/>
      <c r="G7" s="21"/>
      <c r="H7" s="20"/>
      <c r="I7" s="2"/>
      <c r="J7" s="2"/>
      <c r="L7" s="0"/>
      <c r="M7" s="0"/>
    </row>
    <row r="8" customFormat="false" ht="17.35" hidden="false" customHeight="false" outlineLevel="0" collapsed="false">
      <c r="A8" s="24"/>
      <c r="B8" s="19"/>
      <c r="C8" s="19"/>
      <c r="D8" s="23"/>
      <c r="E8" s="23"/>
      <c r="F8" s="19"/>
      <c r="G8" s="25"/>
      <c r="H8" s="20"/>
      <c r="I8" s="2"/>
      <c r="J8" s="2"/>
      <c r="L8" s="26" t="s">
        <v>3</v>
      </c>
      <c r="M8" s="27" t="n">
        <f aca="false">H13+H14</f>
        <v>0</v>
      </c>
    </row>
    <row r="9" customFormat="false" ht="19.7" hidden="false" customHeight="false" outlineLevel="0" collapsed="false">
      <c r="A9" s="22" t="s">
        <v>8</v>
      </c>
      <c r="B9" s="28" t="n">
        <v>23125.0</v>
      </c>
      <c r="C9" s="27" t="n">
        <f aca="false">B9*0.2</f>
        <v>4625</v>
      </c>
      <c r="D9" s="23"/>
      <c r="E9" s="23"/>
      <c r="F9" s="19"/>
      <c r="G9" s="29"/>
      <c r="H9" s="30"/>
      <c r="I9" s="2"/>
      <c r="J9" s="2"/>
      <c r="K9" s="1" t="s">
        <v>9</v>
      </c>
      <c r="L9" s="27"/>
      <c r="M9" s="27"/>
    </row>
    <row r="10" customFormat="false" ht="17.35" hidden="false" customHeight="false" outlineLevel="0" collapsed="false">
      <c r="A10" s="31"/>
      <c r="B10" s="19"/>
      <c r="C10" s="19"/>
      <c r="D10" s="23"/>
      <c r="E10" s="23"/>
      <c r="F10" s="19"/>
      <c r="G10" s="21"/>
      <c r="H10" s="14"/>
      <c r="I10" s="2"/>
      <c r="J10" s="2"/>
      <c r="K10" s="1" t="s">
        <v>10</v>
      </c>
      <c r="L10" s="32" t="s">
        <v>1</v>
      </c>
      <c r="M10" s="27" t="n">
        <f aca="false">H15-H11-M8</f>
        <v>0</v>
      </c>
    </row>
    <row r="11" customFormat="false" ht="17.35" hidden="false" customHeight="false" outlineLevel="0" collapsed="false">
      <c r="A11" s="22" t="s">
        <v>11</v>
      </c>
      <c r="B11" s="28" t="n">
        <v>0.0</v>
      </c>
      <c r="C11" s="28" t="n">
        <f aca="false">B11*0.2</f>
        <v>0</v>
      </c>
      <c r="D11" s="23"/>
      <c r="E11" s="23"/>
      <c r="F11" s="19"/>
      <c r="G11" s="21"/>
      <c r="H11" s="20"/>
      <c r="I11" s="2"/>
      <c r="J11" s="2"/>
      <c r="L11" s="27"/>
      <c r="M11" s="27"/>
    </row>
    <row r="12" customFormat="false" ht="17.35" hidden="false" customHeight="false" outlineLevel="0" collapsed="false">
      <c r="A12" s="31"/>
      <c r="B12" s="19"/>
      <c r="C12" s="19"/>
      <c r="D12" s="23"/>
      <c r="E12" s="23"/>
      <c r="F12" s="19"/>
      <c r="G12" s="21"/>
      <c r="H12" s="14"/>
      <c r="I12" s="2"/>
      <c r="J12" s="2"/>
      <c r="L12" s="0"/>
      <c r="M12" s="0"/>
    </row>
    <row r="13" customFormat="false" ht="17.35" hidden="false" customHeight="false" outlineLevel="0" collapsed="false">
      <c r="A13" s="22" t="s">
        <v>12</v>
      </c>
      <c r="B13" s="28" t="n">
        <v>0.0</v>
      </c>
      <c r="C13" s="27"/>
      <c r="D13" s="23"/>
      <c r="E13" s="23"/>
      <c r="F13" s="19"/>
      <c r="G13" s="21"/>
      <c r="H13" s="14"/>
      <c r="I13" s="2"/>
      <c r="J13" s="2"/>
      <c r="L13" s="0"/>
      <c r="M13" s="0"/>
    </row>
    <row r="14" customFormat="false" ht="17.35" hidden="false" customHeight="false" outlineLevel="0" collapsed="false">
      <c r="A14" s="31"/>
      <c r="B14" s="19"/>
      <c r="C14" s="19"/>
      <c r="D14" s="23"/>
      <c r="E14" s="23"/>
      <c r="F14" s="19"/>
      <c r="G14" s="21"/>
      <c r="H14" s="14"/>
      <c r="I14" s="2"/>
      <c r="J14" s="2" t="s">
        <v>13</v>
      </c>
    </row>
    <row r="15" customFormat="false" ht="17.35" hidden="false" customHeight="false" outlineLevel="0" collapsed="false">
      <c r="A15" s="22" t="s">
        <v>14</v>
      </c>
      <c r="B15" s="27" t="n">
        <f aca="false">SUM(B9:B13)</f>
        <v>23125</v>
      </c>
      <c r="C15" s="27" t="n">
        <f aca="false">SUM(C9:C13)</f>
        <v>4625</v>
      </c>
      <c r="D15" s="23"/>
      <c r="E15" s="23"/>
      <c r="F15" s="19"/>
      <c r="G15" s="21"/>
      <c r="H15" s="33"/>
      <c r="I15" s="2"/>
      <c r="J15" s="34" t="n">
        <f aca="false">H15</f>
        <v>0</v>
      </c>
    </row>
    <row r="16" customFormat="false" ht="17.35" hidden="false" customHeight="false" outlineLevel="0" collapsed="false">
      <c r="A16" s="35"/>
      <c r="B16" s="35"/>
      <c r="C16" s="35"/>
      <c r="D16" s="23"/>
      <c r="E16" s="23"/>
      <c r="F16" s="19"/>
      <c r="G16" s="21"/>
      <c r="H16" s="14"/>
      <c r="I16" s="2"/>
      <c r="J16" s="2"/>
      <c r="Y16" s="36" t="s">
        <v>15</v>
      </c>
    </row>
    <row r="17" customFormat="false" ht="17.35" hidden="false" customHeight="false" outlineLevel="0" collapsed="false">
      <c r="A17" s="35"/>
      <c r="B17" s="35"/>
      <c r="C17" s="35"/>
      <c r="D17" s="23"/>
      <c r="E17" s="23"/>
      <c r="F17" s="19"/>
      <c r="G17" s="37"/>
      <c r="H17" s="20"/>
      <c r="I17" s="2"/>
      <c r="J17" s="2" t="s">
        <v>16</v>
      </c>
      <c r="Y17" s="36" t="s">
        <v>17</v>
      </c>
    </row>
    <row r="18" customFormat="false" ht="17.35" hidden="false" customHeight="false" outlineLevel="0" collapsed="false">
      <c r="A18" s="35"/>
      <c r="B18" s="35"/>
      <c r="C18" s="35"/>
      <c r="D18" s="23"/>
      <c r="E18" s="23"/>
      <c r="F18" s="19"/>
      <c r="G18" s="38"/>
      <c r="H18" s="39"/>
      <c r="I18" s="2"/>
      <c r="J18" s="34" t="n">
        <v>37405</v>
      </c>
      <c r="Y18" s="36" t="s">
        <v>18</v>
      </c>
    </row>
    <row r="19" customFormat="false" ht="22.05" hidden="false" customHeight="true" outlineLevel="0" collapsed="false">
      <c r="A19" s="40" t="s">
        <v>19</v>
      </c>
      <c r="B19" s="40"/>
      <c r="C19" s="40"/>
      <c r="D19" s="40"/>
      <c r="E19" s="27" t="n">
        <f aca="false">B4</f>
        <v>27750</v>
      </c>
      <c r="F19" s="19"/>
      <c r="G19" s="38"/>
      <c r="H19" s="39"/>
      <c r="I19" s="2"/>
      <c r="J19" s="2"/>
      <c r="Z19" s="2" t="s">
        <v>9</v>
      </c>
    </row>
    <row r="20" customFormat="false" ht="17.35" hidden="false" customHeight="false" outlineLevel="0" collapsed="false">
      <c r="A20" s="41"/>
      <c r="B20" s="19"/>
      <c r="C20" s="19"/>
      <c r="D20" s="19"/>
      <c r="E20" s="42"/>
      <c r="F20" s="19"/>
      <c r="G20" s="38"/>
      <c r="H20" s="39"/>
      <c r="I20" s="2"/>
      <c r="J20" s="2"/>
      <c r="Z20" s="2" t="s">
        <v>10</v>
      </c>
    </row>
    <row r="21" customFormat="false" ht="22.05" hidden="false" customHeight="true" outlineLevel="0" collapsed="false">
      <c r="A21" s="40" t="s">
        <v>20</v>
      </c>
      <c r="B21" s="40"/>
      <c r="C21" s="40"/>
      <c r="D21" s="40"/>
      <c r="E21" s="27" t="n">
        <f aca="false">B15</f>
        <v>23125</v>
      </c>
      <c r="F21" s="19"/>
      <c r="G21" s="43"/>
      <c r="H21" s="44"/>
      <c r="I21" s="2"/>
      <c r="J21" s="2"/>
      <c r="K21" s="2"/>
    </row>
    <row r="22" customFormat="false" ht="17.35" hidden="false" customHeight="false" outlineLevel="0" collapsed="false">
      <c r="A22" s="45"/>
      <c r="B22" s="45"/>
      <c r="C22" s="45"/>
      <c r="D22" s="45"/>
      <c r="E22" s="45"/>
      <c r="F22" s="45"/>
      <c r="G22" s="45"/>
      <c r="H22" s="45"/>
      <c r="J22" s="2"/>
      <c r="K22" s="2"/>
      <c r="P22" s="46"/>
    </row>
    <row r="23" customFormat="false" ht="17.35" hidden="false" customHeight="false" outlineLevel="0" collapsed="false">
      <c r="A23" s="45"/>
      <c r="B23" s="45"/>
      <c r="C23" s="45"/>
      <c r="D23" s="45"/>
      <c r="E23" s="45"/>
      <c r="F23" s="45"/>
      <c r="G23" s="45"/>
      <c r="H23" s="45"/>
      <c r="J23" s="2"/>
      <c r="K23" s="2"/>
      <c r="P23" s="46"/>
    </row>
    <row r="24" customFormat="false" ht="46.5" hidden="false" customHeight="true" outlineLevel="0" collapsed="false">
      <c r="A24" s="47" t="s">
        <v>21</v>
      </c>
      <c r="B24" s="47"/>
      <c r="C24" s="47"/>
      <c r="D24" s="47"/>
      <c r="E24" s="47"/>
      <c r="F24" s="47"/>
      <c r="G24" s="47"/>
      <c r="H24" s="47"/>
      <c r="I24" s="2"/>
      <c r="J24" s="2"/>
      <c r="K24" s="2"/>
      <c r="P24" s="46"/>
    </row>
    <row r="25" customFormat="false" ht="17.35" hidden="false" customHeight="false" outlineLevel="0" collapsed="false">
      <c r="A25" s="48"/>
      <c r="B25" s="49"/>
      <c r="C25" s="49"/>
      <c r="D25" s="49"/>
      <c r="E25" s="49"/>
      <c r="F25" s="49"/>
      <c r="G25" s="49"/>
      <c r="H25" s="50"/>
      <c r="I25" s="2"/>
      <c r="J25" s="2"/>
      <c r="K25" s="2"/>
      <c r="P25" s="46"/>
    </row>
    <row r="26" customFormat="false" ht="17.9" hidden="false" customHeight="false" outlineLevel="0" collapsed="false">
      <c r="A26" s="51" t="s">
        <v>22</v>
      </c>
      <c r="B26" s="52" t="s">
        <v>377</v>
      </c>
      <c r="C26" s="25"/>
      <c r="D26" s="25"/>
      <c r="E26" s="25"/>
      <c r="F26" s="25"/>
      <c r="G26" s="25"/>
      <c r="H26" s="20"/>
      <c r="I26" s="2"/>
      <c r="J26" s="53" t="s">
        <v>23</v>
      </c>
      <c r="K26" s="54" t="s">
        <v>24</v>
      </c>
      <c r="P26" s="46"/>
    </row>
    <row r="27" customFormat="false" ht="17.9" hidden="false" customHeight="false" outlineLevel="0" collapsed="false">
      <c r="A27" s="55"/>
      <c r="B27" s="25"/>
      <c r="C27" s="25"/>
      <c r="D27" s="25"/>
      <c r="E27" s="25"/>
      <c r="F27" s="25"/>
      <c r="G27" s="25"/>
      <c r="H27" s="20"/>
      <c r="I27" s="2"/>
      <c r="J27" s="56" t="s">
        <v>25</v>
      </c>
      <c r="K27" s="57" t="n">
        <v>1</v>
      </c>
      <c r="P27" s="46"/>
    </row>
    <row r="28" customFormat="false" ht="22.05" hidden="false" customHeight="false" outlineLevel="0" collapsed="false">
      <c r="A28" s="58" t="s">
        <v>26</v>
      </c>
      <c r="B28" s="58"/>
      <c r="C28" s="58"/>
      <c r="D28" s="58"/>
      <c r="E28" s="58"/>
      <c r="F28" s="58"/>
      <c r="G28" s="58"/>
      <c r="H28" s="58"/>
      <c r="I28" s="2"/>
      <c r="J28" s="56" t="s">
        <v>27</v>
      </c>
      <c r="K28" s="57"/>
      <c r="P28" s="46"/>
    </row>
    <row r="29" customFormat="false" ht="17.9" hidden="false" customHeight="false" outlineLevel="0" collapsed="false">
      <c r="A29" s="55"/>
      <c r="B29" s="25"/>
      <c r="C29" s="25"/>
      <c r="D29" s="25"/>
      <c r="E29" s="25"/>
      <c r="F29" s="25"/>
      <c r="G29" s="25"/>
      <c r="H29" s="20" t="n">
        <v>36</v>
      </c>
      <c r="I29" s="25"/>
      <c r="J29" s="53" t="s">
        <v>28</v>
      </c>
      <c r="K29" s="59" t="n">
        <v>12.0</v>
      </c>
      <c r="P29" s="46"/>
    </row>
    <row r="30" customFormat="false" ht="17.9" hidden="false" customHeight="false" outlineLevel="0" collapsed="false">
      <c r="A30" s="55" t="s">
        <v>29</v>
      </c>
      <c r="B30" s="60" t="s">
        <v>378</v>
      </c>
      <c r="C30" s="60"/>
      <c r="D30" s="60"/>
      <c r="E30" s="25"/>
      <c r="F30" s="25"/>
      <c r="G30" s="25"/>
      <c r="H30" s="20" t="n">
        <v>10000</v>
      </c>
      <c r="I30" s="25"/>
      <c r="J30" s="53" t="s">
        <v>31</v>
      </c>
      <c r="K30" s="61" t="n">
        <v>10000.0</v>
      </c>
      <c r="P30" s="46"/>
    </row>
    <row r="31" customFormat="false" ht="17.9" hidden="false" customHeight="false" outlineLevel="0" collapsed="false">
      <c r="A31" s="55"/>
      <c r="B31" s="25"/>
      <c r="C31" s="25"/>
      <c r="D31" s="25"/>
      <c r="E31" s="25"/>
      <c r="F31" s="25"/>
      <c r="G31" s="25"/>
      <c r="H31" s="20" t="n">
        <v>27500</v>
      </c>
      <c r="I31" s="25"/>
      <c r="J31" s="53" t="s">
        <v>32</v>
      </c>
      <c r="K31" s="62" t="n">
        <v>0.0</v>
      </c>
      <c r="P31" s="46"/>
    </row>
    <row r="32" customFormat="false" ht="34.3" hidden="false" customHeight="false" outlineLevel="0" collapsed="false">
      <c r="A32" s="55" t="s">
        <v>28</v>
      </c>
      <c r="B32" s="25" t="s">
        <v>33</v>
      </c>
      <c r="C32" s="25"/>
      <c r="D32" s="25"/>
      <c r="E32" s="25" t="s">
        <v>34</v>
      </c>
      <c r="F32" s="25"/>
      <c r="G32" s="25"/>
      <c r="H32" s="20"/>
      <c r="I32" s="2"/>
      <c r="J32" s="53" t="s">
        <v>35</v>
      </c>
      <c r="K32" s="62" t="n">
        <v>475.0</v>
      </c>
      <c r="P32" s="46"/>
    </row>
    <row r="33" customFormat="false" ht="34.8" hidden="false" customHeight="false" outlineLevel="0" collapsed="false">
      <c r="A33" s="63" t="n">
        <f aca="false">A52</f>
        <v>12</v>
      </c>
      <c r="B33" s="64" t="n">
        <f aca="false">B51</f>
        <v>10000</v>
      </c>
      <c r="C33" s="25"/>
      <c r="D33" s="25"/>
      <c r="E33" s="64" t="n">
        <f aca="false">K48</f>
        <v>2035.18797553986</v>
      </c>
      <c r="F33" s="64"/>
      <c r="G33" s="64"/>
      <c r="H33" s="65"/>
      <c r="I33" s="2"/>
      <c r="J33" s="56" t="s">
        <v>36</v>
      </c>
      <c r="K33" s="66" t="n">
        <f aca="false">E21</f>
        <v>23125</v>
      </c>
      <c r="L33" s="1" t="n">
        <f aca="false">H21-H11+(H16*20%)</f>
        <v>0</v>
      </c>
      <c r="P33" s="46"/>
    </row>
    <row r="34" customFormat="false" ht="17.35" hidden="false" customHeight="false" outlineLevel="0" collapsed="false">
      <c r="A34" s="55"/>
      <c r="B34" s="25"/>
      <c r="C34" s="25"/>
      <c r="D34" s="25"/>
      <c r="E34" s="67"/>
      <c r="F34" s="67"/>
      <c r="G34" s="67"/>
      <c r="H34" s="65"/>
      <c r="I34" s="2"/>
      <c r="J34" s="2"/>
      <c r="K34" s="2"/>
      <c r="P34" s="46"/>
    </row>
    <row r="35" customFormat="false" ht="21.6" hidden="false" customHeight="false" outlineLevel="0" collapsed="false">
      <c r="A35" s="55" t="s">
        <v>37</v>
      </c>
      <c r="B35" s="25" t="s">
        <v>38</v>
      </c>
      <c r="C35" s="25"/>
      <c r="D35" s="46"/>
      <c r="E35" s="25" t="s">
        <v>39</v>
      </c>
      <c r="F35" s="67"/>
      <c r="G35" s="67"/>
      <c r="H35" s="65"/>
      <c r="I35" s="2"/>
      <c r="J35" s="68" t="s">
        <v>40</v>
      </c>
      <c r="K35" s="0" t="n">
        <v>0.065</v>
      </c>
      <c r="P35" s="46"/>
    </row>
    <row r="36" customFormat="false" ht="17.35" hidden="false" customHeight="false" outlineLevel="0" collapsed="false">
      <c r="A36" s="69" t="n">
        <f aca="false">K47</f>
        <v>1995.60464220652</v>
      </c>
      <c r="B36" s="64" t="n">
        <f aca="false">IF(B26="YES", K42, "0.00")</f>
        <v>39.5833333333333</v>
      </c>
      <c r="C36" s="64"/>
      <c r="D36" s="64"/>
      <c r="E36" s="64" t="n">
        <f aca="false">K31</f>
        <v>0</v>
      </c>
      <c r="F36" s="64"/>
      <c r="G36" s="64"/>
      <c r="H36" s="65"/>
      <c r="I36" s="2"/>
      <c r="J36" s="2" t="s">
        <v>41</v>
      </c>
      <c r="K36" s="2" t="n">
        <f aca="false">K29</f>
        <v>12</v>
      </c>
      <c r="P36" s="46"/>
    </row>
    <row r="37" customFormat="false" ht="17.35" hidden="false" customHeight="false" outlineLevel="0" collapsed="false">
      <c r="A37" s="70"/>
      <c r="B37" s="37"/>
      <c r="C37" s="67"/>
      <c r="D37" s="67"/>
      <c r="E37" s="67"/>
      <c r="F37" s="67"/>
      <c r="G37" s="67"/>
      <c r="H37" s="65"/>
      <c r="I37" s="2"/>
      <c r="J37" s="2"/>
      <c r="K37" s="2"/>
      <c r="P37" s="46"/>
    </row>
    <row r="38" customFormat="false" ht="17.35" hidden="false" customHeight="false" outlineLevel="0" collapsed="false">
      <c r="A38" s="55"/>
      <c r="B38" s="25"/>
      <c r="C38" s="67"/>
      <c r="D38" s="67"/>
      <c r="E38" s="67"/>
      <c r="F38" s="67"/>
      <c r="G38" s="67"/>
      <c r="H38" s="65"/>
      <c r="J38" s="71" t="s">
        <v>42</v>
      </c>
      <c r="K38" s="71"/>
      <c r="L38" s="2" t="n">
        <v>42030.76</v>
      </c>
      <c r="N38" s="1" t="n">
        <f aca="false">80.88*36</f>
        <v>2911.68</v>
      </c>
      <c r="P38" s="46"/>
    </row>
    <row r="39" customFormat="false" ht="17.35" hidden="false" customHeight="false" outlineLevel="0" collapsed="false">
      <c r="A39" s="55" t="s">
        <v>43</v>
      </c>
      <c r="B39" s="25" t="s">
        <v>44</v>
      </c>
      <c r="C39" s="25"/>
      <c r="D39" s="46"/>
      <c r="E39" s="25" t="s">
        <v>45</v>
      </c>
      <c r="F39" s="67"/>
      <c r="G39" s="67"/>
      <c r="H39" s="65"/>
      <c r="J39" s="2" t="s">
        <v>46</v>
      </c>
      <c r="K39" s="2" t="n">
        <f aca="false">K33</f>
        <v>23125</v>
      </c>
      <c r="L39" s="2" t="n">
        <f aca="false">(L47*K46)+K44</f>
        <v>8811.68295801491</v>
      </c>
      <c r="N39" s="1" t="n">
        <f aca="false">K39-L39</f>
        <v>14313.3170419851</v>
      </c>
      <c r="P39" s="46"/>
    </row>
    <row r="40" customFormat="false" ht="17.35" hidden="false" customHeight="false" outlineLevel="0" collapsed="false">
      <c r="A40" s="72" t="n">
        <f aca="false">E36*A45/100</f>
        <v>0</v>
      </c>
      <c r="B40" s="72" t="n">
        <f aca="false">IF(B26="YES", K42, "0.00")</f>
        <v>39.5833333333333</v>
      </c>
      <c r="C40" s="72"/>
      <c r="D40" s="72"/>
      <c r="E40" s="73" t="n">
        <f aca="false">K32</f>
        <v>475</v>
      </c>
      <c r="F40" s="67"/>
      <c r="G40" s="67"/>
      <c r="H40" s="65"/>
      <c r="J40" s="2" t="s">
        <v>47</v>
      </c>
      <c r="K40" s="2" t="n">
        <f aca="false">(A40)/1.2</f>
        <v>0</v>
      </c>
      <c r="L40" s="2" t="n">
        <f aca="false">K39-L39</f>
        <v>14313.3170419851</v>
      </c>
      <c r="N40" s="1" t="n">
        <f aca="false">N38-N39</f>
        <v>-11401.6370419851</v>
      </c>
      <c r="P40" s="46"/>
    </row>
    <row r="41" customFormat="false" ht="17.35" hidden="false" customHeight="false" outlineLevel="0" collapsed="false">
      <c r="A41" s="55"/>
      <c r="B41" s="25"/>
      <c r="C41" s="25"/>
      <c r="D41" s="25"/>
      <c r="E41" s="25"/>
      <c r="F41" s="67"/>
      <c r="G41" s="67"/>
      <c r="H41" s="65"/>
      <c r="J41" s="2" t="s">
        <v>48</v>
      </c>
      <c r="K41" s="2" t="n">
        <f aca="false">K35/12</f>
        <v>0.00541666666666667</v>
      </c>
      <c r="L41" s="2"/>
      <c r="P41" s="46"/>
    </row>
    <row r="42" customFormat="false" ht="17.35" hidden="false" customHeight="false" outlineLevel="0" collapsed="false">
      <c r="A42" s="74"/>
      <c r="B42" s="75"/>
      <c r="C42" s="75"/>
      <c r="D42" s="75"/>
      <c r="E42" s="75"/>
      <c r="F42" s="75"/>
      <c r="G42" s="76"/>
      <c r="H42" s="77"/>
      <c r="J42" s="2" t="s">
        <v>49</v>
      </c>
      <c r="K42" s="2" t="n">
        <f aca="false">(K32/K36)*C45/100</f>
        <v>39.5833333333333</v>
      </c>
      <c r="L42" s="2"/>
      <c r="P42" s="46"/>
    </row>
    <row r="43" customFormat="false" ht="17.35" hidden="false" customHeight="false" outlineLevel="0" collapsed="false">
      <c r="A43" s="48"/>
      <c r="B43" s="49"/>
      <c r="C43" s="49"/>
      <c r="D43" s="49"/>
      <c r="E43" s="49"/>
      <c r="F43" s="49"/>
      <c r="G43" s="49"/>
      <c r="H43" s="50"/>
      <c r="J43" s="2" t="s">
        <v>50</v>
      </c>
      <c r="K43" s="2"/>
      <c r="L43" s="2"/>
      <c r="P43" s="46"/>
    </row>
    <row r="44" customFormat="false" ht="17.35" hidden="false" customHeight="false" outlineLevel="0" collapsed="false">
      <c r="A44" s="78" t="s">
        <v>51</v>
      </c>
      <c r="B44" s="25"/>
      <c r="C44" s="79" t="s">
        <v>52</v>
      </c>
      <c r="D44" s="79"/>
      <c r="E44" s="25"/>
      <c r="F44" s="25"/>
      <c r="G44" s="25"/>
      <c r="H44" s="20"/>
      <c r="J44" s="2" t="s">
        <v>53</v>
      </c>
      <c r="K44" s="2" t="n">
        <f aca="false">(K40/(1+K41)^(K36+1))</f>
        <v>0</v>
      </c>
      <c r="L44" s="2"/>
      <c r="P44" s="46"/>
    </row>
    <row r="45" customFormat="false" ht="17.35" hidden="false" customHeight="false" outlineLevel="0" collapsed="false">
      <c r="A45" s="80" t="n">
        <v>100.0</v>
      </c>
      <c r="B45" s="25"/>
      <c r="C45" s="81" t="n">
        <v>100.0</v>
      </c>
      <c r="D45" s="81"/>
      <c r="E45" s="81"/>
      <c r="F45" s="25"/>
      <c r="G45" s="25"/>
      <c r="H45" s="20"/>
      <c r="J45" s="2" t="s">
        <v>54</v>
      </c>
      <c r="K45" s="2" t="n">
        <f aca="false">(K39-K44)</f>
        <v>23125</v>
      </c>
      <c r="L45" s="2"/>
      <c r="P45" s="46"/>
    </row>
    <row r="46" customFormat="false" ht="17.35" hidden="false" customHeight="false" outlineLevel="0" collapsed="false">
      <c r="A46" s="74"/>
      <c r="B46" s="75"/>
      <c r="C46" s="75"/>
      <c r="D46" s="75"/>
      <c r="E46" s="75"/>
      <c r="F46" s="75"/>
      <c r="G46" s="75"/>
      <c r="H46" s="82"/>
      <c r="J46" s="2" t="s">
        <v>55</v>
      </c>
      <c r="K46" s="2" t="n">
        <f aca="false">((1-(1/((1+K41)^K36)))/K41)</f>
        <v>11.5879666297182</v>
      </c>
      <c r="L46" s="2"/>
      <c r="P46" s="46"/>
    </row>
    <row r="47" customFormat="false" ht="17.35" hidden="false" customHeight="false" outlineLevel="0" collapsed="false">
      <c r="A47" s="48"/>
      <c r="B47" s="49"/>
      <c r="C47" s="49"/>
      <c r="D47" s="49"/>
      <c r="E47" s="49"/>
      <c r="F47" s="49"/>
      <c r="G47" s="49"/>
      <c r="H47" s="50"/>
      <c r="J47" s="2" t="s">
        <v>56</v>
      </c>
      <c r="K47" s="2" t="n">
        <f aca="false">K45/K46</f>
        <v>1995.60464220652</v>
      </c>
      <c r="L47" s="2" t="n">
        <f aca="false">L49-K42</f>
        <v>760.416666666667</v>
      </c>
      <c r="M47" s="1" t="n">
        <f aca="false">K47-L47</f>
        <v>1235.18797553986</v>
      </c>
      <c r="P47" s="46"/>
    </row>
    <row r="48" customFormat="false" ht="31.8" hidden="false" customHeight="false" outlineLevel="0" collapsed="false">
      <c r="A48" s="83" t="s">
        <v>57</v>
      </c>
      <c r="B48" s="25"/>
      <c r="C48" s="25"/>
      <c r="D48" s="84"/>
      <c r="E48" s="84"/>
      <c r="F48" s="84"/>
      <c r="G48" s="84"/>
      <c r="H48" s="85"/>
      <c r="J48" s="86" t="s">
        <v>58</v>
      </c>
      <c r="K48" s="2" t="n">
        <f aca="false">IF(B26="YES", K47+K42, K47)</f>
        <v>2035.18797553986</v>
      </c>
      <c r="L48" s="2"/>
      <c r="P48" s="46"/>
    </row>
    <row r="49" customFormat="false" ht="17.35" hidden="false" customHeight="false" outlineLevel="0" collapsed="false">
      <c r="A49" s="55"/>
      <c r="B49" s="87"/>
      <c r="C49" s="87"/>
      <c r="D49" s="25"/>
      <c r="E49" s="25"/>
      <c r="F49" s="25"/>
      <c r="G49" s="25"/>
      <c r="H49" s="20"/>
      <c r="J49" s="2" t="s">
        <v>59</v>
      </c>
      <c r="K49" s="2"/>
      <c r="L49" s="2" t="n">
        <v>800</v>
      </c>
      <c r="P49" s="46"/>
    </row>
    <row r="50" customFormat="false" ht="19.7" hidden="false" customHeight="false" outlineLevel="0" collapsed="false">
      <c r="A50" s="88" t="s">
        <v>28</v>
      </c>
      <c r="B50" s="89" t="s">
        <v>33</v>
      </c>
      <c r="C50" s="89"/>
      <c r="D50" s="89"/>
      <c r="E50" s="25"/>
      <c r="F50" s="25"/>
      <c r="G50" s="25"/>
      <c r="H50" s="20"/>
      <c r="I50" s="2"/>
      <c r="J50" s="2"/>
      <c r="K50" s="2"/>
      <c r="P50" s="46"/>
    </row>
    <row r="51" customFormat="false" ht="19.5" hidden="false" customHeight="true" outlineLevel="0" collapsed="false">
      <c r="A51" s="88"/>
      <c r="B51" s="90" t="n">
        <f aca="false">K30</f>
        <v>10000</v>
      </c>
      <c r="C51" s="90"/>
      <c r="D51" s="90"/>
      <c r="E51" s="25"/>
      <c r="F51" s="25"/>
      <c r="G51" s="25"/>
      <c r="H51" s="20"/>
      <c r="I51" s="2"/>
      <c r="J51" s="2"/>
      <c r="K51" s="2"/>
      <c r="P51" s="46"/>
    </row>
    <row r="52" customFormat="false" ht="17.35" hidden="false" customHeight="false" outlineLevel="0" collapsed="false">
      <c r="A52" s="91" t="n">
        <f aca="false">K29</f>
        <v>12</v>
      </c>
      <c r="B52" s="92" t="n">
        <f aca="false">K48</f>
        <v>2035.18797553986</v>
      </c>
      <c r="C52" s="92"/>
      <c r="D52" s="92"/>
      <c r="E52" s="25"/>
      <c r="F52" s="25"/>
      <c r="G52" s="25"/>
      <c r="H52" s="20"/>
      <c r="I52" s="2"/>
      <c r="J52" s="2"/>
      <c r="K52" s="2"/>
      <c r="P52" s="46"/>
    </row>
    <row r="53" customFormat="false" ht="17.35" hidden="false" customHeight="false" outlineLevel="0" collapsed="false">
      <c r="A53" s="55"/>
      <c r="B53" s="25"/>
      <c r="C53" s="25"/>
      <c r="D53" s="25"/>
      <c r="E53" s="25"/>
      <c r="F53" s="25"/>
      <c r="G53" s="25"/>
      <c r="H53" s="20"/>
      <c r="I53" s="2"/>
      <c r="J53" s="2"/>
      <c r="K53" s="2"/>
      <c r="P53" s="46"/>
    </row>
    <row r="54" customFormat="false" ht="17.35" hidden="false" customHeight="false" outlineLevel="0" collapsed="false">
      <c r="A54" s="74"/>
      <c r="B54" s="75"/>
      <c r="C54" s="75"/>
      <c r="D54" s="75"/>
      <c r="E54" s="75"/>
      <c r="F54" s="75"/>
      <c r="G54" s="75"/>
      <c r="H54" s="82"/>
      <c r="I54" s="2"/>
      <c r="J54" s="2"/>
      <c r="K54" s="2"/>
      <c r="P54" s="46"/>
    </row>
    <row r="55" customFormat="false" ht="17.35" hidden="false" customHeight="false" outlineLevel="0" collapsed="false">
      <c r="A55" s="45"/>
      <c r="B55" s="45"/>
      <c r="C55" s="45"/>
      <c r="D55" s="45"/>
      <c r="E55" s="45"/>
      <c r="F55" s="45"/>
      <c r="G55" s="45"/>
      <c r="H55" s="45"/>
      <c r="J55" s="2"/>
      <c r="K55" s="2"/>
      <c r="P55" s="46"/>
    </row>
    <row r="56" customFormat="false" ht="17.35" hidden="false" customHeight="false" outlineLevel="0" collapsed="false">
      <c r="A56" s="45"/>
      <c r="B56" s="45"/>
      <c r="C56" s="45"/>
      <c r="D56" s="45"/>
      <c r="E56" s="45"/>
      <c r="F56" s="45"/>
      <c r="G56" s="45"/>
      <c r="H56" s="45"/>
      <c r="J56" s="2"/>
      <c r="K56" s="2"/>
      <c r="P56" s="46"/>
    </row>
    <row r="57" customFormat="false" ht="17.35" hidden="false" customHeight="false" outlineLevel="0" collapsed="false">
      <c r="A57" s="48"/>
      <c r="B57" s="49"/>
      <c r="C57" s="49"/>
      <c r="D57" s="49"/>
      <c r="E57" s="93"/>
      <c r="F57" s="93"/>
      <c r="G57" s="93"/>
      <c r="H57" s="50"/>
      <c r="J57" s="48"/>
      <c r="K57" s="49"/>
      <c r="L57" s="49"/>
      <c r="M57" s="49"/>
      <c r="N57" s="93"/>
      <c r="O57" s="93"/>
      <c r="P57" s="93"/>
      <c r="Q57" s="50"/>
      <c r="S57" s="48"/>
      <c r="T57" s="49"/>
      <c r="U57" s="49"/>
      <c r="V57" s="49"/>
      <c r="W57" s="93"/>
      <c r="X57" s="93"/>
      <c r="Y57" s="93"/>
      <c r="Z57" s="50"/>
      <c r="AB57" s="48"/>
      <c r="AC57" s="49"/>
      <c r="AD57" s="49"/>
      <c r="AE57" s="49"/>
      <c r="AF57" s="93"/>
      <c r="AG57" s="93"/>
      <c r="AH57" s="93"/>
      <c r="AI57" s="50"/>
    </row>
    <row r="58" customFormat="false" ht="17.35" hidden="false" customHeight="false" outlineLevel="0" collapsed="false">
      <c r="A58" s="55" t="s">
        <v>46</v>
      </c>
      <c r="B58" s="25" t="n">
        <v>1</v>
      </c>
      <c r="C58" s="25"/>
      <c r="D58" s="25"/>
      <c r="E58" s="94"/>
      <c r="F58" s="94"/>
      <c r="G58" s="94"/>
      <c r="H58" s="20"/>
      <c r="J58" s="55" t="s">
        <v>46</v>
      </c>
      <c r="K58" s="25" t="n">
        <v>1</v>
      </c>
      <c r="L58" s="25"/>
      <c r="M58" s="25"/>
      <c r="N58" s="94"/>
      <c r="O58" s="94"/>
      <c r="P58" s="94"/>
      <c r="Q58" s="20"/>
      <c r="S58" s="55" t="s">
        <v>46</v>
      </c>
      <c r="T58" s="25" t="n">
        <v>1</v>
      </c>
      <c r="U58" s="25"/>
      <c r="V58" s="25"/>
      <c r="W58" s="94"/>
      <c r="X58" s="94"/>
      <c r="Y58" s="94"/>
      <c r="Z58" s="20"/>
      <c r="AB58" s="55" t="s">
        <v>46</v>
      </c>
      <c r="AC58" s="25" t="n">
        <v>1</v>
      </c>
      <c r="AD58" s="25"/>
      <c r="AE58" s="25"/>
      <c r="AF58" s="94"/>
      <c r="AG58" s="94"/>
      <c r="AH58" s="94"/>
      <c r="AI58" s="20"/>
    </row>
    <row r="59" customFormat="false" ht="17.35" hidden="false" customHeight="false" outlineLevel="0" collapsed="false">
      <c r="A59" s="55" t="s">
        <v>60</v>
      </c>
      <c r="B59" s="25" t="n">
        <f aca="false">K29-B58</f>
        <v>11</v>
      </c>
      <c r="C59" s="25"/>
      <c r="D59" s="25"/>
      <c r="E59" s="94"/>
      <c r="F59" s="94"/>
      <c r="G59" s="94"/>
      <c r="H59" s="20"/>
      <c r="J59" s="55" t="s">
        <v>60</v>
      </c>
      <c r="K59" s="25" t="n">
        <f aca="false">K29-K58</f>
        <v>11</v>
      </c>
      <c r="L59" s="25"/>
      <c r="M59" s="25"/>
      <c r="N59" s="94"/>
      <c r="O59" s="94"/>
      <c r="P59" s="94"/>
      <c r="Q59" s="20"/>
      <c r="S59" s="55" t="s">
        <v>60</v>
      </c>
      <c r="T59" s="25" t="n">
        <f aca="false">K29-T58</f>
        <v>11</v>
      </c>
      <c r="U59" s="25"/>
      <c r="V59" s="25"/>
      <c r="W59" s="94"/>
      <c r="X59" s="94"/>
      <c r="Y59" s="94"/>
      <c r="Z59" s="20"/>
      <c r="AB59" s="55" t="s">
        <v>60</v>
      </c>
      <c r="AC59" s="25" t="n">
        <f aca="false">K29-AC58</f>
        <v>11</v>
      </c>
      <c r="AD59" s="25"/>
      <c r="AE59" s="25"/>
      <c r="AF59" s="94"/>
      <c r="AG59" s="94"/>
      <c r="AH59" s="94"/>
      <c r="AI59" s="20"/>
    </row>
    <row r="60" customFormat="false" ht="17.35" hidden="false" customHeight="false" outlineLevel="0" collapsed="false">
      <c r="A60" s="95" t="s">
        <v>61</v>
      </c>
      <c r="B60" s="96" t="n">
        <v>10.0</v>
      </c>
      <c r="C60" s="25"/>
      <c r="D60" s="25"/>
      <c r="E60" s="94"/>
      <c r="F60" s="94"/>
      <c r="G60" s="94"/>
      <c r="H60" s="20"/>
      <c r="J60" s="95" t="s">
        <v>61</v>
      </c>
      <c r="K60" s="96" t="n">
        <v>20</v>
      </c>
      <c r="L60" s="25"/>
      <c r="M60" s="25"/>
      <c r="N60" s="94"/>
      <c r="O60" s="94"/>
      <c r="P60" s="94"/>
      <c r="Q60" s="20"/>
      <c r="S60" s="95" t="s">
        <v>61</v>
      </c>
      <c r="T60" s="96" t="n">
        <v>10</v>
      </c>
      <c r="U60" s="25"/>
      <c r="V60" s="25"/>
      <c r="W60" s="94"/>
      <c r="X60" s="94"/>
      <c r="Y60" s="94"/>
      <c r="Z60" s="20"/>
      <c r="AB60" s="95" t="s">
        <v>61</v>
      </c>
      <c r="AC60" s="96" t="n">
        <v>10</v>
      </c>
      <c r="AD60" s="25"/>
      <c r="AE60" s="25"/>
      <c r="AF60" s="94"/>
      <c r="AG60" s="94"/>
      <c r="AH60" s="94"/>
      <c r="AI60" s="20"/>
    </row>
    <row r="61" customFormat="false" ht="17.35" hidden="false" customHeight="false" outlineLevel="0" collapsed="false">
      <c r="A61" s="55" t="s">
        <v>16</v>
      </c>
      <c r="B61" s="25" t="n">
        <f aca="false">J18</f>
        <v>37405</v>
      </c>
      <c r="C61" s="25"/>
      <c r="D61" s="25"/>
      <c r="E61" s="94"/>
      <c r="F61" s="94"/>
      <c r="G61" s="94"/>
      <c r="H61" s="20"/>
      <c r="J61" s="55" t="s">
        <v>16</v>
      </c>
      <c r="K61" s="25" t="n">
        <f aca="false">J18</f>
        <v>37405</v>
      </c>
      <c r="L61" s="25"/>
      <c r="M61" s="25"/>
      <c r="N61" s="94"/>
      <c r="O61" s="94"/>
      <c r="P61" s="94"/>
      <c r="Q61" s="20"/>
      <c r="S61" s="55" t="s">
        <v>16</v>
      </c>
      <c r="T61" s="25" t="n">
        <f aca="false">J18</f>
        <v>37405</v>
      </c>
      <c r="U61" s="25"/>
      <c r="V61" s="25"/>
      <c r="W61" s="94"/>
      <c r="X61" s="94"/>
      <c r="Y61" s="94"/>
      <c r="Z61" s="20"/>
      <c r="AB61" s="55" t="s">
        <v>16</v>
      </c>
      <c r="AC61" s="25" t="n">
        <f aca="false">J18</f>
        <v>37405</v>
      </c>
      <c r="AD61" s="25"/>
      <c r="AE61" s="25"/>
      <c r="AF61" s="94"/>
      <c r="AG61" s="94"/>
      <c r="AH61" s="94"/>
      <c r="AI61" s="20"/>
    </row>
    <row r="62" customFormat="false" ht="17.35" hidden="false" customHeight="false" outlineLevel="0" collapsed="false">
      <c r="A62" s="97" t="s">
        <v>62</v>
      </c>
      <c r="B62" s="98" t="n">
        <v>0.0105</v>
      </c>
      <c r="C62" s="25"/>
      <c r="D62" s="25"/>
      <c r="E62" s="94"/>
      <c r="F62" s="94"/>
      <c r="G62" s="94"/>
      <c r="H62" s="20"/>
      <c r="J62" s="97" t="s">
        <v>62</v>
      </c>
      <c r="K62" s="98" t="n">
        <v>0.06</v>
      </c>
      <c r="L62" s="25"/>
      <c r="M62" s="25"/>
      <c r="N62" s="94"/>
      <c r="O62" s="94"/>
      <c r="P62" s="94"/>
      <c r="Q62" s="20"/>
      <c r="S62" s="97" t="s">
        <v>62</v>
      </c>
      <c r="T62" s="98" t="n">
        <f aca="false">IF(AND(K29&gt;= 12, K29&lt;=24), 0.0105, IF(AND(K29&gt;=48), -0.0075, 0))</f>
        <v>0.0105</v>
      </c>
      <c r="U62" s="25"/>
      <c r="V62" s="25"/>
      <c r="W62" s="94"/>
      <c r="X62" s="94"/>
      <c r="Y62" s="94"/>
      <c r="Z62" s="20"/>
      <c r="AB62" s="97" t="s">
        <v>62</v>
      </c>
      <c r="AC62" s="98" t="n">
        <f aca="false">IF(AND(K29&gt;= 12, K29&lt;=24), 0.0105, IF(AND(K29&gt;=48), -0.0075, 0))</f>
        <v>0.0105</v>
      </c>
      <c r="AD62" s="25"/>
      <c r="AE62" s="25"/>
      <c r="AF62" s="94"/>
      <c r="AG62" s="94"/>
      <c r="AH62" s="94"/>
      <c r="AI62" s="20"/>
    </row>
    <row r="63" customFormat="false" ht="17.35" hidden="false" customHeight="false" outlineLevel="0" collapsed="false">
      <c r="A63" s="99" t="s">
        <v>63</v>
      </c>
      <c r="B63" s="100" t="n">
        <v>0.065</v>
      </c>
      <c r="C63" s="25"/>
      <c r="D63" s="25"/>
      <c r="E63" s="94"/>
      <c r="F63" s="94"/>
      <c r="G63" s="94"/>
      <c r="H63" s="20"/>
      <c r="J63" s="99" t="s">
        <v>63</v>
      </c>
      <c r="K63" s="100" t="n">
        <v>0.08</v>
      </c>
      <c r="L63" s="25"/>
      <c r="M63" s="25"/>
      <c r="N63" s="94"/>
      <c r="O63" s="94"/>
      <c r="P63" s="94"/>
      <c r="Q63" s="20"/>
      <c r="S63" s="99" t="s">
        <v>63</v>
      </c>
      <c r="T63" s="100" t="n">
        <v>0.059</v>
      </c>
      <c r="U63" s="25"/>
      <c r="V63" s="25"/>
      <c r="W63" s="94"/>
      <c r="X63" s="94"/>
      <c r="Y63" s="94"/>
      <c r="Z63" s="20"/>
      <c r="AB63" s="99" t="s">
        <v>63</v>
      </c>
      <c r="AC63" s="100" t="n">
        <v>0.059</v>
      </c>
      <c r="AD63" s="25"/>
      <c r="AE63" s="25"/>
      <c r="AF63" s="94"/>
      <c r="AG63" s="94"/>
      <c r="AH63" s="94"/>
      <c r="AI63" s="20"/>
    </row>
    <row r="64" customFormat="false" ht="17.35" hidden="false" customHeight="false" outlineLevel="0" collapsed="false">
      <c r="A64" s="101" t="s">
        <v>64</v>
      </c>
      <c r="B64" s="102" t="n">
        <v>0.05</v>
      </c>
      <c r="C64" s="25"/>
      <c r="D64" s="25"/>
      <c r="E64" s="94"/>
      <c r="F64" s="94"/>
      <c r="G64" s="94"/>
      <c r="H64" s="20"/>
      <c r="J64" s="101" t="s">
        <v>64</v>
      </c>
      <c r="K64" s="102" t="n">
        <v>0.1</v>
      </c>
      <c r="L64" s="25"/>
      <c r="M64" s="25"/>
      <c r="N64" s="94"/>
      <c r="O64" s="94"/>
      <c r="P64" s="94"/>
      <c r="Q64" s="20"/>
      <c r="S64" s="101" t="s">
        <v>64</v>
      </c>
      <c r="T64" s="102" t="n">
        <f aca="false">IF(T108=AP108, 2.4%, 7.2%)</f>
        <v>0.072</v>
      </c>
      <c r="U64" s="25"/>
      <c r="V64" s="25"/>
      <c r="W64" s="94"/>
      <c r="X64" s="94"/>
      <c r="Y64" s="94"/>
      <c r="Z64" s="20"/>
      <c r="AB64" s="101" t="s">
        <v>64</v>
      </c>
      <c r="AC64" s="102" t="n">
        <f aca="false">IF(AC108=AP108, 2.4%, 7.2%)</f>
        <v>0.072</v>
      </c>
      <c r="AD64" s="25"/>
      <c r="AE64" s="25"/>
      <c r="AF64" s="94"/>
      <c r="AG64" s="94"/>
      <c r="AH64" s="94"/>
      <c r="AI64" s="20"/>
    </row>
    <row r="65" customFormat="false" ht="17.35" hidden="false" customHeight="false" outlineLevel="0" collapsed="false">
      <c r="A65" s="74" t="s">
        <v>65</v>
      </c>
      <c r="B65" s="82" t="n">
        <f aca="false">(B89*B59)-(K47*K29)</f>
        <v>7010.42567114101</v>
      </c>
      <c r="C65" s="25"/>
      <c r="D65" s="25"/>
      <c r="E65" s="94"/>
      <c r="F65" s="94"/>
      <c r="G65" s="94"/>
      <c r="H65" s="20"/>
      <c r="J65" s="74" t="s">
        <v>65</v>
      </c>
      <c r="K65" s="82" t="e">
        <f aca="false">(K89*K59)-(K47*K29)</f>
        <v>#VALUE!</v>
      </c>
      <c r="L65" s="25"/>
      <c r="M65" s="25"/>
      <c r="N65" s="94"/>
      <c r="O65" s="94"/>
      <c r="P65" s="94"/>
      <c r="Q65" s="20"/>
      <c r="S65" s="74" t="s">
        <v>65</v>
      </c>
      <c r="T65" s="82" t="e">
        <f aca="false">(T89*T59)-(K47*K29)</f>
        <v>#VALUE!</v>
      </c>
      <c r="U65" s="25"/>
      <c r="V65" s="25"/>
      <c r="W65" s="94"/>
      <c r="X65" s="94"/>
      <c r="Y65" s="94"/>
      <c r="Z65" s="20"/>
      <c r="AB65" s="74" t="s">
        <v>65</v>
      </c>
      <c r="AC65" s="82" t="e">
        <f aca="false">(AC89*AC59)-(K47*K29)</f>
        <v>#VALUE!</v>
      </c>
      <c r="AD65" s="25"/>
      <c r="AE65" s="25"/>
      <c r="AF65" s="94"/>
      <c r="AG65" s="94"/>
      <c r="AH65" s="94"/>
      <c r="AI65" s="20"/>
    </row>
    <row r="66" customFormat="false" ht="17.35" hidden="false" customHeight="false" outlineLevel="0" collapsed="false">
      <c r="A66" s="97" t="s">
        <v>66</v>
      </c>
      <c r="B66" s="98" t="n">
        <v>0.005</v>
      </c>
      <c r="C66" s="25"/>
      <c r="D66" s="25"/>
      <c r="E66" s="94"/>
      <c r="F66" s="94"/>
      <c r="G66" s="94"/>
      <c r="H66" s="20"/>
      <c r="J66" s="97" t="s">
        <v>66</v>
      </c>
      <c r="K66" s="98" t="n">
        <v>0.05</v>
      </c>
      <c r="L66" s="25"/>
      <c r="M66" s="25"/>
      <c r="N66" s="94"/>
      <c r="O66" s="94"/>
      <c r="P66" s="94"/>
      <c r="Q66" s="20"/>
      <c r="S66" s="97" t="s">
        <v>66</v>
      </c>
      <c r="T66" s="98" t="n">
        <v>0.005</v>
      </c>
      <c r="U66" s="25"/>
      <c r="V66" s="25"/>
      <c r="W66" s="94"/>
      <c r="X66" s="94"/>
      <c r="Y66" s="94"/>
      <c r="Z66" s="20"/>
      <c r="AB66" s="97" t="s">
        <v>66</v>
      </c>
      <c r="AC66" s="98" t="n">
        <v>0.005</v>
      </c>
      <c r="AD66" s="25"/>
      <c r="AE66" s="25"/>
      <c r="AF66" s="94"/>
      <c r="AG66" s="94"/>
      <c r="AH66" s="94"/>
      <c r="AI66" s="20"/>
    </row>
    <row r="67" customFormat="false" ht="17.35" hidden="false" customHeight="false" outlineLevel="0" collapsed="false">
      <c r="A67" s="55" t="s">
        <v>67</v>
      </c>
      <c r="B67" s="103" t="n">
        <f aca="false">B66+(B66*0.5*(K29/12-1))</f>
        <v>0.005</v>
      </c>
      <c r="C67" s="25"/>
      <c r="D67" s="25"/>
      <c r="E67" s="94"/>
      <c r="F67" s="94"/>
      <c r="G67" s="94"/>
      <c r="H67" s="20"/>
      <c r="J67" s="55" t="s">
        <v>67</v>
      </c>
      <c r="K67" s="103" t="n">
        <f aca="false">K66+(K66*0.25*(K29/12-1))</f>
        <v>0.05</v>
      </c>
      <c r="L67" s="25"/>
      <c r="M67" s="25"/>
      <c r="N67" s="94"/>
      <c r="O67" s="94"/>
      <c r="P67" s="94"/>
      <c r="Q67" s="20"/>
      <c r="S67" s="55" t="s">
        <v>67</v>
      </c>
      <c r="T67" s="103" t="n">
        <f aca="false">T66+(T66*0.5*(K29/12-1))</f>
        <v>0.005</v>
      </c>
      <c r="U67" s="25"/>
      <c r="V67" s="25"/>
      <c r="W67" s="94"/>
      <c r="X67" s="94"/>
      <c r="Y67" s="94"/>
      <c r="Z67" s="20"/>
      <c r="AB67" s="55" t="s">
        <v>67</v>
      </c>
      <c r="AC67" s="103" t="n">
        <f aca="false">AC66+(AC66*0.5*(K29/12-1))</f>
        <v>0.005</v>
      </c>
      <c r="AD67" s="25"/>
      <c r="AE67" s="25"/>
      <c r="AF67" s="94"/>
      <c r="AG67" s="94"/>
      <c r="AH67" s="94"/>
      <c r="AI67" s="20"/>
    </row>
    <row r="68" customFormat="false" ht="17.35" hidden="false" customHeight="false" outlineLevel="0" collapsed="false">
      <c r="A68" s="74" t="s">
        <v>68</v>
      </c>
      <c r="B68" s="82" t="n">
        <f aca="false">(G158*B67)/1.2</f>
        <v>121.25</v>
      </c>
      <c r="C68" s="25"/>
      <c r="D68" s="25"/>
      <c r="E68" s="94"/>
      <c r="F68" s="94"/>
      <c r="G68" s="94"/>
      <c r="H68" s="20"/>
      <c r="J68" s="74" t="s">
        <v>68</v>
      </c>
      <c r="K68" s="82" t="n">
        <f aca="false">K61*K67</f>
        <v>1870.25</v>
      </c>
      <c r="L68" s="25"/>
      <c r="M68" s="25"/>
      <c r="N68" s="94"/>
      <c r="O68" s="94"/>
      <c r="P68" s="94"/>
      <c r="Q68" s="20"/>
      <c r="S68" s="74" t="s">
        <v>68</v>
      </c>
      <c r="T68" s="82" t="n">
        <f aca="false">T61*T67</f>
        <v>187.025</v>
      </c>
      <c r="U68" s="25"/>
      <c r="V68" s="25"/>
      <c r="W68" s="94"/>
      <c r="X68" s="94"/>
      <c r="Y68" s="94"/>
      <c r="Z68" s="20"/>
      <c r="AB68" s="74" t="s">
        <v>68</v>
      </c>
      <c r="AC68" s="82" t="e">
        <f aca="false">AH158*AC67</f>
        <v>#VALUE!</v>
      </c>
      <c r="AD68" s="25"/>
      <c r="AE68" s="25"/>
      <c r="AF68" s="94"/>
      <c r="AG68" s="94"/>
      <c r="AH68" s="94"/>
      <c r="AI68" s="20"/>
    </row>
    <row r="69" customFormat="false" ht="17.35" hidden="false" customHeight="false" outlineLevel="0" collapsed="false">
      <c r="A69" s="97" t="s">
        <v>69</v>
      </c>
      <c r="B69" s="98" t="n">
        <v>0</v>
      </c>
      <c r="C69" s="25"/>
      <c r="D69" s="25"/>
      <c r="E69" s="94"/>
      <c r="F69" s="94"/>
      <c r="G69" s="94"/>
      <c r="H69" s="20"/>
      <c r="J69" s="97" t="s">
        <v>69</v>
      </c>
      <c r="K69" s="98" t="n">
        <v>0</v>
      </c>
      <c r="L69" s="25"/>
      <c r="M69" s="25"/>
      <c r="N69" s="94"/>
      <c r="O69" s="94"/>
      <c r="P69" s="94"/>
      <c r="Q69" s="20"/>
      <c r="S69" s="97" t="s">
        <v>69</v>
      </c>
      <c r="T69" s="98" t="n">
        <v>0</v>
      </c>
      <c r="U69" s="25"/>
      <c r="V69" s="25"/>
      <c r="W69" s="94"/>
      <c r="X69" s="94"/>
      <c r="Y69" s="94"/>
      <c r="Z69" s="20"/>
      <c r="AB69" s="97" t="s">
        <v>69</v>
      </c>
      <c r="AC69" s="98" t="n">
        <v>0</v>
      </c>
      <c r="AD69" s="25"/>
      <c r="AE69" s="25"/>
      <c r="AF69" s="94"/>
      <c r="AG69" s="94"/>
      <c r="AH69" s="94"/>
      <c r="AI69" s="20"/>
    </row>
    <row r="70" customFormat="false" ht="17.35" hidden="false" customHeight="false" outlineLevel="0" collapsed="false">
      <c r="A70" s="99" t="s">
        <v>70</v>
      </c>
      <c r="B70" s="100" t="n">
        <v>0</v>
      </c>
      <c r="C70" s="25"/>
      <c r="D70" s="25"/>
      <c r="E70" s="94"/>
      <c r="F70" s="94"/>
      <c r="G70" s="94"/>
      <c r="H70" s="20"/>
      <c r="J70" s="99" t="s">
        <v>70</v>
      </c>
      <c r="K70" s="100" t="n">
        <v>0</v>
      </c>
      <c r="L70" s="25"/>
      <c r="M70" s="25"/>
      <c r="N70" s="94"/>
      <c r="O70" s="94"/>
      <c r="P70" s="94"/>
      <c r="Q70" s="20"/>
      <c r="S70" s="99" t="s">
        <v>70</v>
      </c>
      <c r="T70" s="100" t="n">
        <v>0</v>
      </c>
      <c r="U70" s="25"/>
      <c r="V70" s="25"/>
      <c r="W70" s="94"/>
      <c r="X70" s="94"/>
      <c r="Y70" s="94"/>
      <c r="Z70" s="20"/>
      <c r="AB70" s="99" t="s">
        <v>70</v>
      </c>
      <c r="AC70" s="100" t="n">
        <v>0</v>
      </c>
      <c r="AD70" s="25"/>
      <c r="AE70" s="25"/>
      <c r="AF70" s="94"/>
      <c r="AG70" s="94"/>
      <c r="AH70" s="94"/>
      <c r="AI70" s="20"/>
    </row>
    <row r="71" customFormat="false" ht="17.35" hidden="false" customHeight="false" outlineLevel="0" collapsed="false">
      <c r="A71" s="74" t="s">
        <v>71</v>
      </c>
      <c r="B71" s="104" t="n">
        <f aca="false">B69*(1+B70)</f>
        <v>0</v>
      </c>
      <c r="C71" s="25"/>
      <c r="D71" s="25"/>
      <c r="E71" s="94"/>
      <c r="F71" s="94"/>
      <c r="G71" s="94"/>
      <c r="H71" s="20"/>
      <c r="J71" s="74" t="s">
        <v>71</v>
      </c>
      <c r="K71" s="104" t="n">
        <f aca="false">K69*(1+K70)</f>
        <v>0</v>
      </c>
      <c r="L71" s="25"/>
      <c r="M71" s="25"/>
      <c r="N71" s="94"/>
      <c r="O71" s="94"/>
      <c r="P71" s="94"/>
      <c r="Q71" s="20"/>
      <c r="S71" s="74" t="s">
        <v>71</v>
      </c>
      <c r="T71" s="104" t="n">
        <f aca="false">T69*(1+T70)</f>
        <v>0</v>
      </c>
      <c r="U71" s="25"/>
      <c r="V71" s="25"/>
      <c r="W71" s="94"/>
      <c r="X71" s="94"/>
      <c r="Y71" s="94"/>
      <c r="Z71" s="20"/>
      <c r="AB71" s="74" t="s">
        <v>71</v>
      </c>
      <c r="AC71" s="104" t="n">
        <f aca="false">AC69*(1+AC70)</f>
        <v>0</v>
      </c>
      <c r="AD71" s="25"/>
      <c r="AE71" s="25"/>
      <c r="AF71" s="94"/>
      <c r="AG71" s="94"/>
      <c r="AH71" s="94"/>
      <c r="AI71" s="20"/>
    </row>
    <row r="72" customFormat="false" ht="17.35" hidden="false" customHeight="false" outlineLevel="0" collapsed="false">
      <c r="A72" s="97" t="s">
        <v>72</v>
      </c>
      <c r="B72" s="105" t="n">
        <v>0</v>
      </c>
      <c r="C72" s="25"/>
      <c r="D72" s="25"/>
      <c r="E72" s="94"/>
      <c r="F72" s="94"/>
      <c r="G72" s="94"/>
      <c r="H72" s="20"/>
      <c r="J72" s="97" t="s">
        <v>72</v>
      </c>
      <c r="K72" s="105" t="n">
        <v>0</v>
      </c>
      <c r="L72" s="25"/>
      <c r="M72" s="25"/>
      <c r="N72" s="94"/>
      <c r="O72" s="94"/>
      <c r="P72" s="94"/>
      <c r="Q72" s="20"/>
      <c r="S72" s="97" t="s">
        <v>72</v>
      </c>
      <c r="T72" s="105" t="n">
        <v>0</v>
      </c>
      <c r="U72" s="25"/>
      <c r="V72" s="25"/>
      <c r="W72" s="94"/>
      <c r="X72" s="94"/>
      <c r="Y72" s="94"/>
      <c r="Z72" s="20"/>
      <c r="AB72" s="97" t="s">
        <v>72</v>
      </c>
      <c r="AC72" s="105" t="n">
        <v>0</v>
      </c>
      <c r="AD72" s="25"/>
      <c r="AE72" s="25"/>
      <c r="AF72" s="94"/>
      <c r="AG72" s="94"/>
      <c r="AH72" s="94"/>
      <c r="AI72" s="20"/>
    </row>
    <row r="73" customFormat="false" ht="17.35" hidden="false" customHeight="false" outlineLevel="0" collapsed="false">
      <c r="A73" s="99" t="s">
        <v>73</v>
      </c>
      <c r="B73" s="96" t="n">
        <v>0</v>
      </c>
      <c r="C73" s="25"/>
      <c r="D73" s="25"/>
      <c r="E73" s="94"/>
      <c r="F73" s="94"/>
      <c r="G73" s="94"/>
      <c r="H73" s="20"/>
      <c r="J73" s="99" t="s">
        <v>73</v>
      </c>
      <c r="K73" s="96" t="n">
        <v>0</v>
      </c>
      <c r="L73" s="25"/>
      <c r="M73" s="25"/>
      <c r="N73" s="94"/>
      <c r="O73" s="94"/>
      <c r="P73" s="94"/>
      <c r="Q73" s="20"/>
      <c r="S73" s="99" t="s">
        <v>73</v>
      </c>
      <c r="T73" s="96" t="n">
        <v>0</v>
      </c>
      <c r="U73" s="25"/>
      <c r="V73" s="25"/>
      <c r="W73" s="94"/>
      <c r="X73" s="94"/>
      <c r="Y73" s="94"/>
      <c r="Z73" s="20"/>
      <c r="AB73" s="99" t="s">
        <v>73</v>
      </c>
      <c r="AC73" s="96" t="n">
        <v>0</v>
      </c>
      <c r="AD73" s="25"/>
      <c r="AE73" s="25"/>
      <c r="AF73" s="94"/>
      <c r="AG73" s="94"/>
      <c r="AH73" s="94"/>
      <c r="AI73" s="20"/>
    </row>
    <row r="74" customFormat="false" ht="17.35" hidden="false" customHeight="false" outlineLevel="0" collapsed="false">
      <c r="A74" s="74" t="s">
        <v>74</v>
      </c>
      <c r="B74" s="82" t="n">
        <f aca="false">B73*K29</f>
        <v>0</v>
      </c>
      <c r="C74" s="25"/>
      <c r="D74" s="25" t="n">
        <f aca="false">B74+B72</f>
        <v>0</v>
      </c>
      <c r="E74" s="94"/>
      <c r="F74" s="94"/>
      <c r="G74" s="94"/>
      <c r="H74" s="20"/>
      <c r="J74" s="74" t="s">
        <v>74</v>
      </c>
      <c r="K74" s="82" t="n">
        <f aca="false">K73*K29</f>
        <v>0</v>
      </c>
      <c r="L74" s="25"/>
      <c r="M74" s="25" t="n">
        <f aca="false">K74+K72</f>
        <v>0</v>
      </c>
      <c r="N74" s="94"/>
      <c r="O74" s="94"/>
      <c r="P74" s="94"/>
      <c r="Q74" s="20"/>
      <c r="S74" s="74" t="s">
        <v>74</v>
      </c>
      <c r="T74" s="82" t="n">
        <f aca="false">T73*K29</f>
        <v>0</v>
      </c>
      <c r="U74" s="25"/>
      <c r="V74" s="25" t="n">
        <f aca="false">T74+T72</f>
        <v>0</v>
      </c>
      <c r="W74" s="94"/>
      <c r="X74" s="94"/>
      <c r="Y74" s="94"/>
      <c r="Z74" s="20"/>
      <c r="AB74" s="74" t="s">
        <v>74</v>
      </c>
      <c r="AC74" s="82" t="n">
        <f aca="false">AC73*K29</f>
        <v>0</v>
      </c>
      <c r="AD74" s="25"/>
      <c r="AE74" s="25" t="n">
        <f aca="false">AC74+AC72</f>
        <v>0</v>
      </c>
      <c r="AF74" s="94"/>
      <c r="AG74" s="94"/>
      <c r="AH74" s="94"/>
      <c r="AI74" s="20"/>
    </row>
    <row r="75" customFormat="false" ht="17.35" hidden="false" customHeight="false" outlineLevel="0" collapsed="false">
      <c r="A75" s="99" t="s">
        <v>75</v>
      </c>
      <c r="B75" s="96" t="n">
        <v>0</v>
      </c>
      <c r="C75" s="25"/>
      <c r="D75" s="25" t="n">
        <f aca="false">B75</f>
        <v>0</v>
      </c>
      <c r="E75" s="94"/>
      <c r="F75" s="94"/>
      <c r="G75" s="94"/>
      <c r="H75" s="20"/>
      <c r="J75" s="99" t="s">
        <v>75</v>
      </c>
      <c r="K75" s="96" t="n">
        <v>0</v>
      </c>
      <c r="L75" s="25"/>
      <c r="M75" s="25" t="n">
        <f aca="false">K75</f>
        <v>0</v>
      </c>
      <c r="N75" s="94"/>
      <c r="O75" s="94"/>
      <c r="P75" s="94"/>
      <c r="Q75" s="20"/>
      <c r="S75" s="99" t="s">
        <v>75</v>
      </c>
      <c r="T75" s="96" t="n">
        <v>0</v>
      </c>
      <c r="U75" s="25"/>
      <c r="V75" s="25" t="n">
        <f aca="false">T75</f>
        <v>0</v>
      </c>
      <c r="W75" s="94"/>
      <c r="X75" s="94"/>
      <c r="Y75" s="94"/>
      <c r="Z75" s="20"/>
      <c r="AB75" s="99" t="s">
        <v>75</v>
      </c>
      <c r="AC75" s="96" t="n">
        <v>0</v>
      </c>
      <c r="AD75" s="25"/>
      <c r="AE75" s="25" t="n">
        <f aca="false">AC75</f>
        <v>0</v>
      </c>
      <c r="AF75" s="94"/>
      <c r="AG75" s="94"/>
      <c r="AH75" s="94"/>
      <c r="AI75" s="20"/>
    </row>
    <row r="76" customFormat="false" ht="17.35" hidden="false" customHeight="false" outlineLevel="0" collapsed="false">
      <c r="A76" s="101" t="s">
        <v>76</v>
      </c>
      <c r="B76" s="106" t="n">
        <v>0</v>
      </c>
      <c r="C76" s="25"/>
      <c r="D76" s="25" t="n">
        <f aca="false">B76</f>
        <v>0</v>
      </c>
      <c r="E76" s="94"/>
      <c r="F76" s="25"/>
      <c r="G76" s="94"/>
      <c r="H76" s="20"/>
      <c r="J76" s="101" t="s">
        <v>76</v>
      </c>
      <c r="K76" s="106" t="n">
        <v>0</v>
      </c>
      <c r="L76" s="25"/>
      <c r="M76" s="25" t="n">
        <f aca="false">K76</f>
        <v>0</v>
      </c>
      <c r="N76" s="94"/>
      <c r="O76" s="94"/>
      <c r="P76" s="94"/>
      <c r="Q76" s="20"/>
      <c r="S76" s="101" t="s">
        <v>76</v>
      </c>
      <c r="T76" s="106" t="n">
        <v>0</v>
      </c>
      <c r="U76" s="25"/>
      <c r="V76" s="25" t="n">
        <f aca="false">T76</f>
        <v>0</v>
      </c>
      <c r="W76" s="94"/>
      <c r="X76" s="94"/>
      <c r="Y76" s="94"/>
      <c r="Z76" s="20"/>
      <c r="AB76" s="101" t="s">
        <v>76</v>
      </c>
      <c r="AC76" s="106" t="n">
        <v>0</v>
      </c>
      <c r="AD76" s="25"/>
      <c r="AE76" s="25" t="n">
        <f aca="false">AC76</f>
        <v>0</v>
      </c>
      <c r="AF76" s="94"/>
      <c r="AG76" s="94"/>
      <c r="AH76" s="94"/>
      <c r="AI76" s="20"/>
    </row>
    <row r="77" customFormat="false" ht="17.35" hidden="false" customHeight="false" outlineLevel="0" collapsed="false">
      <c r="A77" s="107" t="s">
        <v>77</v>
      </c>
      <c r="B77" s="108" t="n">
        <f aca="false">SUM(D65:D76)</f>
        <v>0</v>
      </c>
      <c r="C77" s="25"/>
      <c r="D77" s="25"/>
      <c r="E77" s="94"/>
      <c r="F77" s="25"/>
      <c r="G77" s="25"/>
      <c r="H77" s="20"/>
      <c r="J77" s="107" t="s">
        <v>77</v>
      </c>
      <c r="K77" s="108" t="n">
        <f aca="false">SUM(M65:M76)</f>
        <v>0</v>
      </c>
      <c r="L77" s="25"/>
      <c r="M77" s="25"/>
      <c r="N77" s="94"/>
      <c r="O77" s="94"/>
      <c r="P77" s="94"/>
      <c r="Q77" s="20"/>
      <c r="S77" s="107" t="s">
        <v>77</v>
      </c>
      <c r="T77" s="108" t="n">
        <f aca="false">SUM(V65:V76)</f>
        <v>0</v>
      </c>
      <c r="U77" s="25"/>
      <c r="V77" s="25"/>
      <c r="W77" s="94"/>
      <c r="X77" s="94"/>
      <c r="Y77" s="94"/>
      <c r="Z77" s="20"/>
      <c r="AB77" s="107" t="s">
        <v>77</v>
      </c>
      <c r="AC77" s="108" t="n">
        <f aca="false">SUM(AE65:AE76)</f>
        <v>0</v>
      </c>
      <c r="AD77" s="25"/>
      <c r="AE77" s="25"/>
      <c r="AF77" s="94"/>
      <c r="AG77" s="94"/>
      <c r="AH77" s="94"/>
      <c r="AI77" s="20"/>
    </row>
    <row r="78" customFormat="false" ht="17.35" hidden="false" customHeight="false" outlineLevel="0" collapsed="false">
      <c r="A78" s="55" t="s">
        <v>78</v>
      </c>
      <c r="B78" s="20" t="n">
        <f aca="false">B77/K29</f>
        <v>0</v>
      </c>
      <c r="C78" s="25"/>
      <c r="D78" s="25"/>
      <c r="E78" s="94"/>
      <c r="F78" s="94"/>
      <c r="G78" s="94"/>
      <c r="H78" s="20"/>
      <c r="J78" s="55" t="s">
        <v>78</v>
      </c>
      <c r="K78" s="20" t="n">
        <f aca="false">K77/K29</f>
        <v>0</v>
      </c>
      <c r="L78" s="25"/>
      <c r="M78" s="25"/>
      <c r="N78" s="94"/>
      <c r="O78" s="94"/>
      <c r="P78" s="94"/>
      <c r="Q78" s="20"/>
      <c r="S78" s="55" t="s">
        <v>78</v>
      </c>
      <c r="T78" s="20" t="n">
        <f aca="false">T77/K29</f>
        <v>0</v>
      </c>
      <c r="U78" s="25"/>
      <c r="V78" s="25"/>
      <c r="W78" s="94"/>
      <c r="X78" s="94"/>
      <c r="Y78" s="94"/>
      <c r="Z78" s="20"/>
      <c r="AB78" s="55" t="s">
        <v>78</v>
      </c>
      <c r="AC78" s="20" t="n">
        <f aca="false">AC77/K29</f>
        <v>0</v>
      </c>
      <c r="AD78" s="25"/>
      <c r="AE78" s="25"/>
      <c r="AF78" s="94"/>
      <c r="AG78" s="94"/>
      <c r="AH78" s="94"/>
      <c r="AI78" s="20"/>
    </row>
    <row r="79" customFormat="false" ht="17.35" hidden="false" customHeight="false" outlineLevel="0" collapsed="false">
      <c r="A79" s="109" t="s">
        <v>79</v>
      </c>
      <c r="B79" s="77" t="n">
        <f aca="false">K47</f>
        <v>1995.60464220652</v>
      </c>
      <c r="C79" s="25"/>
      <c r="D79" s="25"/>
      <c r="E79" s="94"/>
      <c r="F79" s="94"/>
      <c r="G79" s="94"/>
      <c r="H79" s="20"/>
      <c r="J79" s="109" t="s">
        <v>79</v>
      </c>
      <c r="K79" s="77" t="n">
        <f aca="false">K47</f>
        <v>1995.60464220652</v>
      </c>
      <c r="L79" s="25"/>
      <c r="M79" s="25"/>
      <c r="N79" s="94"/>
      <c r="O79" s="94"/>
      <c r="P79" s="94"/>
      <c r="Q79" s="20"/>
      <c r="S79" s="109" t="s">
        <v>79</v>
      </c>
      <c r="T79" s="77" t="n">
        <f aca="false">B52</f>
        <v>2035.18797553986</v>
      </c>
      <c r="U79" s="25"/>
      <c r="V79" s="25"/>
      <c r="W79" s="94"/>
      <c r="X79" s="94"/>
      <c r="Y79" s="94"/>
      <c r="Z79" s="20"/>
      <c r="AB79" s="109" t="s">
        <v>79</v>
      </c>
      <c r="AC79" s="77" t="n">
        <f aca="false">B52</f>
        <v>2035.18797553986</v>
      </c>
      <c r="AD79" s="25"/>
      <c r="AE79" s="25"/>
      <c r="AF79" s="94"/>
      <c r="AG79" s="94"/>
      <c r="AH79" s="94"/>
      <c r="AI79" s="20"/>
    </row>
    <row r="80" customFormat="false" ht="17.35" hidden="false" customHeight="false" outlineLevel="0" collapsed="false">
      <c r="A80" s="55"/>
      <c r="B80" s="25"/>
      <c r="C80" s="25"/>
      <c r="D80" s="25"/>
      <c r="E80" s="94"/>
      <c r="F80" s="94"/>
      <c r="G80" s="94"/>
      <c r="H80" s="20"/>
      <c r="J80" s="55"/>
      <c r="K80" s="25"/>
      <c r="L80" s="25"/>
      <c r="M80" s="25"/>
      <c r="N80" s="94"/>
      <c r="O80" s="94"/>
      <c r="P80" s="94"/>
      <c r="Q80" s="20"/>
      <c r="S80" s="55"/>
      <c r="T80" s="25"/>
      <c r="U80" s="25"/>
      <c r="V80" s="25"/>
      <c r="W80" s="94"/>
      <c r="X80" s="94"/>
      <c r="Y80" s="94"/>
      <c r="Z80" s="20"/>
      <c r="AB80" s="55"/>
      <c r="AC80" s="25"/>
      <c r="AD80" s="25"/>
      <c r="AE80" s="25"/>
      <c r="AF80" s="94"/>
      <c r="AG80" s="94"/>
      <c r="AH80" s="94"/>
      <c r="AI80" s="20"/>
    </row>
    <row r="81" customFormat="false" ht="17.35" hidden="false" customHeight="false" outlineLevel="0" collapsed="false">
      <c r="A81" s="48" t="s">
        <v>80</v>
      </c>
      <c r="B81" s="50" t="n">
        <f aca="false">G158</f>
        <v>29100</v>
      </c>
      <c r="C81" s="25"/>
      <c r="D81" s="25"/>
      <c r="E81" s="94"/>
      <c r="F81" s="94"/>
      <c r="G81" s="94"/>
      <c r="H81" s="20"/>
      <c r="J81" s="48" t="s">
        <v>80</v>
      </c>
      <c r="K81" s="50" t="e">
        <f aca="false">P158</f>
        <v>#VALUE!</v>
      </c>
      <c r="L81" s="25"/>
      <c r="M81" s="25"/>
      <c r="N81" s="94"/>
      <c r="O81" s="94"/>
      <c r="P81" s="94"/>
      <c r="Q81" s="20"/>
      <c r="S81" s="48" t="s">
        <v>80</v>
      </c>
      <c r="T81" s="50" t="e">
        <f aca="false">Y158</f>
        <v>#VALUE!</v>
      </c>
      <c r="U81" s="25"/>
      <c r="V81" s="25"/>
      <c r="W81" s="94"/>
      <c r="X81" s="94"/>
      <c r="Y81" s="94"/>
      <c r="Z81" s="20"/>
      <c r="AB81" s="48" t="s">
        <v>80</v>
      </c>
      <c r="AC81" s="50" t="e">
        <f aca="false">AH158</f>
        <v>#VALUE!</v>
      </c>
      <c r="AD81" s="25"/>
      <c r="AE81" s="25"/>
      <c r="AF81" s="94"/>
      <c r="AG81" s="94"/>
      <c r="AH81" s="94"/>
      <c r="AI81" s="20"/>
    </row>
    <row r="82" customFormat="false" ht="17.35" hidden="false" customHeight="false" outlineLevel="0" collapsed="false">
      <c r="A82" s="55" t="s">
        <v>47</v>
      </c>
      <c r="B82" s="20" t="n">
        <f aca="false">IF(A111 = "Yes", A40, 0)</f>
        <v>0</v>
      </c>
      <c r="C82" s="25"/>
      <c r="D82" s="25"/>
      <c r="E82" s="94"/>
      <c r="F82" s="94"/>
      <c r="G82" s="94"/>
      <c r="H82" s="20"/>
      <c r="J82" s="55" t="s">
        <v>47</v>
      </c>
      <c r="K82" s="20" t="n">
        <f aca="false">IF(J111 = "YES", A40, 0)</f>
        <v>0</v>
      </c>
      <c r="L82" s="25"/>
      <c r="M82" s="25"/>
      <c r="N82" s="94"/>
      <c r="O82" s="94"/>
      <c r="P82" s="94"/>
      <c r="Q82" s="20"/>
      <c r="S82" s="55" t="s">
        <v>47</v>
      </c>
      <c r="T82" s="20" t="n">
        <f aca="false">A40</f>
        <v>0</v>
      </c>
      <c r="U82" s="25"/>
      <c r="V82" s="25"/>
      <c r="W82" s="94"/>
      <c r="X82" s="94"/>
      <c r="Y82" s="94"/>
      <c r="Z82" s="20"/>
      <c r="AB82" s="55" t="s">
        <v>47</v>
      </c>
      <c r="AC82" s="20" t="n">
        <f aca="false">A40</f>
        <v>0</v>
      </c>
      <c r="AD82" s="25"/>
      <c r="AE82" s="25"/>
      <c r="AF82" s="94"/>
      <c r="AG82" s="94"/>
      <c r="AH82" s="94"/>
      <c r="AI82" s="20"/>
    </row>
    <row r="83" customFormat="false" ht="17.35" hidden="false" customHeight="false" outlineLevel="0" collapsed="false">
      <c r="A83" s="55" t="s">
        <v>81</v>
      </c>
      <c r="B83" s="110" t="n">
        <f aca="false">B62+B63+B64</f>
        <v>0.1255</v>
      </c>
      <c r="C83" s="25"/>
      <c r="D83" s="25"/>
      <c r="E83" s="94"/>
      <c r="F83" s="94"/>
      <c r="G83" s="94"/>
      <c r="H83" s="20"/>
      <c r="J83" s="55" t="s">
        <v>81</v>
      </c>
      <c r="K83" s="103" t="n">
        <f aca="false">K62+K63+K64</f>
        <v>0.24</v>
      </c>
      <c r="L83" s="25"/>
      <c r="M83" s="25"/>
      <c r="N83" s="94"/>
      <c r="O83" s="94"/>
      <c r="P83" s="94"/>
      <c r="Q83" s="20"/>
      <c r="S83" s="55" t="s">
        <v>81</v>
      </c>
      <c r="T83" s="103" t="n">
        <f aca="false">T62+T63+T64</f>
        <v>0.1415</v>
      </c>
      <c r="U83" s="25"/>
      <c r="V83" s="25"/>
      <c r="W83" s="94"/>
      <c r="X83" s="94"/>
      <c r="Y83" s="94"/>
      <c r="Z83" s="20"/>
      <c r="AB83" s="55" t="s">
        <v>81</v>
      </c>
      <c r="AC83" s="103" t="n">
        <f aca="false">AC62+AC63+AC64</f>
        <v>0.1415</v>
      </c>
      <c r="AD83" s="25"/>
      <c r="AE83" s="25"/>
      <c r="AF83" s="94"/>
      <c r="AG83" s="94"/>
      <c r="AH83" s="94"/>
      <c r="AI83" s="20"/>
    </row>
    <row r="84" customFormat="false" ht="17.35" hidden="false" customHeight="false" outlineLevel="0" collapsed="false">
      <c r="A84" s="55" t="s">
        <v>82</v>
      </c>
      <c r="B84" s="103" t="n">
        <f aca="false">B83/12</f>
        <v>0.0104583333333333</v>
      </c>
      <c r="C84" s="25"/>
      <c r="D84" s="25"/>
      <c r="E84" s="94"/>
      <c r="F84" s="94"/>
      <c r="G84" s="94"/>
      <c r="H84" s="20"/>
      <c r="J84" s="55" t="s">
        <v>82</v>
      </c>
      <c r="K84" s="103" t="n">
        <f aca="false">K83/12</f>
        <v>0.02</v>
      </c>
      <c r="L84" s="25"/>
      <c r="M84" s="25"/>
      <c r="N84" s="94"/>
      <c r="O84" s="94"/>
      <c r="P84" s="94"/>
      <c r="Q84" s="20"/>
      <c r="S84" s="55" t="s">
        <v>82</v>
      </c>
      <c r="T84" s="103" t="n">
        <f aca="false">T83/12</f>
        <v>0.0117916666666667</v>
      </c>
      <c r="U84" s="25"/>
      <c r="V84" s="25"/>
      <c r="W84" s="94"/>
      <c r="X84" s="94"/>
      <c r="Y84" s="94"/>
      <c r="Z84" s="20"/>
      <c r="AB84" s="55" t="s">
        <v>82</v>
      </c>
      <c r="AC84" s="103" t="n">
        <f aca="false">AC83/12</f>
        <v>0.0117916666666667</v>
      </c>
      <c r="AD84" s="25"/>
      <c r="AE84" s="25"/>
      <c r="AF84" s="94"/>
      <c r="AG84" s="94"/>
      <c r="AH84" s="94"/>
      <c r="AI84" s="20"/>
    </row>
    <row r="85" customFormat="false" ht="17.35" hidden="false" customHeight="false" outlineLevel="0" collapsed="false">
      <c r="A85" s="55" t="s">
        <v>83</v>
      </c>
      <c r="B85" s="20" t="n">
        <f aca="false">B59</f>
        <v>11</v>
      </c>
      <c r="C85" s="25"/>
      <c r="D85" s="25"/>
      <c r="E85" s="94"/>
      <c r="F85" s="94"/>
      <c r="G85" s="94"/>
      <c r="H85" s="20"/>
      <c r="J85" s="55" t="s">
        <v>83</v>
      </c>
      <c r="K85" s="20" t="n">
        <f aca="false">IF(K82=0, (K59+K58), (K59))</f>
        <v>12</v>
      </c>
      <c r="L85" s="25"/>
      <c r="M85" s="25"/>
      <c r="N85" s="94"/>
      <c r="O85" s="94"/>
      <c r="P85" s="94"/>
      <c r="Q85" s="20"/>
      <c r="S85" s="55" t="s">
        <v>83</v>
      </c>
      <c r="T85" s="20" t="n">
        <f aca="false">T59</f>
        <v>11</v>
      </c>
      <c r="U85" s="25"/>
      <c r="V85" s="25"/>
      <c r="W85" s="94"/>
      <c r="X85" s="94"/>
      <c r="Y85" s="94"/>
      <c r="Z85" s="20"/>
      <c r="AB85" s="55" t="s">
        <v>83</v>
      </c>
      <c r="AC85" s="20" t="n">
        <f aca="false">AC59</f>
        <v>11</v>
      </c>
      <c r="AD85" s="25"/>
      <c r="AE85" s="25"/>
      <c r="AF85" s="94"/>
      <c r="AG85" s="94"/>
      <c r="AH85" s="94"/>
      <c r="AI85" s="20"/>
    </row>
    <row r="86" customFormat="false" ht="17.35" hidden="false" customHeight="false" outlineLevel="0" collapsed="false">
      <c r="A86" s="55" t="s">
        <v>84</v>
      </c>
      <c r="B86" s="20" t="n">
        <f aca="false">(B82/((1+B84)^(B85+1)))</f>
        <v>0</v>
      </c>
      <c r="C86" s="25"/>
      <c r="D86" s="25"/>
      <c r="E86" s="94"/>
      <c r="F86" s="94"/>
      <c r="G86" s="94"/>
      <c r="H86" s="20"/>
      <c r="J86" s="55" t="s">
        <v>84</v>
      </c>
      <c r="K86" s="20" t="n">
        <f aca="false">(K82/((1+K84)^(K85+1)))</f>
        <v>0</v>
      </c>
      <c r="L86" s="25"/>
      <c r="M86" s="25"/>
      <c r="N86" s="94"/>
      <c r="O86" s="94"/>
      <c r="P86" s="94"/>
      <c r="Q86" s="20"/>
      <c r="S86" s="55" t="s">
        <v>84</v>
      </c>
      <c r="T86" s="20" t="n">
        <f aca="false">(T82/((1+T84)^(T85+1)))</f>
        <v>0</v>
      </c>
      <c r="U86" s="25"/>
      <c r="V86" s="25"/>
      <c r="W86" s="94"/>
      <c r="X86" s="94"/>
      <c r="Y86" s="94"/>
      <c r="Z86" s="20"/>
      <c r="AB86" s="55" t="s">
        <v>84</v>
      </c>
      <c r="AC86" s="20" t="n">
        <f aca="false">(AC82/((1+AC84)^(AC85+1)))</f>
        <v>0</v>
      </c>
      <c r="AD86" s="25"/>
      <c r="AE86" s="25"/>
      <c r="AF86" s="94"/>
      <c r="AG86" s="94"/>
      <c r="AH86" s="94"/>
      <c r="AI86" s="20"/>
    </row>
    <row r="87" customFormat="false" ht="17.35" hidden="false" customHeight="false" outlineLevel="0" collapsed="false">
      <c r="A87" s="55" t="s">
        <v>85</v>
      </c>
      <c r="B87" s="20" t="n">
        <f aca="false">((1-(1/((1+B84)^B85)))/B84)</f>
        <v>10.3399216528992</v>
      </c>
      <c r="C87" s="25"/>
      <c r="D87" s="25"/>
      <c r="E87" s="94"/>
      <c r="F87" s="94"/>
      <c r="G87" s="94"/>
      <c r="H87" s="20"/>
      <c r="J87" s="55" t="s">
        <v>85</v>
      </c>
      <c r="K87" s="20" t="n">
        <f aca="false">((1-(1/((1+K84)^K85)))/K84)</f>
        <v>10.5753412209172</v>
      </c>
      <c r="L87" s="25"/>
      <c r="M87" s="25"/>
      <c r="N87" s="94"/>
      <c r="O87" s="94"/>
      <c r="P87" s="94"/>
      <c r="Q87" s="20"/>
      <c r="S87" s="55" t="s">
        <v>85</v>
      </c>
      <c r="T87" s="20" t="n">
        <f aca="false">((1-(1/((1+T84)^T85)))/T84)</f>
        <v>10.2599315027351</v>
      </c>
      <c r="U87" s="25"/>
      <c r="V87" s="25"/>
      <c r="W87" s="94"/>
      <c r="X87" s="94"/>
      <c r="Y87" s="94"/>
      <c r="Z87" s="20"/>
      <c r="AB87" s="55" t="s">
        <v>85</v>
      </c>
      <c r="AC87" s="20" t="n">
        <f aca="false">((1-(1/((1+AC84)^AC85)))/AC84)</f>
        <v>10.2599315027351</v>
      </c>
      <c r="AD87" s="25"/>
      <c r="AE87" s="25"/>
      <c r="AF87" s="94"/>
      <c r="AG87" s="94"/>
      <c r="AH87" s="94"/>
      <c r="AI87" s="20"/>
    </row>
    <row r="88" customFormat="false" ht="17.35" hidden="false" customHeight="false" outlineLevel="0" collapsed="false">
      <c r="A88" s="55" t="s">
        <v>86</v>
      </c>
      <c r="B88" s="20" t="n">
        <f aca="false">B81-B86</f>
        <v>29100</v>
      </c>
      <c r="C88" s="25"/>
      <c r="D88" s="25"/>
      <c r="E88" s="94"/>
      <c r="F88" s="94"/>
      <c r="G88" s="94"/>
      <c r="H88" s="20"/>
      <c r="J88" s="55" t="s">
        <v>86</v>
      </c>
      <c r="K88" s="20" t="e">
        <f aca="false">K81-K86</f>
        <v>#VALUE!</v>
      </c>
      <c r="L88" s="25"/>
      <c r="M88" s="25"/>
      <c r="N88" s="94"/>
      <c r="O88" s="94"/>
      <c r="P88" s="94"/>
      <c r="Q88" s="20"/>
      <c r="S88" s="55" t="s">
        <v>86</v>
      </c>
      <c r="T88" s="20" t="e">
        <f aca="false">T81-T86</f>
        <v>#VALUE!</v>
      </c>
      <c r="U88" s="25"/>
      <c r="V88" s="25"/>
      <c r="W88" s="94"/>
      <c r="X88" s="94"/>
      <c r="Y88" s="94"/>
      <c r="Z88" s="20"/>
      <c r="AB88" s="55" t="s">
        <v>86</v>
      </c>
      <c r="AC88" s="20" t="e">
        <f aca="false">AC81-AC86</f>
        <v>#VALUE!</v>
      </c>
      <c r="AD88" s="25"/>
      <c r="AE88" s="25"/>
      <c r="AF88" s="94"/>
      <c r="AG88" s="94"/>
      <c r="AH88" s="94"/>
      <c r="AI88" s="20"/>
    </row>
    <row r="89" customFormat="false" ht="17.35" hidden="false" customHeight="false" outlineLevel="0" collapsed="false">
      <c r="A89" s="55" t="s">
        <v>87</v>
      </c>
      <c r="B89" s="20" t="n">
        <f aca="false">(B88/B87)</f>
        <v>2814.33467069266</v>
      </c>
      <c r="C89" s="25"/>
      <c r="D89" s="25"/>
      <c r="E89" s="94"/>
      <c r="F89" s="94"/>
      <c r="G89" s="94"/>
      <c r="H89" s="20"/>
      <c r="J89" s="55" t="s">
        <v>87</v>
      </c>
      <c r="K89" s="20" t="e">
        <f aca="false">(K88/K87)</f>
        <v>#VALUE!</v>
      </c>
      <c r="L89" s="25"/>
      <c r="M89" s="25"/>
      <c r="N89" s="94"/>
      <c r="O89" s="94"/>
      <c r="P89" s="94"/>
      <c r="Q89" s="20"/>
      <c r="S89" s="55" t="s">
        <v>87</v>
      </c>
      <c r="T89" s="20" t="e">
        <f aca="false">(T88/T87)</f>
        <v>#VALUE!</v>
      </c>
      <c r="U89" s="25"/>
      <c r="V89" s="25"/>
      <c r="W89" s="94"/>
      <c r="X89" s="94"/>
      <c r="Y89" s="94"/>
      <c r="Z89" s="20"/>
      <c r="AB89" s="55" t="s">
        <v>87</v>
      </c>
      <c r="AC89" s="20" t="e">
        <f aca="false">(AC88/AC87)</f>
        <v>#VALUE!</v>
      </c>
      <c r="AD89" s="25"/>
      <c r="AE89" s="25"/>
      <c r="AF89" s="94"/>
      <c r="AG89" s="94"/>
      <c r="AH89" s="94"/>
      <c r="AI89" s="20"/>
    </row>
    <row r="90" customFormat="false" ht="17.35" hidden="false" customHeight="false" outlineLevel="0" collapsed="false">
      <c r="A90" s="55" t="s">
        <v>88</v>
      </c>
      <c r="B90" s="20" t="n">
        <f aca="false">((B89*(B85))+B77)</f>
        <v>30957.6813776193</v>
      </c>
      <c r="C90" s="25"/>
      <c r="D90" s="25"/>
      <c r="E90" s="94"/>
      <c r="F90" s="94"/>
      <c r="G90" s="94"/>
      <c r="H90" s="20"/>
      <c r="J90" s="55" t="s">
        <v>88</v>
      </c>
      <c r="K90" s="20" t="e">
        <f aca="false">((K89*(K85))+K77)</f>
        <v>#VALUE!</v>
      </c>
      <c r="L90" s="25"/>
      <c r="M90" s="25"/>
      <c r="N90" s="94"/>
      <c r="O90" s="94"/>
      <c r="P90" s="94"/>
      <c r="Q90" s="20"/>
      <c r="S90" s="55" t="s">
        <v>88</v>
      </c>
      <c r="T90" s="20" t="e">
        <f aca="false">(T89*(T85))+T77</f>
        <v>#VALUE!</v>
      </c>
      <c r="U90" s="25"/>
      <c r="V90" s="25"/>
      <c r="W90" s="94"/>
      <c r="X90" s="94"/>
      <c r="Y90" s="94"/>
      <c r="Z90" s="20"/>
      <c r="AB90" s="55" t="s">
        <v>88</v>
      </c>
      <c r="AC90" s="20" t="e">
        <f aca="false">(AC89*(AC59))+AC77</f>
        <v>#VALUE!</v>
      </c>
      <c r="AD90" s="25"/>
      <c r="AE90" s="25"/>
      <c r="AF90" s="94"/>
      <c r="AG90" s="94"/>
      <c r="AH90" s="94"/>
      <c r="AI90" s="20"/>
    </row>
    <row r="91" customFormat="false" ht="17.35" hidden="false" customHeight="false" outlineLevel="0" collapsed="false">
      <c r="A91" s="55" t="s">
        <v>89</v>
      </c>
      <c r="B91" s="20" t="n">
        <f aca="false">(((B89*(B85))+B77)/(1-B71))*B71</f>
        <v>0</v>
      </c>
      <c r="C91" s="25"/>
      <c r="D91" s="25"/>
      <c r="E91" s="94"/>
      <c r="F91" s="94"/>
      <c r="G91" s="94"/>
      <c r="H91" s="20"/>
      <c r="J91" s="55" t="s">
        <v>89</v>
      </c>
      <c r="K91" s="20" t="e">
        <f aca="false">(K90/(1-K71))*K71</f>
        <v>#VALUE!</v>
      </c>
      <c r="L91" s="25"/>
      <c r="M91" s="25"/>
      <c r="N91" s="94"/>
      <c r="O91" s="94"/>
      <c r="P91" s="94"/>
      <c r="Q91" s="20"/>
      <c r="S91" s="55" t="s">
        <v>89</v>
      </c>
      <c r="T91" s="20" t="e">
        <f aca="false">(T90/(1-T71))*T71</f>
        <v>#VALUE!</v>
      </c>
      <c r="U91" s="25"/>
      <c r="V91" s="25"/>
      <c r="W91" s="94"/>
      <c r="X91" s="94"/>
      <c r="Y91" s="94"/>
      <c r="Z91" s="20"/>
      <c r="AB91" s="55" t="s">
        <v>89</v>
      </c>
      <c r="AC91" s="20" t="e">
        <f aca="false">(AC90/(1-AC71))*AC71</f>
        <v>#VALUE!</v>
      </c>
      <c r="AD91" s="25"/>
      <c r="AE91" s="25"/>
      <c r="AF91" s="94"/>
      <c r="AG91" s="94"/>
      <c r="AH91" s="94"/>
      <c r="AI91" s="20"/>
    </row>
    <row r="92" customFormat="false" ht="17.35" hidden="false" customHeight="false" outlineLevel="0" collapsed="false">
      <c r="A92" s="74" t="s">
        <v>90</v>
      </c>
      <c r="B92" s="82" t="n">
        <f aca="false">(B90+B91)</f>
        <v>30957.6813776193</v>
      </c>
      <c r="C92" s="25"/>
      <c r="D92" s="25"/>
      <c r="E92" s="94"/>
      <c r="F92" s="94"/>
      <c r="G92" s="94"/>
      <c r="H92" s="20"/>
      <c r="J92" s="74" t="s">
        <v>90</v>
      </c>
      <c r="K92" s="82" t="e">
        <f aca="false">(K90+K91)</f>
        <v>#VALUE!</v>
      </c>
      <c r="L92" s="25"/>
      <c r="M92" s="25"/>
      <c r="N92" s="94"/>
      <c r="O92" s="94"/>
      <c r="P92" s="94"/>
      <c r="Q92" s="20"/>
      <c r="S92" s="74" t="s">
        <v>90</v>
      </c>
      <c r="T92" s="82" t="e">
        <f aca="false">(T90+T91)</f>
        <v>#VALUE!</v>
      </c>
      <c r="U92" s="25"/>
      <c r="V92" s="25"/>
      <c r="W92" s="94"/>
      <c r="X92" s="94"/>
      <c r="Y92" s="94"/>
      <c r="Z92" s="20"/>
      <c r="AB92" s="74" t="s">
        <v>90</v>
      </c>
      <c r="AC92" s="82" t="e">
        <f aca="false">(AC90+AC91)</f>
        <v>#VALUE!</v>
      </c>
      <c r="AD92" s="25"/>
      <c r="AE92" s="25"/>
      <c r="AF92" s="94"/>
      <c r="AG92" s="94"/>
      <c r="AH92" s="94"/>
      <c r="AI92" s="20"/>
    </row>
    <row r="93" customFormat="false" ht="17.35" hidden="false" customHeight="false" outlineLevel="0" collapsed="false">
      <c r="A93" s="55"/>
      <c r="B93" s="25"/>
      <c r="C93" s="25"/>
      <c r="D93" s="25"/>
      <c r="E93" s="94"/>
      <c r="F93" s="94"/>
      <c r="G93" s="94"/>
      <c r="H93" s="20"/>
      <c r="J93" s="55"/>
      <c r="K93" s="25"/>
      <c r="L93" s="25"/>
      <c r="M93" s="25"/>
      <c r="N93" s="94"/>
      <c r="O93" s="94"/>
      <c r="P93" s="94"/>
      <c r="Q93" s="20"/>
      <c r="S93" s="55"/>
      <c r="T93" s="25"/>
      <c r="U93" s="25"/>
      <c r="V93" s="25"/>
      <c r="W93" s="94"/>
      <c r="X93" s="94"/>
      <c r="Y93" s="94"/>
      <c r="Z93" s="20"/>
      <c r="AB93" s="55"/>
      <c r="AC93" s="25"/>
      <c r="AD93" s="25"/>
      <c r="AE93" s="25"/>
      <c r="AF93" s="94"/>
      <c r="AG93" s="94"/>
      <c r="AH93" s="94"/>
      <c r="AI93" s="20"/>
    </row>
    <row r="94" customFormat="false" ht="17.35" hidden="false" customHeight="false" outlineLevel="0" collapsed="false">
      <c r="A94" s="107" t="s">
        <v>91</v>
      </c>
      <c r="B94" s="111" t="n">
        <f aca="false">IF(B26="YES",((E40/B85)*(1+A108)),"0")*1.2</f>
        <v>67.3636363636364</v>
      </c>
      <c r="C94" s="25"/>
      <c r="D94" s="25"/>
      <c r="E94" s="94"/>
      <c r="F94" s="94"/>
      <c r="G94" s="94"/>
      <c r="H94" s="20"/>
      <c r="J94" s="107" t="s">
        <v>91</v>
      </c>
      <c r="K94" s="108" t="n">
        <f aca="false">((E40/K85)*(1+J108))*1.2</f>
        <v>61.75</v>
      </c>
      <c r="L94" s="25"/>
      <c r="M94" s="25"/>
      <c r="N94" s="94"/>
      <c r="O94" s="94"/>
      <c r="P94" s="94"/>
      <c r="Q94" s="20"/>
      <c r="S94" s="107" t="s">
        <v>91</v>
      </c>
      <c r="T94" s="108" t="n">
        <f aca="false">((E40/T85)*(1+S108))</f>
        <v>51.8181818181818</v>
      </c>
      <c r="U94" s="25"/>
      <c r="V94" s="25"/>
      <c r="W94" s="94"/>
      <c r="X94" s="94"/>
      <c r="Y94" s="94"/>
      <c r="Z94" s="20"/>
      <c r="AB94" s="107" t="s">
        <v>91</v>
      </c>
      <c r="AC94" s="108" t="n">
        <f aca="false">((E40/AC85)*(1+AB108))*1.2</f>
        <v>62.1818181818182</v>
      </c>
      <c r="AD94" s="25"/>
      <c r="AE94" s="25"/>
      <c r="AF94" s="94"/>
      <c r="AG94" s="94"/>
      <c r="AH94" s="94"/>
      <c r="AI94" s="20"/>
    </row>
    <row r="95" customFormat="false" ht="17.35" hidden="false" customHeight="false" outlineLevel="0" collapsed="false">
      <c r="A95" s="112" t="s">
        <v>92</v>
      </c>
      <c r="B95" s="113" t="n">
        <f aca="false">(B92/B85)</f>
        <v>2814.33467069266</v>
      </c>
      <c r="C95" s="25"/>
      <c r="D95" s="25"/>
      <c r="E95" s="94"/>
      <c r="F95" s="94"/>
      <c r="G95" s="94"/>
      <c r="H95" s="20"/>
      <c r="J95" s="112" t="s">
        <v>92</v>
      </c>
      <c r="K95" s="113" t="e">
        <f aca="false">K92/(K85)</f>
        <v>#VALUE!</v>
      </c>
      <c r="L95" s="25"/>
      <c r="M95" s="25"/>
      <c r="N95" s="94"/>
      <c r="O95" s="94"/>
      <c r="P95" s="94"/>
      <c r="Q95" s="20"/>
      <c r="S95" s="112" t="s">
        <v>92</v>
      </c>
      <c r="T95" s="113" t="e">
        <f aca="false">T92/(T85)</f>
        <v>#VALUE!</v>
      </c>
      <c r="U95" s="25"/>
      <c r="V95" s="25"/>
      <c r="W95" s="94"/>
      <c r="X95" s="94"/>
      <c r="Y95" s="94"/>
      <c r="Z95" s="20"/>
      <c r="AB95" s="112" t="s">
        <v>92</v>
      </c>
      <c r="AC95" s="113" t="e">
        <f aca="false">AC92/(AC59)</f>
        <v>#VALUE!</v>
      </c>
      <c r="AD95" s="25"/>
      <c r="AE95" s="25"/>
      <c r="AF95" s="94"/>
      <c r="AG95" s="94"/>
      <c r="AH95" s="94"/>
      <c r="AI95" s="20"/>
    </row>
    <row r="96" customFormat="false" ht="17.35" hidden="false" customHeight="false" outlineLevel="0" collapsed="false">
      <c r="A96" s="114" t="s">
        <v>93</v>
      </c>
      <c r="B96" s="115" t="n">
        <f aca="false">B94+B95</f>
        <v>2881.6983070563</v>
      </c>
      <c r="C96" s="25"/>
      <c r="D96" s="25"/>
      <c r="E96" s="94"/>
      <c r="F96" s="94"/>
      <c r="G96" s="94"/>
      <c r="H96" s="20"/>
      <c r="J96" s="114" t="s">
        <v>93</v>
      </c>
      <c r="K96" s="115" t="e">
        <f aca="false">(K94+K95)</f>
        <v>#VALUE!</v>
      </c>
      <c r="L96" s="25"/>
      <c r="M96" s="25"/>
      <c r="N96" s="94"/>
      <c r="O96" s="94"/>
      <c r="P96" s="94"/>
      <c r="Q96" s="20"/>
      <c r="S96" s="114" t="s">
        <v>93</v>
      </c>
      <c r="T96" s="115" t="e">
        <f aca="false">T94+T95</f>
        <v>#VALUE!</v>
      </c>
      <c r="U96" s="25"/>
      <c r="V96" s="25"/>
      <c r="W96" s="94"/>
      <c r="X96" s="94"/>
      <c r="Y96" s="94"/>
      <c r="Z96" s="20"/>
      <c r="AB96" s="114" t="s">
        <v>93</v>
      </c>
      <c r="AC96" s="115" t="e">
        <f aca="false">AC94+AC95</f>
        <v>#VALUE!</v>
      </c>
      <c r="AD96" s="25"/>
      <c r="AE96" s="25"/>
      <c r="AF96" s="94"/>
      <c r="AG96" s="94"/>
      <c r="AH96" s="94"/>
      <c r="AI96" s="20"/>
    </row>
    <row r="97" customFormat="false" ht="17.35" hidden="false" customHeight="false" outlineLevel="0" collapsed="false">
      <c r="A97" s="74"/>
      <c r="B97" s="75"/>
      <c r="C97" s="75"/>
      <c r="D97" s="75"/>
      <c r="E97" s="116"/>
      <c r="F97" s="116"/>
      <c r="G97" s="116"/>
      <c r="H97" s="82"/>
      <c r="J97" s="74"/>
      <c r="K97" s="75"/>
      <c r="L97" s="75"/>
      <c r="M97" s="75"/>
      <c r="N97" s="116"/>
      <c r="O97" s="116"/>
      <c r="P97" s="116"/>
      <c r="Q97" s="82"/>
      <c r="S97" s="74"/>
      <c r="T97" s="75"/>
      <c r="U97" s="75"/>
      <c r="V97" s="75"/>
      <c r="W97" s="116"/>
      <c r="X97" s="116"/>
      <c r="Y97" s="116"/>
      <c r="Z97" s="82"/>
      <c r="AB97" s="74"/>
      <c r="AC97" s="75"/>
      <c r="AD97" s="75"/>
      <c r="AE97" s="75"/>
      <c r="AF97" s="116"/>
      <c r="AG97" s="116"/>
      <c r="AH97" s="116"/>
      <c r="AI97" s="82"/>
    </row>
    <row r="98" customFormat="false" ht="13.8" hidden="false" customHeight="false" outlineLevel="0" collapsed="false">
      <c r="A98" s="45"/>
      <c r="B98" s="45"/>
      <c r="C98" s="45"/>
      <c r="D98" s="45"/>
      <c r="E98" s="45"/>
      <c r="F98" s="45"/>
      <c r="G98" s="45"/>
      <c r="H98" s="45"/>
      <c r="J98" s="45"/>
      <c r="K98" s="45"/>
      <c r="L98" s="45"/>
      <c r="M98" s="45"/>
      <c r="N98" s="45"/>
      <c r="O98" s="45"/>
      <c r="P98" s="45"/>
      <c r="Q98" s="45"/>
      <c r="S98" s="45"/>
      <c r="T98" s="45"/>
      <c r="U98" s="45"/>
      <c r="V98" s="45"/>
      <c r="W98" s="45"/>
      <c r="X98" s="45"/>
      <c r="Y98" s="45"/>
      <c r="Z98" s="45"/>
      <c r="AB98" s="45"/>
      <c r="AC98" s="45"/>
      <c r="AD98" s="45"/>
      <c r="AE98" s="45"/>
      <c r="AF98" s="45"/>
      <c r="AG98" s="45"/>
      <c r="AH98" s="45"/>
      <c r="AI98" s="45"/>
    </row>
    <row r="99" customFormat="false" ht="13.8" hidden="false" customHeight="false" outlineLevel="0" collapsed="false">
      <c r="A99" s="45"/>
      <c r="B99" s="45"/>
      <c r="C99" s="45"/>
      <c r="D99" s="45"/>
      <c r="E99" s="45"/>
      <c r="F99" s="45"/>
      <c r="G99" s="45"/>
      <c r="H99" s="45"/>
      <c r="J99" s="45"/>
      <c r="K99" s="45"/>
      <c r="L99" s="45"/>
      <c r="M99" s="45"/>
      <c r="N99" s="45"/>
      <c r="O99" s="45"/>
      <c r="P99" s="45"/>
      <c r="Q99" s="45"/>
      <c r="S99" s="45"/>
      <c r="T99" s="45"/>
      <c r="U99" s="45"/>
      <c r="V99" s="45"/>
      <c r="W99" s="45"/>
      <c r="X99" s="45"/>
      <c r="Y99" s="45"/>
      <c r="Z99" s="45"/>
      <c r="AB99" s="45"/>
      <c r="AC99" s="45"/>
      <c r="AD99" s="45"/>
      <c r="AE99" s="45"/>
      <c r="AF99" s="45"/>
      <c r="AG99" s="45"/>
      <c r="AH99" s="45"/>
      <c r="AI99" s="45"/>
    </row>
    <row r="100" customFormat="false" ht="47.25" hidden="false" customHeight="true" outlineLevel="0" collapsed="false">
      <c r="A100" s="4" t="s">
        <v>94</v>
      </c>
      <c r="B100" s="4"/>
      <c r="C100" s="4"/>
      <c r="D100" s="4"/>
      <c r="E100" s="4"/>
      <c r="F100" s="4"/>
      <c r="G100" s="4"/>
      <c r="H100" s="4"/>
      <c r="J100" s="4" t="s">
        <v>95</v>
      </c>
      <c r="K100" s="4"/>
      <c r="L100" s="4"/>
      <c r="M100" s="4"/>
      <c r="N100" s="4"/>
      <c r="O100" s="4"/>
      <c r="P100" s="4"/>
      <c r="Q100" s="4"/>
      <c r="S100" s="4" t="s">
        <v>96</v>
      </c>
      <c r="T100" s="4"/>
      <c r="U100" s="4"/>
      <c r="V100" s="4"/>
      <c r="W100" s="4"/>
      <c r="X100" s="4"/>
      <c r="Y100" s="4"/>
      <c r="Z100" s="4"/>
      <c r="AB100" s="4" t="s">
        <v>97</v>
      </c>
      <c r="AC100" s="4"/>
      <c r="AD100" s="4"/>
      <c r="AE100" s="4"/>
      <c r="AF100" s="4"/>
      <c r="AG100" s="4"/>
      <c r="AH100" s="4"/>
      <c r="AI100" s="4"/>
    </row>
    <row r="101" customFormat="false" ht="17.35" hidden="false" customHeight="false" outlineLevel="0" collapsed="false">
      <c r="A101" s="48"/>
      <c r="B101" s="49"/>
      <c r="C101" s="49"/>
      <c r="D101" s="49"/>
      <c r="E101" s="93"/>
      <c r="F101" s="93"/>
      <c r="G101" s="93"/>
      <c r="H101" s="117"/>
      <c r="J101" s="48"/>
      <c r="K101" s="49"/>
      <c r="L101" s="49"/>
      <c r="M101" s="49"/>
      <c r="N101" s="93"/>
      <c r="O101" s="93"/>
      <c r="P101" s="93"/>
      <c r="Q101" s="117"/>
      <c r="S101" s="48"/>
      <c r="T101" s="49"/>
      <c r="U101" s="49"/>
      <c r="V101" s="49"/>
      <c r="W101" s="93"/>
      <c r="X101" s="93"/>
      <c r="Y101" s="93"/>
      <c r="Z101" s="117"/>
      <c r="AB101" s="48"/>
      <c r="AC101" s="49"/>
      <c r="AD101" s="49"/>
      <c r="AE101" s="49"/>
      <c r="AF101" s="93"/>
      <c r="AG101" s="93"/>
      <c r="AH101" s="93"/>
      <c r="AI101" s="117"/>
    </row>
    <row r="102" customFormat="false" ht="22.05" hidden="false" customHeight="false" outlineLevel="0" collapsed="false">
      <c r="A102" s="58" t="s">
        <v>26</v>
      </c>
      <c r="B102" s="58"/>
      <c r="C102" s="58"/>
      <c r="D102" s="58"/>
      <c r="E102" s="58"/>
      <c r="F102" s="58"/>
      <c r="G102" s="58"/>
      <c r="H102" s="58"/>
      <c r="J102" s="58" t="s">
        <v>26</v>
      </c>
      <c r="K102" s="58"/>
      <c r="L102" s="58"/>
      <c r="M102" s="58"/>
      <c r="N102" s="58"/>
      <c r="O102" s="58"/>
      <c r="P102" s="58"/>
      <c r="Q102" s="58"/>
      <c r="S102" s="58" t="s">
        <v>26</v>
      </c>
      <c r="T102" s="58"/>
      <c r="U102" s="58"/>
      <c r="V102" s="58"/>
      <c r="W102" s="58"/>
      <c r="X102" s="58"/>
      <c r="Y102" s="58"/>
      <c r="Z102" s="58"/>
      <c r="AB102" s="58" t="s">
        <v>26</v>
      </c>
      <c r="AC102" s="58"/>
      <c r="AD102" s="58"/>
      <c r="AE102" s="58"/>
      <c r="AF102" s="58"/>
      <c r="AG102" s="58"/>
      <c r="AH102" s="58"/>
      <c r="AI102" s="58"/>
    </row>
    <row r="103" customFormat="false" ht="17.35" hidden="false" customHeight="false" outlineLevel="0" collapsed="false">
      <c r="A103" s="55"/>
      <c r="B103" s="25"/>
      <c r="C103" s="25"/>
      <c r="D103" s="25"/>
      <c r="E103" s="94"/>
      <c r="F103" s="94"/>
      <c r="G103" s="94"/>
      <c r="H103" s="118"/>
      <c r="J103" s="55"/>
      <c r="K103" s="25"/>
      <c r="L103" s="25"/>
      <c r="M103" s="25"/>
      <c r="N103" s="94"/>
      <c r="O103" s="94"/>
      <c r="P103" s="94"/>
      <c r="Q103" s="118"/>
      <c r="S103" s="55"/>
      <c r="T103" s="25"/>
      <c r="U103" s="25"/>
      <c r="V103" s="25"/>
      <c r="W103" s="94"/>
      <c r="X103" s="94"/>
      <c r="Y103" s="94"/>
      <c r="Z103" s="118"/>
      <c r="AB103" s="55"/>
      <c r="AC103" s="25"/>
      <c r="AD103" s="25"/>
      <c r="AE103" s="25"/>
      <c r="AF103" s="94"/>
      <c r="AG103" s="94"/>
      <c r="AH103" s="94"/>
      <c r="AI103" s="118"/>
    </row>
    <row r="104" customFormat="false" ht="17.35" hidden="false" customHeight="false" outlineLevel="0" collapsed="false">
      <c r="A104" s="55" t="s">
        <v>98</v>
      </c>
      <c r="B104" s="25" t="s">
        <v>23</v>
      </c>
      <c r="C104" s="25"/>
      <c r="D104" s="25"/>
      <c r="E104" s="25" t="s">
        <v>22</v>
      </c>
      <c r="F104" s="25"/>
      <c r="G104" s="25"/>
      <c r="H104" s="20"/>
      <c r="J104" s="55" t="s">
        <v>98</v>
      </c>
      <c r="K104" s="25" t="s">
        <v>23</v>
      </c>
      <c r="L104" s="25"/>
      <c r="M104" s="25"/>
      <c r="N104" s="25" t="s">
        <v>22</v>
      </c>
      <c r="O104" s="25"/>
      <c r="P104" s="25"/>
      <c r="Q104" s="20"/>
      <c r="S104" s="55" t="s">
        <v>98</v>
      </c>
      <c r="T104" s="25" t="s">
        <v>23</v>
      </c>
      <c r="U104" s="25"/>
      <c r="V104" s="25"/>
      <c r="W104" s="25" t="s">
        <v>22</v>
      </c>
      <c r="X104" s="25"/>
      <c r="Y104" s="25"/>
      <c r="Z104" s="20"/>
      <c r="AB104" s="55" t="s">
        <v>98</v>
      </c>
      <c r="AC104" s="25" t="s">
        <v>23</v>
      </c>
      <c r="AD104" s="25"/>
      <c r="AE104" s="25"/>
      <c r="AF104" s="25" t="s">
        <v>22</v>
      </c>
      <c r="AG104" s="25"/>
      <c r="AH104" s="25"/>
      <c r="AI104" s="20"/>
    </row>
    <row r="105" customFormat="false" ht="17.35" hidden="false" customHeight="false" outlineLevel="0" collapsed="false">
      <c r="A105" s="51" t="s">
        <v>99</v>
      </c>
      <c r="B105" s="37" t="s">
        <v>100</v>
      </c>
      <c r="C105" s="37"/>
      <c r="D105" s="37"/>
      <c r="E105" s="119" t="s">
        <v>377</v>
      </c>
      <c r="F105" s="119"/>
      <c r="G105" s="119"/>
      <c r="H105" s="118"/>
      <c r="J105" s="51" t="s">
        <v>99</v>
      </c>
      <c r="K105" s="37" t="s">
        <v>100</v>
      </c>
      <c r="L105" s="37"/>
      <c r="M105" s="37"/>
      <c r="N105" s="60" t="s">
        <v>9</v>
      </c>
      <c r="O105" s="60"/>
      <c r="P105" s="60"/>
      <c r="Q105" s="118"/>
      <c r="S105" s="51" t="s">
        <v>99</v>
      </c>
      <c r="T105" s="37" t="s">
        <v>100</v>
      </c>
      <c r="U105" s="37"/>
      <c r="V105" s="37"/>
      <c r="W105" s="60" t="s">
        <v>9</v>
      </c>
      <c r="X105" s="60"/>
      <c r="Y105" s="60"/>
      <c r="Z105" s="118"/>
      <c r="AB105" s="51" t="s">
        <v>99</v>
      </c>
      <c r="AC105" s="37" t="s">
        <v>100</v>
      </c>
      <c r="AD105" s="37"/>
      <c r="AE105" s="37"/>
      <c r="AF105" s="60" t="s">
        <v>9</v>
      </c>
      <c r="AG105" s="60"/>
      <c r="AH105" s="60"/>
      <c r="AI105" s="118"/>
    </row>
    <row r="106" customFormat="false" ht="17.35" hidden="false" customHeight="false" outlineLevel="0" collapsed="false">
      <c r="A106" s="55"/>
      <c r="B106" s="25"/>
      <c r="C106" s="25"/>
      <c r="D106" s="94"/>
      <c r="E106" s="25"/>
      <c r="F106" s="25"/>
      <c r="G106" s="94"/>
      <c r="H106" s="20"/>
      <c r="J106" s="55"/>
      <c r="K106" s="25"/>
      <c r="L106" s="25"/>
      <c r="M106" s="94"/>
      <c r="N106" s="25"/>
      <c r="O106" s="25"/>
      <c r="P106" s="94"/>
      <c r="Q106" s="20"/>
      <c r="S106" s="55"/>
      <c r="T106" s="25"/>
      <c r="U106" s="25"/>
      <c r="V106" s="94"/>
      <c r="W106" s="25"/>
      <c r="X106" s="25"/>
      <c r="Y106" s="94"/>
      <c r="Z106" s="20"/>
      <c r="AB106" s="55"/>
      <c r="AC106" s="25"/>
      <c r="AD106" s="25"/>
      <c r="AE106" s="94"/>
      <c r="AF106" s="25"/>
      <c r="AG106" s="25"/>
      <c r="AH106" s="94"/>
      <c r="AI106" s="20"/>
    </row>
    <row r="107" customFormat="false" ht="17.35" hidden="false" customHeight="false" outlineLevel="0" collapsed="false">
      <c r="A107" s="55" t="s">
        <v>101</v>
      </c>
      <c r="B107" s="25" t="s">
        <v>102</v>
      </c>
      <c r="C107" s="25"/>
      <c r="D107" s="94"/>
      <c r="E107" s="25" t="s">
        <v>103</v>
      </c>
      <c r="F107" s="25"/>
      <c r="G107" s="94"/>
      <c r="H107" s="118"/>
      <c r="J107" s="55" t="s">
        <v>101</v>
      </c>
      <c r="K107" s="25" t="s">
        <v>102</v>
      </c>
      <c r="L107" s="25"/>
      <c r="M107" s="94"/>
      <c r="N107" s="25" t="s">
        <v>103</v>
      </c>
      <c r="O107" s="25"/>
      <c r="P107" s="94"/>
      <c r="Q107" s="118"/>
      <c r="S107" s="55" t="s">
        <v>101</v>
      </c>
      <c r="T107" s="25" t="s">
        <v>102</v>
      </c>
      <c r="U107" s="25"/>
      <c r="V107" s="94"/>
      <c r="W107" s="25" t="s">
        <v>103</v>
      </c>
      <c r="X107" s="25"/>
      <c r="Y107" s="94"/>
      <c r="Z107" s="118"/>
      <c r="AB107" s="55" t="s">
        <v>101</v>
      </c>
      <c r="AC107" s="25" t="s">
        <v>102</v>
      </c>
      <c r="AD107" s="25"/>
      <c r="AE107" s="94"/>
      <c r="AF107" s="25" t="s">
        <v>103</v>
      </c>
      <c r="AG107" s="25"/>
      <c r="AH107" s="94"/>
      <c r="AI107" s="118"/>
    </row>
    <row r="108" customFormat="false" ht="17.35" hidden="false" customHeight="false" outlineLevel="0" collapsed="false">
      <c r="A108" s="120" t="n">
        <v>0.3</v>
      </c>
      <c r="B108" s="72" t="n">
        <v>0.0</v>
      </c>
      <c r="C108" s="72"/>
      <c r="D108" s="72" t="n">
        <v>0.0</v>
      </c>
      <c r="E108" s="121" t="n">
        <f aca="false">B83</f>
        <v>0.1255</v>
      </c>
      <c r="F108" s="121"/>
      <c r="G108" s="121"/>
      <c r="H108" s="65"/>
      <c r="J108" s="120" t="n">
        <v>0.3</v>
      </c>
      <c r="K108" s="72" t="s">
        <v>104</v>
      </c>
      <c r="L108" s="72"/>
      <c r="M108" s="72"/>
      <c r="N108" s="121" t="n">
        <f aca="false">K83</f>
        <v>0.24</v>
      </c>
      <c r="O108" s="121"/>
      <c r="P108" s="121"/>
      <c r="Q108" s="65"/>
      <c r="S108" s="120" t="n">
        <v>0.2</v>
      </c>
      <c r="T108" s="72" t="s">
        <v>105</v>
      </c>
      <c r="U108" s="72"/>
      <c r="V108" s="72"/>
      <c r="W108" s="121" t="n">
        <f aca="false">T83</f>
        <v>0.1415</v>
      </c>
      <c r="X108" s="121"/>
      <c r="Y108" s="121"/>
      <c r="Z108" s="65"/>
      <c r="AB108" s="120" t="n">
        <v>0.2</v>
      </c>
      <c r="AC108" s="72" t="s">
        <v>105</v>
      </c>
      <c r="AD108" s="72"/>
      <c r="AE108" s="72"/>
      <c r="AF108" s="122" t="n">
        <f aca="false">AC83</f>
        <v>0.1415</v>
      </c>
      <c r="AG108" s="122"/>
      <c r="AH108" s="122"/>
      <c r="AI108" s="65"/>
      <c r="AP108" s="1" t="s">
        <v>106</v>
      </c>
    </row>
    <row r="109" customFormat="false" ht="17.35" hidden="false" customHeight="false" outlineLevel="0" collapsed="false">
      <c r="A109" s="55"/>
      <c r="B109" s="25"/>
      <c r="C109" s="25"/>
      <c r="D109" s="25"/>
      <c r="E109" s="25"/>
      <c r="F109" s="25"/>
      <c r="G109" s="25"/>
      <c r="H109" s="20"/>
      <c r="J109" s="55"/>
      <c r="K109" s="25"/>
      <c r="L109" s="25"/>
      <c r="M109" s="25"/>
      <c r="N109" s="25"/>
      <c r="O109" s="25"/>
      <c r="P109" s="25"/>
      <c r="Q109" s="20"/>
      <c r="S109" s="55"/>
      <c r="T109" s="25"/>
      <c r="U109" s="25"/>
      <c r="V109" s="25"/>
      <c r="W109" s="25"/>
      <c r="X109" s="25"/>
      <c r="Y109" s="25"/>
      <c r="Z109" s="20"/>
      <c r="AB109" s="55"/>
      <c r="AC109" s="25"/>
      <c r="AD109" s="25"/>
      <c r="AE109" s="25"/>
      <c r="AF109" s="25"/>
      <c r="AG109" s="25"/>
      <c r="AH109" s="25"/>
      <c r="AI109" s="20"/>
      <c r="AP109" s="1" t="s">
        <v>104</v>
      </c>
    </row>
    <row r="110" customFormat="false" ht="17.35" hidden="false" customHeight="false" outlineLevel="0" collapsed="false">
      <c r="A110" s="55" t="s">
        <v>107</v>
      </c>
      <c r="B110" s="25" t="s">
        <v>108</v>
      </c>
      <c r="C110" s="25"/>
      <c r="D110" s="25"/>
      <c r="E110" s="25" t="s">
        <v>109</v>
      </c>
      <c r="F110" s="25"/>
      <c r="G110" s="25"/>
      <c r="H110" s="20"/>
      <c r="J110" s="55" t="s">
        <v>107</v>
      </c>
      <c r="K110" s="25" t="s">
        <v>108</v>
      </c>
      <c r="L110" s="25"/>
      <c r="M110" s="25"/>
      <c r="N110" s="25" t="s">
        <v>109</v>
      </c>
      <c r="O110" s="25"/>
      <c r="P110" s="25"/>
      <c r="Q110" s="20"/>
      <c r="S110" s="55" t="s">
        <v>107</v>
      </c>
      <c r="T110" s="25" t="s">
        <v>108</v>
      </c>
      <c r="U110" s="25"/>
      <c r="V110" s="25"/>
      <c r="W110" s="25" t="s">
        <v>109</v>
      </c>
      <c r="X110" s="25"/>
      <c r="Y110" s="25"/>
      <c r="Z110" s="20"/>
      <c r="AB110" s="55" t="s">
        <v>107</v>
      </c>
      <c r="AC110" s="25" t="s">
        <v>108</v>
      </c>
      <c r="AD110" s="25"/>
      <c r="AE110" s="25"/>
      <c r="AF110" s="25" t="s">
        <v>109</v>
      </c>
      <c r="AG110" s="25"/>
      <c r="AH110" s="25"/>
      <c r="AI110" s="20"/>
    </row>
    <row r="111" customFormat="false" ht="17.35" hidden="false" customHeight="false" outlineLevel="0" collapsed="false">
      <c r="A111" s="52" t="s">
        <v>9</v>
      </c>
      <c r="B111" s="72" t="n">
        <v>200.0</v>
      </c>
      <c r="C111" s="72"/>
      <c r="D111" s="72"/>
      <c r="E111" s="72" t="n">
        <v>200.0</v>
      </c>
      <c r="F111" s="72"/>
      <c r="G111" s="72"/>
      <c r="H111" s="118"/>
      <c r="J111" s="52" t="s">
        <v>10</v>
      </c>
      <c r="K111" s="72" t="n">
        <v>1000</v>
      </c>
      <c r="L111" s="72"/>
      <c r="M111" s="72"/>
      <c r="N111" s="72" t="n">
        <v>0</v>
      </c>
      <c r="O111" s="72"/>
      <c r="P111" s="72"/>
      <c r="Q111" s="118"/>
      <c r="S111" s="52" t="s">
        <v>9</v>
      </c>
      <c r="T111" s="72" t="n">
        <v>1000</v>
      </c>
      <c r="U111" s="72"/>
      <c r="V111" s="72"/>
      <c r="W111" s="72" t="n">
        <v>0</v>
      </c>
      <c r="X111" s="72"/>
      <c r="Y111" s="72"/>
      <c r="Z111" s="118"/>
      <c r="AB111" s="52" t="s">
        <v>9</v>
      </c>
      <c r="AC111" s="72" t="n">
        <v>1000</v>
      </c>
      <c r="AD111" s="72"/>
      <c r="AE111" s="72"/>
      <c r="AF111" s="72" t="n">
        <v>0</v>
      </c>
      <c r="AG111" s="72"/>
      <c r="AH111" s="72"/>
      <c r="AI111" s="118"/>
    </row>
    <row r="112" customFormat="false" ht="17.35" hidden="false" customHeight="false" outlineLevel="0" collapsed="false">
      <c r="A112" s="55"/>
      <c r="B112" s="25"/>
      <c r="C112" s="25"/>
      <c r="D112" s="25"/>
      <c r="E112" s="25"/>
      <c r="F112" s="25"/>
      <c r="G112" s="94"/>
      <c r="H112" s="118"/>
      <c r="J112" s="55"/>
      <c r="K112" s="25"/>
      <c r="L112" s="25"/>
      <c r="M112" s="25"/>
      <c r="N112" s="25"/>
      <c r="O112" s="25"/>
      <c r="P112" s="94"/>
      <c r="Q112" s="118"/>
      <c r="S112" s="55"/>
      <c r="T112" s="25"/>
      <c r="U112" s="25"/>
      <c r="V112" s="25"/>
      <c r="W112" s="25"/>
      <c r="X112" s="25"/>
      <c r="Y112" s="94"/>
      <c r="Z112" s="118"/>
      <c r="AB112" s="55"/>
      <c r="AC112" s="25"/>
      <c r="AD112" s="25"/>
      <c r="AE112" s="25"/>
      <c r="AF112" s="25"/>
      <c r="AG112" s="25"/>
      <c r="AH112" s="94"/>
      <c r="AI112" s="118"/>
    </row>
    <row r="113" customFormat="false" ht="17.35" hidden="false" customHeight="false" outlineLevel="0" collapsed="false">
      <c r="A113" s="123" t="s">
        <v>110</v>
      </c>
      <c r="B113" s="25" t="s">
        <v>111</v>
      </c>
      <c r="C113" s="25"/>
      <c r="D113" s="25"/>
      <c r="E113" s="25" t="s">
        <v>112</v>
      </c>
      <c r="F113" s="25"/>
      <c r="G113" s="94"/>
      <c r="H113" s="118"/>
      <c r="J113" s="123" t="s">
        <v>110</v>
      </c>
      <c r="K113" s="25" t="s">
        <v>111</v>
      </c>
      <c r="L113" s="25"/>
      <c r="M113" s="25"/>
      <c r="N113" s="25" t="s">
        <v>112</v>
      </c>
      <c r="O113" s="25"/>
      <c r="P113" s="94"/>
      <c r="Q113" s="118"/>
      <c r="S113" s="123" t="s">
        <v>110</v>
      </c>
      <c r="T113" s="25" t="s">
        <v>111</v>
      </c>
      <c r="U113" s="25"/>
      <c r="V113" s="25"/>
      <c r="W113" s="25" t="s">
        <v>112</v>
      </c>
      <c r="X113" s="25"/>
      <c r="Y113" s="94"/>
      <c r="Z113" s="118"/>
      <c r="AB113" s="123" t="s">
        <v>110</v>
      </c>
      <c r="AC113" s="25" t="s">
        <v>111</v>
      </c>
      <c r="AD113" s="25"/>
      <c r="AE113" s="25"/>
      <c r="AF113" s="25" t="s">
        <v>112</v>
      </c>
      <c r="AG113" s="25"/>
      <c r="AH113" s="94"/>
      <c r="AI113" s="118"/>
    </row>
    <row r="114" customFormat="false" ht="17.35" hidden="false" customHeight="false" outlineLevel="0" collapsed="false">
      <c r="A114" s="70" t="n">
        <f aca="false">B111+E111</f>
        <v>400</v>
      </c>
      <c r="B114" s="72" t="s">
        <v>379</v>
      </c>
      <c r="C114" s="72"/>
      <c r="D114" s="72"/>
      <c r="E114" s="72" t="n">
        <v>0</v>
      </c>
      <c r="F114" s="72"/>
      <c r="G114" s="72"/>
      <c r="H114" s="118"/>
      <c r="J114" s="70" t="n">
        <f aca="false">K111+N111</f>
        <v>1000</v>
      </c>
      <c r="K114" s="72" t="n">
        <v>239.99</v>
      </c>
      <c r="L114" s="72"/>
      <c r="M114" s="72"/>
      <c r="N114" s="72" t="n">
        <v>0</v>
      </c>
      <c r="O114" s="72"/>
      <c r="P114" s="72"/>
      <c r="Q114" s="118"/>
      <c r="S114" s="70" t="n">
        <f aca="false">T111+W111</f>
        <v>1000</v>
      </c>
      <c r="T114" s="72" t="n">
        <v>199.99</v>
      </c>
      <c r="U114" s="72"/>
      <c r="V114" s="72"/>
      <c r="W114" s="72" t="n">
        <v>0</v>
      </c>
      <c r="X114" s="72"/>
      <c r="Y114" s="72"/>
      <c r="Z114" s="118"/>
      <c r="AB114" s="70" t="n">
        <f aca="false">AC111+AF111</f>
        <v>1000</v>
      </c>
      <c r="AC114" s="72" t="n">
        <v>239.99</v>
      </c>
      <c r="AD114" s="72"/>
      <c r="AE114" s="72"/>
      <c r="AF114" s="72" t="n">
        <v>0</v>
      </c>
      <c r="AG114" s="72"/>
      <c r="AH114" s="72"/>
      <c r="AI114" s="118"/>
    </row>
    <row r="115" customFormat="false" ht="13.8" hidden="false" customHeight="false" outlineLevel="0" collapsed="false">
      <c r="A115" s="124"/>
      <c r="B115" s="94"/>
      <c r="C115" s="94"/>
      <c r="D115" s="94"/>
      <c r="E115" s="94"/>
      <c r="F115" s="94"/>
      <c r="G115" s="94"/>
      <c r="H115" s="118"/>
      <c r="J115" s="124"/>
      <c r="K115" s="94"/>
      <c r="L115" s="94"/>
      <c r="M115" s="94"/>
      <c r="N115" s="94"/>
      <c r="O115" s="94"/>
      <c r="P115" s="94"/>
      <c r="Q115" s="118"/>
      <c r="S115" s="124"/>
      <c r="T115" s="94"/>
      <c r="U115" s="94"/>
      <c r="V115" s="94"/>
      <c r="W115" s="94"/>
      <c r="X115" s="94"/>
      <c r="Y115" s="94"/>
      <c r="Z115" s="118"/>
      <c r="AB115" s="124"/>
      <c r="AC115" s="94"/>
      <c r="AD115" s="94"/>
      <c r="AE115" s="94"/>
      <c r="AF115" s="94"/>
      <c r="AG115" s="94"/>
      <c r="AH115" s="94"/>
      <c r="AI115" s="118"/>
    </row>
    <row r="116" customFormat="false" ht="13.8" hidden="false" customHeight="false" outlineLevel="0" collapsed="false">
      <c r="A116" s="124"/>
      <c r="B116" s="94"/>
      <c r="C116" s="94"/>
      <c r="D116" s="94"/>
      <c r="E116" s="94"/>
      <c r="F116" s="94"/>
      <c r="G116" s="94"/>
      <c r="H116" s="118"/>
      <c r="J116" s="124"/>
      <c r="K116" s="94"/>
      <c r="L116" s="94"/>
      <c r="M116" s="94"/>
      <c r="N116" s="94"/>
      <c r="O116" s="94"/>
      <c r="P116" s="94"/>
      <c r="Q116" s="118"/>
      <c r="S116" s="124"/>
      <c r="T116" s="94"/>
      <c r="U116" s="94"/>
      <c r="V116" s="94"/>
      <c r="W116" s="94"/>
      <c r="X116" s="94"/>
      <c r="Y116" s="94"/>
      <c r="Z116" s="118"/>
      <c r="AB116" s="124"/>
      <c r="AC116" s="94"/>
      <c r="AD116" s="94"/>
      <c r="AE116" s="94"/>
      <c r="AF116" s="94"/>
      <c r="AG116" s="94"/>
      <c r="AH116" s="94"/>
      <c r="AI116" s="118"/>
    </row>
    <row r="117" customFormat="false" ht="22.05" hidden="false" customHeight="false" outlineLevel="0" collapsed="false">
      <c r="A117" s="58" t="s">
        <v>114</v>
      </c>
      <c r="B117" s="58"/>
      <c r="C117" s="58"/>
      <c r="D117" s="58"/>
      <c r="E117" s="58"/>
      <c r="F117" s="58"/>
      <c r="G117" s="58"/>
      <c r="H117" s="58"/>
      <c r="J117" s="58" t="s">
        <v>114</v>
      </c>
      <c r="K117" s="58"/>
      <c r="L117" s="58"/>
      <c r="M117" s="58"/>
      <c r="N117" s="58"/>
      <c r="O117" s="58"/>
      <c r="P117" s="58"/>
      <c r="Q117" s="58"/>
      <c r="S117" s="58" t="s">
        <v>114</v>
      </c>
      <c r="T117" s="58"/>
      <c r="U117" s="58"/>
      <c r="V117" s="58"/>
      <c r="W117" s="58"/>
      <c r="X117" s="58"/>
      <c r="Y117" s="58"/>
      <c r="Z117" s="58"/>
      <c r="AB117" s="58" t="s">
        <v>114</v>
      </c>
      <c r="AC117" s="58"/>
      <c r="AD117" s="58"/>
      <c r="AE117" s="58"/>
      <c r="AF117" s="58"/>
      <c r="AG117" s="58"/>
      <c r="AH117" s="58"/>
      <c r="AI117" s="58"/>
    </row>
    <row r="118" customFormat="false" ht="13.8" hidden="false" customHeight="false" outlineLevel="0" collapsed="false">
      <c r="A118" s="124"/>
      <c r="B118" s="94"/>
      <c r="C118" s="94"/>
      <c r="D118" s="94"/>
      <c r="E118" s="94"/>
      <c r="F118" s="94"/>
      <c r="G118" s="94"/>
      <c r="H118" s="118"/>
      <c r="J118" s="124"/>
      <c r="K118" s="94"/>
      <c r="L118" s="94"/>
      <c r="M118" s="94"/>
      <c r="N118" s="94"/>
      <c r="O118" s="94"/>
      <c r="P118" s="94"/>
      <c r="Q118" s="118"/>
      <c r="S118" s="124"/>
      <c r="T118" s="94"/>
      <c r="U118" s="94"/>
      <c r="V118" s="94"/>
      <c r="W118" s="94"/>
      <c r="X118" s="94"/>
      <c r="Y118" s="94"/>
      <c r="Z118" s="118"/>
      <c r="AB118" s="124"/>
      <c r="AC118" s="94"/>
      <c r="AD118" s="94"/>
      <c r="AE118" s="94"/>
      <c r="AF118" s="94"/>
      <c r="AG118" s="94"/>
      <c r="AH118" s="94"/>
      <c r="AI118" s="118"/>
    </row>
    <row r="119" customFormat="false" ht="19.7" hidden="false" customHeight="false" outlineLevel="0" collapsed="false">
      <c r="A119" s="97"/>
      <c r="B119" s="125" t="s">
        <v>115</v>
      </c>
      <c r="C119" s="125"/>
      <c r="D119" s="125" t="s">
        <v>116</v>
      </c>
      <c r="E119" s="125"/>
      <c r="F119" s="125" t="s">
        <v>117</v>
      </c>
      <c r="G119" s="125"/>
      <c r="H119" s="126" t="s">
        <v>118</v>
      </c>
      <c r="J119" s="97"/>
      <c r="K119" s="125" t="s">
        <v>115</v>
      </c>
      <c r="L119" s="125"/>
      <c r="M119" s="125" t="s">
        <v>116</v>
      </c>
      <c r="N119" s="125"/>
      <c r="O119" s="125" t="s">
        <v>117</v>
      </c>
      <c r="P119" s="125"/>
      <c r="Q119" s="126" t="s">
        <v>118</v>
      </c>
      <c r="S119" s="97"/>
      <c r="T119" s="125" t="s">
        <v>115</v>
      </c>
      <c r="U119" s="125"/>
      <c r="V119" s="125" t="s">
        <v>116</v>
      </c>
      <c r="W119" s="125"/>
      <c r="X119" s="125" t="s">
        <v>117</v>
      </c>
      <c r="Y119" s="125"/>
      <c r="Z119" s="126" t="s">
        <v>118</v>
      </c>
      <c r="AB119" s="97"/>
      <c r="AC119" s="125" t="s">
        <v>115</v>
      </c>
      <c r="AD119" s="125"/>
      <c r="AE119" s="125" t="s">
        <v>116</v>
      </c>
      <c r="AF119" s="125"/>
      <c r="AG119" s="125" t="s">
        <v>117</v>
      </c>
      <c r="AH119" s="125"/>
      <c r="AI119" s="126" t="s">
        <v>118</v>
      </c>
    </row>
    <row r="120" customFormat="false" ht="19.7" hidden="false" customHeight="false" outlineLevel="0" collapsed="false">
      <c r="A120" s="99"/>
      <c r="B120" s="127" t="s">
        <v>119</v>
      </c>
      <c r="C120" s="128" t="s">
        <v>120</v>
      </c>
      <c r="D120" s="127" t="s">
        <v>119</v>
      </c>
      <c r="E120" s="129" t="s">
        <v>120</v>
      </c>
      <c r="F120" s="127" t="s">
        <v>119</v>
      </c>
      <c r="G120" s="129" t="s">
        <v>120</v>
      </c>
      <c r="H120" s="130"/>
      <c r="J120" s="99"/>
      <c r="K120" s="127" t="s">
        <v>119</v>
      </c>
      <c r="L120" s="128" t="s">
        <v>120</v>
      </c>
      <c r="M120" s="127" t="s">
        <v>119</v>
      </c>
      <c r="N120" s="129" t="s">
        <v>120</v>
      </c>
      <c r="O120" s="127" t="s">
        <v>119</v>
      </c>
      <c r="P120" s="129" t="s">
        <v>120</v>
      </c>
      <c r="Q120" s="130"/>
      <c r="S120" s="99"/>
      <c r="T120" s="127" t="s">
        <v>119</v>
      </c>
      <c r="U120" s="128" t="s">
        <v>120</v>
      </c>
      <c r="V120" s="127" t="s">
        <v>119</v>
      </c>
      <c r="W120" s="129" t="s">
        <v>120</v>
      </c>
      <c r="X120" s="127" t="s">
        <v>119</v>
      </c>
      <c r="Y120" s="129" t="s">
        <v>120</v>
      </c>
      <c r="Z120" s="130"/>
      <c r="AB120" s="99"/>
      <c r="AC120" s="127" t="s">
        <v>119</v>
      </c>
      <c r="AD120" s="128" t="s">
        <v>120</v>
      </c>
      <c r="AE120" s="127" t="s">
        <v>119</v>
      </c>
      <c r="AF120" s="129" t="s">
        <v>120</v>
      </c>
      <c r="AG120" s="127" t="s">
        <v>119</v>
      </c>
      <c r="AH120" s="129" t="s">
        <v>120</v>
      </c>
      <c r="AI120" s="130"/>
    </row>
    <row r="121" customFormat="false" ht="17.35" hidden="false" customHeight="false" outlineLevel="0" collapsed="false">
      <c r="A121" s="48" t="s">
        <v>121</v>
      </c>
      <c r="B121" s="131" t="n">
        <f aca="false">B9</f>
        <v>23125</v>
      </c>
      <c r="C121" s="132" t="n">
        <v>25000.0</v>
      </c>
      <c r="D121" s="131" t="n">
        <f aca="false">D3</f>
        <v>0</v>
      </c>
      <c r="E121" s="132" t="n">
        <f aca="false">D121</f>
        <v>0</v>
      </c>
      <c r="F121" s="131" t="n">
        <f aca="false">B11</f>
        <v>0</v>
      </c>
      <c r="G121" s="132" t="n">
        <f aca="false">F121</f>
        <v>0</v>
      </c>
      <c r="H121" s="133" t="n">
        <f aca="false">H3</f>
        <v>0</v>
      </c>
      <c r="J121" s="48" t="s">
        <v>121</v>
      </c>
      <c r="K121" s="131" t="n">
        <f aca="false">B3</f>
        <v>0</v>
      </c>
      <c r="L121" s="132" t="n">
        <v>28629.17</v>
      </c>
      <c r="M121" s="131" t="n">
        <f aca="false">D3</f>
        <v>0</v>
      </c>
      <c r="N121" s="132" t="n">
        <f aca="false">M121</f>
        <v>0</v>
      </c>
      <c r="O121" s="131" t="str">
        <f aca="false">F3</f>
        <v> </v>
      </c>
      <c r="P121" s="132" t="str">
        <f aca="false">O121</f>
        <v> </v>
      </c>
      <c r="Q121" s="133" t="n">
        <f aca="false">H3</f>
        <v>0</v>
      </c>
      <c r="S121" s="48" t="s">
        <v>121</v>
      </c>
      <c r="T121" s="131" t="n">
        <f aca="false">B3</f>
        <v>0</v>
      </c>
      <c r="U121" s="132" t="n">
        <f aca="false">T121</f>
        <v>0</v>
      </c>
      <c r="V121" s="131" t="n">
        <f aca="false">D3</f>
        <v>0</v>
      </c>
      <c r="W121" s="132" t="n">
        <f aca="false">V121</f>
        <v>0</v>
      </c>
      <c r="X121" s="131" t="str">
        <f aca="false">F3</f>
        <v> </v>
      </c>
      <c r="Y121" s="132" t="str">
        <f aca="false">X121</f>
        <v> </v>
      </c>
      <c r="Z121" s="133" t="n">
        <f aca="false">H3</f>
        <v>0</v>
      </c>
      <c r="AB121" s="48" t="s">
        <v>121</v>
      </c>
      <c r="AC121" s="131" t="n">
        <f aca="false">B3</f>
        <v>0</v>
      </c>
      <c r="AD121" s="132" t="n">
        <f aca="false">AC121</f>
        <v>0</v>
      </c>
      <c r="AE121" s="131" t="n">
        <f aca="false">D3</f>
        <v>0</v>
      </c>
      <c r="AF121" s="132" t="n">
        <f aca="false">AE121</f>
        <v>0</v>
      </c>
      <c r="AG121" s="131" t="str">
        <f aca="false">F3</f>
        <v> </v>
      </c>
      <c r="AH121" s="132" t="str">
        <f aca="false">AG121</f>
        <v> </v>
      </c>
      <c r="AI121" s="133" t="n">
        <f aca="false">H3</f>
        <v>0</v>
      </c>
    </row>
    <row r="122" customFormat="false" ht="17.35" hidden="false" customHeight="false" outlineLevel="0" collapsed="false">
      <c r="A122" s="55" t="s">
        <v>122</v>
      </c>
      <c r="B122" s="134" t="n">
        <v>0</v>
      </c>
      <c r="C122" s="17" t="n">
        <v>0</v>
      </c>
      <c r="D122" s="134" t="n">
        <v>0</v>
      </c>
      <c r="E122" s="17" t="n">
        <v>0</v>
      </c>
      <c r="F122" s="134" t="n">
        <v>0</v>
      </c>
      <c r="G122" s="135" t="n">
        <v>0</v>
      </c>
      <c r="H122" s="18"/>
      <c r="J122" s="55" t="s">
        <v>122</v>
      </c>
      <c r="K122" s="134" t="n">
        <f aca="false">B4</f>
        <v>27750</v>
      </c>
      <c r="L122" s="17" t="n">
        <v>0</v>
      </c>
      <c r="M122" s="134" t="n">
        <f aca="false">D4</f>
        <v>0</v>
      </c>
      <c r="N122" s="17" t="n">
        <f aca="false">M122</f>
        <v>0</v>
      </c>
      <c r="O122" s="134" t="str">
        <f aca="false">F4</f>
        <v> </v>
      </c>
      <c r="P122" s="135" t="str">
        <f aca="false">O122</f>
        <v> </v>
      </c>
      <c r="Q122" s="18"/>
      <c r="S122" s="55" t="s">
        <v>122</v>
      </c>
      <c r="T122" s="134" t="n">
        <f aca="false">B4</f>
        <v>27750</v>
      </c>
      <c r="U122" s="17" t="n">
        <v>0.25</v>
      </c>
      <c r="V122" s="134" t="n">
        <f aca="false">D4</f>
        <v>0</v>
      </c>
      <c r="W122" s="17" t="n">
        <f aca="false">V122</f>
        <v>0</v>
      </c>
      <c r="X122" s="134" t="str">
        <f aca="false">F4</f>
        <v> </v>
      </c>
      <c r="Y122" s="135" t="str">
        <f aca="false">X122</f>
        <v> </v>
      </c>
      <c r="Z122" s="18"/>
      <c r="AB122" s="55" t="s">
        <v>122</v>
      </c>
      <c r="AC122" s="134" t="n">
        <f aca="false">B4</f>
        <v>27750</v>
      </c>
      <c r="AD122" s="17" t="n">
        <v>0.25</v>
      </c>
      <c r="AE122" s="134" t="n">
        <f aca="false">D4</f>
        <v>0</v>
      </c>
      <c r="AF122" s="17" t="n">
        <f aca="false">AE122</f>
        <v>0</v>
      </c>
      <c r="AG122" s="134" t="str">
        <f aca="false">F4</f>
        <v> </v>
      </c>
      <c r="AH122" s="135" t="str">
        <f aca="false">AG122</f>
        <v> </v>
      </c>
      <c r="AI122" s="18"/>
    </row>
    <row r="123" customFormat="false" ht="17.35" hidden="false" customHeight="false" outlineLevel="0" collapsed="false">
      <c r="A123" s="55" t="s">
        <v>123</v>
      </c>
      <c r="B123" s="136" t="n">
        <v>0</v>
      </c>
      <c r="C123" s="132" t="n">
        <v>0</v>
      </c>
      <c r="D123" s="136" t="n">
        <v>0</v>
      </c>
      <c r="E123" s="132" t="n">
        <v>0</v>
      </c>
      <c r="F123" s="136" t="n">
        <v>0</v>
      </c>
      <c r="G123" s="132" t="n">
        <v>0</v>
      </c>
      <c r="H123" s="20"/>
      <c r="J123" s="55" t="s">
        <v>123</v>
      </c>
      <c r="K123" s="136" t="n">
        <f aca="false">B5</f>
        <v>0</v>
      </c>
      <c r="L123" s="132" t="n">
        <v>0</v>
      </c>
      <c r="M123" s="136" t="n">
        <f aca="false">D5</f>
        <v>0</v>
      </c>
      <c r="N123" s="132" t="n">
        <f aca="false">M123</f>
        <v>0</v>
      </c>
      <c r="O123" s="136" t="str">
        <f aca="false">F5</f>
        <v> </v>
      </c>
      <c r="P123" s="132" t="str">
        <f aca="false">O123</f>
        <v> </v>
      </c>
      <c r="Q123" s="20"/>
      <c r="S123" s="55" t="s">
        <v>123</v>
      </c>
      <c r="T123" s="136" t="n">
        <f aca="false">B5</f>
        <v>0</v>
      </c>
      <c r="U123" s="132" t="n">
        <v>0</v>
      </c>
      <c r="V123" s="136" t="n">
        <f aca="false">D5</f>
        <v>0</v>
      </c>
      <c r="W123" s="132" t="n">
        <f aca="false">V123</f>
        <v>0</v>
      </c>
      <c r="X123" s="136" t="str">
        <f aca="false">F5</f>
        <v> </v>
      </c>
      <c r="Y123" s="132" t="str">
        <f aca="false">X123</f>
        <v> </v>
      </c>
      <c r="Z123" s="20"/>
      <c r="AB123" s="55" t="s">
        <v>123</v>
      </c>
      <c r="AC123" s="136" t="n">
        <f aca="false">B5</f>
        <v>0</v>
      </c>
      <c r="AD123" s="132" t="n">
        <v>0</v>
      </c>
      <c r="AE123" s="136" t="n">
        <f aca="false">D5</f>
        <v>0</v>
      </c>
      <c r="AF123" s="132" t="n">
        <f aca="false">AE123</f>
        <v>0</v>
      </c>
      <c r="AG123" s="136" t="str">
        <f aca="false">F5</f>
        <v> </v>
      </c>
      <c r="AH123" s="132" t="str">
        <f aca="false">AG123</f>
        <v> </v>
      </c>
      <c r="AI123" s="20"/>
    </row>
    <row r="124" customFormat="false" ht="17.35" hidden="false" customHeight="false" outlineLevel="0" collapsed="false">
      <c r="A124" s="55" t="s">
        <v>124</v>
      </c>
      <c r="B124" s="136" t="n">
        <f aca="false">(B121*B122)+B123</f>
        <v>0</v>
      </c>
      <c r="C124" s="137" t="n">
        <f aca="false">(C121*C122/100)+C123</f>
        <v>0</v>
      </c>
      <c r="D124" s="136" t="n">
        <f aca="false">(D121*D122)+D123</f>
        <v>0</v>
      </c>
      <c r="E124" s="137" t="n">
        <f aca="false">(E121*E122/100)+E123</f>
        <v>0</v>
      </c>
      <c r="F124" s="136" t="n">
        <f aca="false">(F121*F122)+F123</f>
        <v>0</v>
      </c>
      <c r="G124" s="137" t="n">
        <f aca="false">(G121*G122/100)+G123</f>
        <v>0</v>
      </c>
      <c r="H124" s="20"/>
      <c r="J124" s="55" t="s">
        <v>124</v>
      </c>
      <c r="K124" s="136" t="n">
        <f aca="false">(K121*K122)+K123</f>
        <v>0</v>
      </c>
      <c r="L124" s="137" t="n">
        <f aca="false">(L121*L122)+L123</f>
        <v>0</v>
      </c>
      <c r="M124" s="136" t="n">
        <f aca="false">(M121*M122)+M123</f>
        <v>0</v>
      </c>
      <c r="N124" s="137" t="n">
        <f aca="false">(N121*N122)+N123</f>
        <v>0</v>
      </c>
      <c r="O124" s="136" t="e">
        <f aca="false">(O121*O122)+O123</f>
        <v>#VALUE!</v>
      </c>
      <c r="P124" s="137" t="e">
        <f aca="false">(P121*P122)+P123</f>
        <v>#VALUE!</v>
      </c>
      <c r="Q124" s="20"/>
      <c r="S124" s="55" t="s">
        <v>124</v>
      </c>
      <c r="T124" s="136" t="n">
        <f aca="false">(T121*T122)+T123</f>
        <v>0</v>
      </c>
      <c r="U124" s="137" t="n">
        <f aca="false">(U121*U122)+U123</f>
        <v>0</v>
      </c>
      <c r="V124" s="136" t="n">
        <f aca="false">(V121*V122)+V123</f>
        <v>0</v>
      </c>
      <c r="W124" s="137" t="n">
        <f aca="false">(W121*W122)+W123</f>
        <v>0</v>
      </c>
      <c r="X124" s="136" t="e">
        <f aca="false">(X121*X122)+X123</f>
        <v>#VALUE!</v>
      </c>
      <c r="Y124" s="137" t="e">
        <f aca="false">(Y121*Y122)+Y123</f>
        <v>#VALUE!</v>
      </c>
      <c r="Z124" s="20"/>
      <c r="AB124" s="55" t="s">
        <v>124</v>
      </c>
      <c r="AC124" s="136" t="n">
        <f aca="false">(AC121*AC122)+AC123</f>
        <v>0</v>
      </c>
      <c r="AD124" s="137" t="n">
        <f aca="false">(AD121*AD122)+AD123</f>
        <v>0</v>
      </c>
      <c r="AE124" s="136" t="n">
        <f aca="false">(AE121*AE122)+AE123</f>
        <v>0</v>
      </c>
      <c r="AF124" s="137" t="n">
        <f aca="false">(AF121*AF122)+AF123</f>
        <v>0</v>
      </c>
      <c r="AG124" s="136" t="e">
        <f aca="false">(AG121*AG122)+AG123</f>
        <v>#VALUE!</v>
      </c>
      <c r="AH124" s="137" t="e">
        <f aca="false">(AH121*AH122)+AH123</f>
        <v>#VALUE!</v>
      </c>
      <c r="AI124" s="20"/>
    </row>
    <row r="125" customFormat="false" ht="17.35" hidden="false" customHeight="false" outlineLevel="0" collapsed="false">
      <c r="A125" s="74" t="s">
        <v>125</v>
      </c>
      <c r="B125" s="138" t="n">
        <f aca="false">B121-B124</f>
        <v>23125</v>
      </c>
      <c r="C125" s="139" t="n">
        <f aca="false">C121-C124</f>
        <v>25000</v>
      </c>
      <c r="D125" s="138" t="n">
        <f aca="false">D121-D124</f>
        <v>0</v>
      </c>
      <c r="E125" s="139" t="n">
        <f aca="false">E121-E124</f>
        <v>0</v>
      </c>
      <c r="F125" s="138" t="n">
        <f aca="false">F121-F124</f>
        <v>0</v>
      </c>
      <c r="G125" s="139" t="n">
        <f aca="false">G121-G124</f>
        <v>0</v>
      </c>
      <c r="H125" s="82"/>
      <c r="J125" s="74" t="s">
        <v>125</v>
      </c>
      <c r="K125" s="138" t="n">
        <f aca="false">K121-K124</f>
        <v>0</v>
      </c>
      <c r="L125" s="139" t="n">
        <f aca="false">L121-L124</f>
        <v>28629.17</v>
      </c>
      <c r="M125" s="138" t="n">
        <f aca="false">M121-M124</f>
        <v>0</v>
      </c>
      <c r="N125" s="139" t="n">
        <f aca="false">N121-N124</f>
        <v>0</v>
      </c>
      <c r="O125" s="138" t="e">
        <f aca="false">O121-O124</f>
        <v>#VALUE!</v>
      </c>
      <c r="P125" s="139" t="e">
        <f aca="false">P121-P124</f>
        <v>#VALUE!</v>
      </c>
      <c r="Q125" s="82"/>
      <c r="S125" s="74" t="s">
        <v>125</v>
      </c>
      <c r="T125" s="138" t="n">
        <f aca="false">T121-T124</f>
        <v>0</v>
      </c>
      <c r="U125" s="139" t="n">
        <f aca="false">U121-U124</f>
        <v>0</v>
      </c>
      <c r="V125" s="138" t="n">
        <f aca="false">V121-V124</f>
        <v>0</v>
      </c>
      <c r="W125" s="139" t="n">
        <f aca="false">W121-W124</f>
        <v>0</v>
      </c>
      <c r="X125" s="138" t="e">
        <f aca="false">X121-X124</f>
        <v>#VALUE!</v>
      </c>
      <c r="Y125" s="139" t="e">
        <f aca="false">Y121-Y124</f>
        <v>#VALUE!</v>
      </c>
      <c r="Z125" s="82"/>
      <c r="AB125" s="74" t="s">
        <v>125</v>
      </c>
      <c r="AC125" s="138" t="n">
        <f aca="false">AC121-AC124</f>
        <v>0</v>
      </c>
      <c r="AD125" s="139" t="n">
        <f aca="false">AD121-AD124</f>
        <v>0</v>
      </c>
      <c r="AE125" s="138" t="n">
        <f aca="false">AE121-AE124</f>
        <v>0</v>
      </c>
      <c r="AF125" s="139" t="n">
        <f aca="false">AF121-AF124</f>
        <v>0</v>
      </c>
      <c r="AG125" s="138" t="e">
        <f aca="false">AG121-AG124</f>
        <v>#VALUE!</v>
      </c>
      <c r="AH125" s="139" t="e">
        <f aca="false">AH121-AH124</f>
        <v>#VALUE!</v>
      </c>
      <c r="AI125" s="82"/>
    </row>
    <row r="126" customFormat="false" ht="17.35" hidden="false" customHeight="false" outlineLevel="0" collapsed="false">
      <c r="A126" s="55"/>
      <c r="B126" s="25"/>
      <c r="C126" s="25"/>
      <c r="D126" s="25"/>
      <c r="E126" s="25"/>
      <c r="F126" s="25"/>
      <c r="G126" s="25"/>
      <c r="H126" s="20"/>
      <c r="J126" s="55"/>
      <c r="K126" s="25"/>
      <c r="L126" s="25"/>
      <c r="M126" s="25"/>
      <c r="N126" s="25"/>
      <c r="O126" s="25"/>
      <c r="P126" s="25"/>
      <c r="Q126" s="20"/>
      <c r="S126" s="55"/>
      <c r="T126" s="25"/>
      <c r="U126" s="25"/>
      <c r="V126" s="25"/>
      <c r="W126" s="25"/>
      <c r="X126" s="25"/>
      <c r="Y126" s="25"/>
      <c r="Z126" s="20"/>
      <c r="AB126" s="55"/>
      <c r="AC126" s="25"/>
      <c r="AD126" s="25"/>
      <c r="AE126" s="25"/>
      <c r="AF126" s="25"/>
      <c r="AG126" s="25"/>
      <c r="AH126" s="25"/>
      <c r="AI126" s="20"/>
    </row>
    <row r="127" customFormat="false" ht="19.7" hidden="false" customHeight="false" outlineLevel="0" collapsed="false">
      <c r="A127" s="140"/>
      <c r="B127" s="141"/>
      <c r="C127" s="141"/>
      <c r="D127" s="141"/>
      <c r="E127" s="141"/>
      <c r="F127" s="141"/>
      <c r="G127" s="29" t="s">
        <v>119</v>
      </c>
      <c r="H127" s="142" t="s">
        <v>120</v>
      </c>
      <c r="J127" s="140"/>
      <c r="K127" s="141"/>
      <c r="L127" s="141"/>
      <c r="M127" s="141"/>
      <c r="N127" s="141"/>
      <c r="O127" s="141"/>
      <c r="P127" s="29" t="s">
        <v>119</v>
      </c>
      <c r="Q127" s="142" t="s">
        <v>120</v>
      </c>
      <c r="S127" s="140"/>
      <c r="T127" s="141"/>
      <c r="U127" s="141"/>
      <c r="V127" s="141"/>
      <c r="W127" s="141"/>
      <c r="X127" s="141"/>
      <c r="Y127" s="29" t="s">
        <v>119</v>
      </c>
      <c r="Z127" s="142" t="s">
        <v>120</v>
      </c>
      <c r="AB127" s="140"/>
      <c r="AC127" s="141"/>
      <c r="AD127" s="141"/>
      <c r="AE127" s="141"/>
      <c r="AF127" s="141"/>
      <c r="AG127" s="141"/>
      <c r="AH127" s="29" t="s">
        <v>119</v>
      </c>
      <c r="AI127" s="142" t="s">
        <v>120</v>
      </c>
    </row>
    <row r="128" customFormat="false" ht="17.35" hidden="false" customHeight="false" outlineLevel="0" collapsed="false">
      <c r="A128" s="143" t="s">
        <v>126</v>
      </c>
      <c r="B128" s="144"/>
      <c r="C128" s="144"/>
      <c r="D128" s="144"/>
      <c r="E128" s="144"/>
      <c r="F128" s="144"/>
      <c r="G128" s="145" t="n">
        <f aca="false">H121</f>
        <v>0</v>
      </c>
      <c r="H128" s="146" t="n">
        <f aca="false">SUM(H131:H133)</f>
        <v>0</v>
      </c>
      <c r="J128" s="143" t="s">
        <v>126</v>
      </c>
      <c r="K128" s="144"/>
      <c r="L128" s="144"/>
      <c r="M128" s="144"/>
      <c r="N128" s="144"/>
      <c r="O128" s="144"/>
      <c r="P128" s="145" t="n">
        <f aca="false">Q121</f>
        <v>0</v>
      </c>
      <c r="Q128" s="146" t="n">
        <f aca="false">SUM(Q131:Q133)</f>
        <v>0</v>
      </c>
      <c r="S128" s="143" t="s">
        <v>126</v>
      </c>
      <c r="T128" s="144"/>
      <c r="U128" s="144"/>
      <c r="V128" s="144"/>
      <c r="W128" s="144"/>
      <c r="X128" s="144"/>
      <c r="Y128" s="145" t="n">
        <f aca="false">Z121</f>
        <v>0</v>
      </c>
      <c r="Z128" s="146" t="n">
        <f aca="false">SUM(Z131:Z133)</f>
        <v>0</v>
      </c>
      <c r="AB128" s="143" t="s">
        <v>126</v>
      </c>
      <c r="AC128" s="144"/>
      <c r="AD128" s="144"/>
      <c r="AE128" s="144"/>
      <c r="AF128" s="144"/>
      <c r="AG128" s="144"/>
      <c r="AH128" s="145" t="n">
        <f aca="false">AI121</f>
        <v>0</v>
      </c>
      <c r="AI128" s="146" t="n">
        <f aca="false">SUM(AI131:AI133)</f>
        <v>0</v>
      </c>
    </row>
    <row r="129" customFormat="false" ht="17.35" hidden="false" customHeight="false" outlineLevel="0" collapsed="false">
      <c r="A129" s="55"/>
      <c r="B129" s="25"/>
      <c r="C129" s="25"/>
      <c r="D129" s="25"/>
      <c r="E129" s="25"/>
      <c r="F129" s="25"/>
      <c r="G129" s="147"/>
      <c r="H129" s="148"/>
      <c r="J129" s="55"/>
      <c r="K129" s="25"/>
      <c r="L129" s="25"/>
      <c r="M129" s="25"/>
      <c r="N129" s="25"/>
      <c r="O129" s="25"/>
      <c r="P129" s="147"/>
      <c r="Q129" s="148"/>
      <c r="S129" s="55"/>
      <c r="T129" s="25"/>
      <c r="U129" s="25"/>
      <c r="V129" s="25"/>
      <c r="W129" s="25"/>
      <c r="X129" s="25"/>
      <c r="Y129" s="147"/>
      <c r="Z129" s="148"/>
      <c r="AB129" s="55"/>
      <c r="AC129" s="25"/>
      <c r="AD129" s="25"/>
      <c r="AE129" s="25"/>
      <c r="AF129" s="25"/>
      <c r="AG129" s="25"/>
      <c r="AH129" s="147"/>
      <c r="AI129" s="148"/>
    </row>
    <row r="130" customFormat="false" ht="17.35" hidden="false" customHeight="false" outlineLevel="0" collapsed="false">
      <c r="A130" s="149" t="s">
        <v>127</v>
      </c>
      <c r="B130" s="147" t="s">
        <v>128</v>
      </c>
      <c r="C130" s="147"/>
      <c r="D130" s="147" t="s">
        <v>129</v>
      </c>
      <c r="E130" s="147"/>
      <c r="F130" s="147" t="s">
        <v>123</v>
      </c>
      <c r="G130" s="147"/>
      <c r="H130" s="148" t="s">
        <v>120</v>
      </c>
      <c r="J130" s="149" t="s">
        <v>127</v>
      </c>
      <c r="K130" s="147" t="s">
        <v>128</v>
      </c>
      <c r="L130" s="147"/>
      <c r="M130" s="147" t="s">
        <v>129</v>
      </c>
      <c r="N130" s="147"/>
      <c r="O130" s="147" t="s">
        <v>123</v>
      </c>
      <c r="P130" s="147"/>
      <c r="Q130" s="148" t="s">
        <v>120</v>
      </c>
      <c r="S130" s="149" t="s">
        <v>127</v>
      </c>
      <c r="T130" s="147" t="s">
        <v>128</v>
      </c>
      <c r="U130" s="147"/>
      <c r="V130" s="147" t="s">
        <v>129</v>
      </c>
      <c r="W130" s="147"/>
      <c r="X130" s="147" t="s">
        <v>123</v>
      </c>
      <c r="Y130" s="147"/>
      <c r="Z130" s="148" t="s">
        <v>120</v>
      </c>
      <c r="AB130" s="149" t="s">
        <v>127</v>
      </c>
      <c r="AC130" s="147" t="s">
        <v>128</v>
      </c>
      <c r="AD130" s="147"/>
      <c r="AE130" s="147" t="s">
        <v>129</v>
      </c>
      <c r="AF130" s="147"/>
      <c r="AG130" s="147" t="s">
        <v>123</v>
      </c>
      <c r="AH130" s="147"/>
      <c r="AI130" s="148" t="s">
        <v>120</v>
      </c>
    </row>
    <row r="131" customFormat="false" ht="17.35" hidden="false" customHeight="false" outlineLevel="0" collapsed="false">
      <c r="A131" s="55" t="s">
        <v>130</v>
      </c>
      <c r="B131" s="150" t="n">
        <f aca="false">G128</f>
        <v>0</v>
      </c>
      <c r="C131" s="150"/>
      <c r="D131" s="151" t="n">
        <v>0</v>
      </c>
      <c r="E131" s="151"/>
      <c r="F131" s="150" t="n">
        <v>0</v>
      </c>
      <c r="G131" s="150"/>
      <c r="H131" s="152" t="n">
        <f aca="false">(B131-(B131*D131))-F131</f>
        <v>0</v>
      </c>
      <c r="J131" s="55" t="s">
        <v>130</v>
      </c>
      <c r="K131" s="150" t="n">
        <f aca="false">P128</f>
        <v>0</v>
      </c>
      <c r="L131" s="150"/>
      <c r="M131" s="151" t="n">
        <v>0</v>
      </c>
      <c r="N131" s="151"/>
      <c r="O131" s="150" t="n">
        <v>0</v>
      </c>
      <c r="P131" s="150"/>
      <c r="Q131" s="152" t="n">
        <f aca="false">(K131-(K131*M131))-O131</f>
        <v>0</v>
      </c>
      <c r="S131" s="55" t="s">
        <v>130</v>
      </c>
      <c r="T131" s="150" t="n">
        <f aca="false">Y128</f>
        <v>0</v>
      </c>
      <c r="U131" s="150"/>
      <c r="V131" s="151" t="n">
        <v>0</v>
      </c>
      <c r="W131" s="151"/>
      <c r="X131" s="150" t="n">
        <v>0</v>
      </c>
      <c r="Y131" s="150"/>
      <c r="Z131" s="152" t="n">
        <f aca="false">(T131-(T131*V131))-X131</f>
        <v>0</v>
      </c>
      <c r="AB131" s="55" t="s">
        <v>130</v>
      </c>
      <c r="AC131" s="150" t="n">
        <f aca="false">AH128</f>
        <v>0</v>
      </c>
      <c r="AD131" s="150"/>
      <c r="AE131" s="151" t="n">
        <v>0</v>
      </c>
      <c r="AF131" s="151"/>
      <c r="AG131" s="150" t="n">
        <v>0</v>
      </c>
      <c r="AH131" s="150"/>
      <c r="AI131" s="152" t="n">
        <f aca="false">(AC131-(AC131*AE131))-AG131</f>
        <v>0</v>
      </c>
    </row>
    <row r="132" customFormat="false" ht="17.35" hidden="false" customHeight="false" outlineLevel="0" collapsed="false">
      <c r="A132" s="55" t="s">
        <v>131</v>
      </c>
      <c r="B132" s="150" t="n">
        <v>0</v>
      </c>
      <c r="C132" s="150"/>
      <c r="D132" s="151" t="n">
        <v>0</v>
      </c>
      <c r="E132" s="151"/>
      <c r="F132" s="150" t="n">
        <v>0</v>
      </c>
      <c r="G132" s="150"/>
      <c r="H132" s="152" t="n">
        <f aca="false">(B132-(B132*D132))-F132</f>
        <v>0</v>
      </c>
      <c r="J132" s="55" t="s">
        <v>131</v>
      </c>
      <c r="K132" s="150" t="n">
        <v>0</v>
      </c>
      <c r="L132" s="150"/>
      <c r="M132" s="151" t="n">
        <v>0</v>
      </c>
      <c r="N132" s="151"/>
      <c r="O132" s="150" t="n">
        <v>0</v>
      </c>
      <c r="P132" s="150"/>
      <c r="Q132" s="152" t="n">
        <f aca="false">(K132-(K132*M132))-O132</f>
        <v>0</v>
      </c>
      <c r="S132" s="55" t="s">
        <v>131</v>
      </c>
      <c r="T132" s="150" t="n">
        <v>0</v>
      </c>
      <c r="U132" s="150"/>
      <c r="V132" s="151" t="n">
        <v>0</v>
      </c>
      <c r="W132" s="151"/>
      <c r="X132" s="150" t="n">
        <v>0</v>
      </c>
      <c r="Y132" s="150"/>
      <c r="Z132" s="152" t="n">
        <f aca="false">(T132-(T132*V132))-X132</f>
        <v>0</v>
      </c>
      <c r="AB132" s="55" t="s">
        <v>131</v>
      </c>
      <c r="AC132" s="150" t="n">
        <v>0</v>
      </c>
      <c r="AD132" s="150"/>
      <c r="AE132" s="151" t="n">
        <v>0</v>
      </c>
      <c r="AF132" s="151"/>
      <c r="AG132" s="150" t="n">
        <v>0</v>
      </c>
      <c r="AH132" s="150"/>
      <c r="AI132" s="152" t="n">
        <f aca="false">(AC132-(AC132*AE132))-AG132</f>
        <v>0</v>
      </c>
    </row>
    <row r="133" customFormat="false" ht="17.35" hidden="false" customHeight="false" outlineLevel="0" collapsed="false">
      <c r="A133" s="55" t="s">
        <v>132</v>
      </c>
      <c r="B133" s="150" t="n">
        <v>0</v>
      </c>
      <c r="C133" s="150"/>
      <c r="D133" s="151" t="n">
        <v>0</v>
      </c>
      <c r="E133" s="151"/>
      <c r="F133" s="150" t="n">
        <v>0</v>
      </c>
      <c r="G133" s="150"/>
      <c r="H133" s="152" t="n">
        <f aca="false">(B133-(B133*D133))-F133</f>
        <v>0</v>
      </c>
      <c r="J133" s="55" t="s">
        <v>132</v>
      </c>
      <c r="K133" s="150" t="n">
        <v>0</v>
      </c>
      <c r="L133" s="150"/>
      <c r="M133" s="151" t="n">
        <v>0</v>
      </c>
      <c r="N133" s="151"/>
      <c r="O133" s="150" t="n">
        <v>0</v>
      </c>
      <c r="P133" s="150"/>
      <c r="Q133" s="152" t="n">
        <f aca="false">(K133-(K133*M133))-O133</f>
        <v>0</v>
      </c>
      <c r="S133" s="55" t="s">
        <v>132</v>
      </c>
      <c r="T133" s="150" t="n">
        <v>0</v>
      </c>
      <c r="U133" s="150"/>
      <c r="V133" s="151" t="n">
        <v>0</v>
      </c>
      <c r="W133" s="151"/>
      <c r="X133" s="150" t="n">
        <v>0</v>
      </c>
      <c r="Y133" s="150"/>
      <c r="Z133" s="152" t="n">
        <f aca="false">(T133-(T133*V133))-X133</f>
        <v>0</v>
      </c>
      <c r="AB133" s="55" t="s">
        <v>132</v>
      </c>
      <c r="AC133" s="150" t="n">
        <v>0</v>
      </c>
      <c r="AD133" s="150"/>
      <c r="AE133" s="151" t="n">
        <v>0</v>
      </c>
      <c r="AF133" s="151"/>
      <c r="AG133" s="150" t="n">
        <v>0</v>
      </c>
      <c r="AH133" s="150"/>
      <c r="AI133" s="152" t="n">
        <f aca="false">(AC133-(AC133*AE133))-AG133</f>
        <v>0</v>
      </c>
    </row>
    <row r="134" customFormat="false" ht="17.35" hidden="false" customHeight="false" outlineLevel="0" collapsed="false">
      <c r="A134" s="55"/>
      <c r="B134" s="25"/>
      <c r="C134" s="25"/>
      <c r="D134" s="25"/>
      <c r="E134" s="25"/>
      <c r="F134" s="25"/>
      <c r="G134" s="147"/>
      <c r="H134" s="148"/>
      <c r="J134" s="55"/>
      <c r="K134" s="25"/>
      <c r="L134" s="25"/>
      <c r="M134" s="25"/>
      <c r="N134" s="25"/>
      <c r="O134" s="25"/>
      <c r="P134" s="147"/>
      <c r="Q134" s="148"/>
      <c r="S134" s="55"/>
      <c r="T134" s="25"/>
      <c r="U134" s="25"/>
      <c r="V134" s="25"/>
      <c r="W134" s="25"/>
      <c r="X134" s="25"/>
      <c r="Y134" s="147"/>
      <c r="Z134" s="148"/>
      <c r="AB134" s="55"/>
      <c r="AC134" s="25"/>
      <c r="AD134" s="25"/>
      <c r="AE134" s="25"/>
      <c r="AF134" s="25"/>
      <c r="AG134" s="25"/>
      <c r="AH134" s="147"/>
      <c r="AI134" s="148"/>
    </row>
    <row r="135" customFormat="false" ht="19.7" hidden="false" customHeight="false" outlineLevel="0" collapsed="false">
      <c r="A135" s="153" t="s">
        <v>133</v>
      </c>
      <c r="B135" s="153"/>
      <c r="C135" s="153"/>
      <c r="D135" s="153"/>
      <c r="E135" s="153"/>
      <c r="F135" s="153"/>
      <c r="G135" s="29" t="n">
        <f aca="false">B121</f>
        <v>23125</v>
      </c>
      <c r="H135" s="154" t="n">
        <f aca="false">C125+E125+G125+H128</f>
        <v>25000</v>
      </c>
      <c r="J135" s="153" t="s">
        <v>133</v>
      </c>
      <c r="K135" s="153"/>
      <c r="L135" s="153"/>
      <c r="M135" s="153"/>
      <c r="N135" s="153"/>
      <c r="O135" s="153"/>
      <c r="P135" s="29" t="n">
        <f aca="false">H9</f>
        <v>0</v>
      </c>
      <c r="Q135" s="154" t="e">
        <f aca="false">L125+N125+P125+Q128</f>
        <v>#VALUE!</v>
      </c>
      <c r="S135" s="153" t="s">
        <v>133</v>
      </c>
      <c r="T135" s="153"/>
      <c r="U135" s="153"/>
      <c r="V135" s="153"/>
      <c r="W135" s="153"/>
      <c r="X135" s="153"/>
      <c r="Y135" s="29" t="n">
        <f aca="false">H9</f>
        <v>0</v>
      </c>
      <c r="Z135" s="154" t="e">
        <f aca="false">U125+W125+Y125+Z128</f>
        <v>#VALUE!</v>
      </c>
      <c r="AB135" s="153" t="s">
        <v>133</v>
      </c>
      <c r="AC135" s="153"/>
      <c r="AD135" s="153"/>
      <c r="AE135" s="153"/>
      <c r="AF135" s="153"/>
      <c r="AG135" s="153"/>
      <c r="AH135" s="29" t="n">
        <f aca="false">H9</f>
        <v>0</v>
      </c>
      <c r="AI135" s="154" t="e">
        <f aca="false">AD125+AF125+AH125+AI128</f>
        <v>#VALUE!</v>
      </c>
    </row>
    <row r="136" customFormat="false" ht="17.35" hidden="false" customHeight="false" outlineLevel="0" collapsed="false">
      <c r="A136" s="155" t="s">
        <v>134</v>
      </c>
      <c r="B136" s="155"/>
      <c r="C136" s="155"/>
      <c r="D136" s="155"/>
      <c r="E136" s="155"/>
      <c r="F136" s="155"/>
      <c r="G136" s="21" t="n">
        <f aca="false">H10</f>
        <v>0</v>
      </c>
      <c r="H136" s="20" t="n">
        <f aca="false">G136</f>
        <v>0</v>
      </c>
      <c r="J136" s="155" t="s">
        <v>134</v>
      </c>
      <c r="K136" s="155"/>
      <c r="L136" s="155"/>
      <c r="M136" s="155"/>
      <c r="N136" s="155"/>
      <c r="O136" s="155"/>
      <c r="P136" s="21" t="n">
        <f aca="false">H10</f>
        <v>0</v>
      </c>
      <c r="Q136" s="20" t="n">
        <f aca="false">P136</f>
        <v>0</v>
      </c>
      <c r="S136" s="155" t="s">
        <v>134</v>
      </c>
      <c r="T136" s="155"/>
      <c r="U136" s="155"/>
      <c r="V136" s="155"/>
      <c r="W136" s="155"/>
      <c r="X136" s="155"/>
      <c r="Y136" s="21" t="n">
        <f aca="false">H10</f>
        <v>0</v>
      </c>
      <c r="Z136" s="20" t="n">
        <f aca="false">Y136</f>
        <v>0</v>
      </c>
      <c r="AB136" s="155" t="s">
        <v>134</v>
      </c>
      <c r="AC136" s="155"/>
      <c r="AD136" s="155"/>
      <c r="AE136" s="155"/>
      <c r="AF136" s="155"/>
      <c r="AG136" s="155"/>
      <c r="AH136" s="21" t="n">
        <f aca="false">H10</f>
        <v>0</v>
      </c>
      <c r="AI136" s="20" t="n">
        <f aca="false">AH136</f>
        <v>0</v>
      </c>
    </row>
    <row r="137" customFormat="false" ht="17.35" hidden="false" customHeight="false" outlineLevel="0" collapsed="false">
      <c r="A137" s="155" t="s">
        <v>135</v>
      </c>
      <c r="B137" s="155"/>
      <c r="C137" s="155"/>
      <c r="D137" s="155"/>
      <c r="E137" s="155"/>
      <c r="F137" s="155"/>
      <c r="G137" s="20" t="n">
        <f aca="false">(G135+G136)*20%</f>
        <v>4625</v>
      </c>
      <c r="H137" s="20" t="n">
        <f aca="false">(H135+H136)*20%</f>
        <v>5000</v>
      </c>
      <c r="J137" s="155" t="s">
        <v>135</v>
      </c>
      <c r="K137" s="155"/>
      <c r="L137" s="155"/>
      <c r="M137" s="155"/>
      <c r="N137" s="155"/>
      <c r="O137" s="155"/>
      <c r="P137" s="21" t="n">
        <f aca="false">H11</f>
        <v>0</v>
      </c>
      <c r="Q137" s="20" t="e">
        <f aca="false">(Q135+Q136)*20%</f>
        <v>#VALUE!</v>
      </c>
      <c r="S137" s="155" t="s">
        <v>135</v>
      </c>
      <c r="T137" s="155"/>
      <c r="U137" s="155"/>
      <c r="V137" s="155"/>
      <c r="W137" s="155"/>
      <c r="X137" s="155"/>
      <c r="Y137" s="21" t="n">
        <f aca="false">H11</f>
        <v>0</v>
      </c>
      <c r="Z137" s="20" t="e">
        <f aca="false">(Z135+Z136)*20%</f>
        <v>#VALUE!</v>
      </c>
      <c r="AB137" s="155" t="s">
        <v>135</v>
      </c>
      <c r="AC137" s="155"/>
      <c r="AD137" s="155"/>
      <c r="AE137" s="155"/>
      <c r="AF137" s="155"/>
      <c r="AG137" s="155"/>
      <c r="AH137" s="21" t="n">
        <f aca="false">H11</f>
        <v>0</v>
      </c>
      <c r="AI137" s="20" t="e">
        <f aca="false">(AI135+AI136)*20%</f>
        <v>#VALUE!</v>
      </c>
    </row>
    <row r="138" customFormat="false" ht="17.35" hidden="false" customHeight="false" outlineLevel="0" collapsed="false">
      <c r="A138" s="155" t="s">
        <v>136</v>
      </c>
      <c r="B138" s="155"/>
      <c r="C138" s="155"/>
      <c r="D138" s="155"/>
      <c r="E138" s="155"/>
      <c r="F138" s="155"/>
      <c r="G138" s="21" t="n">
        <f aca="false">H12</f>
        <v>0</v>
      </c>
      <c r="H138" s="20" t="n">
        <v>0</v>
      </c>
      <c r="J138" s="155" t="s">
        <v>136</v>
      </c>
      <c r="K138" s="155"/>
      <c r="L138" s="155"/>
      <c r="M138" s="155"/>
      <c r="N138" s="155"/>
      <c r="O138" s="155"/>
      <c r="P138" s="21" t="n">
        <f aca="false">H12</f>
        <v>0</v>
      </c>
      <c r="Q138" s="20" t="n">
        <f aca="false">P138</f>
        <v>0</v>
      </c>
      <c r="S138" s="155" t="s">
        <v>136</v>
      </c>
      <c r="T138" s="155"/>
      <c r="U138" s="155"/>
      <c r="V138" s="155"/>
      <c r="W138" s="155"/>
      <c r="X138" s="155"/>
      <c r="Y138" s="21" t="n">
        <f aca="false">H12</f>
        <v>0</v>
      </c>
      <c r="Z138" s="20" t="n">
        <f aca="false">Y138</f>
        <v>0</v>
      </c>
      <c r="AB138" s="155" t="s">
        <v>136</v>
      </c>
      <c r="AC138" s="155"/>
      <c r="AD138" s="155"/>
      <c r="AE138" s="155"/>
      <c r="AF138" s="155"/>
      <c r="AG138" s="155"/>
      <c r="AH138" s="21" t="n">
        <f aca="false">H12</f>
        <v>0</v>
      </c>
      <c r="AI138" s="20" t="n">
        <f aca="false">AH138</f>
        <v>0</v>
      </c>
    </row>
    <row r="139" customFormat="false" ht="17.35" hidden="false" customHeight="false" outlineLevel="0" collapsed="false">
      <c r="A139" s="155" t="s">
        <v>137</v>
      </c>
      <c r="B139" s="155"/>
      <c r="C139" s="155"/>
      <c r="D139" s="155"/>
      <c r="E139" s="155"/>
      <c r="F139" s="155"/>
      <c r="G139" s="21" t="n">
        <f aca="false">H13</f>
        <v>0</v>
      </c>
      <c r="H139" s="20" t="n">
        <f aca="false">G139</f>
        <v>0</v>
      </c>
      <c r="J139" s="155" t="s">
        <v>137</v>
      </c>
      <c r="K139" s="155"/>
      <c r="L139" s="155"/>
      <c r="M139" s="155"/>
      <c r="N139" s="155"/>
      <c r="O139" s="155"/>
      <c r="P139" s="21" t="n">
        <f aca="false">H13</f>
        <v>0</v>
      </c>
      <c r="Q139" s="20" t="n">
        <f aca="false">P139</f>
        <v>0</v>
      </c>
      <c r="S139" s="155" t="s">
        <v>137</v>
      </c>
      <c r="T139" s="155"/>
      <c r="U139" s="155"/>
      <c r="V139" s="155"/>
      <c r="W139" s="155"/>
      <c r="X139" s="155"/>
      <c r="Y139" s="21" t="n">
        <f aca="false">H13</f>
        <v>0</v>
      </c>
      <c r="Z139" s="20" t="n">
        <f aca="false">Y139</f>
        <v>0</v>
      </c>
      <c r="AB139" s="155" t="s">
        <v>137</v>
      </c>
      <c r="AC139" s="155"/>
      <c r="AD139" s="155"/>
      <c r="AE139" s="155"/>
      <c r="AF139" s="155"/>
      <c r="AG139" s="155"/>
      <c r="AH139" s="21" t="n">
        <f aca="false">H13</f>
        <v>0</v>
      </c>
      <c r="AI139" s="20" t="n">
        <f aca="false">AH139</f>
        <v>0</v>
      </c>
    </row>
    <row r="140" customFormat="false" ht="17.35" hidden="false" customHeight="false" outlineLevel="0" collapsed="false">
      <c r="A140" s="155" t="s">
        <v>138</v>
      </c>
      <c r="B140" s="155"/>
      <c r="C140" s="155"/>
      <c r="D140" s="155"/>
      <c r="E140" s="155"/>
      <c r="F140" s="155"/>
      <c r="G140" s="21" t="n">
        <f aca="false">H14</f>
        <v>0</v>
      </c>
      <c r="H140" s="20" t="n">
        <v>0</v>
      </c>
      <c r="J140" s="155" t="s">
        <v>138</v>
      </c>
      <c r="K140" s="155"/>
      <c r="L140" s="155"/>
      <c r="M140" s="155"/>
      <c r="N140" s="155"/>
      <c r="O140" s="155"/>
      <c r="P140" s="21" t="n">
        <f aca="false">H14</f>
        <v>0</v>
      </c>
      <c r="Q140" s="20" t="n">
        <v>55</v>
      </c>
      <c r="S140" s="155" t="s">
        <v>138</v>
      </c>
      <c r="T140" s="155"/>
      <c r="U140" s="155"/>
      <c r="V140" s="155"/>
      <c r="W140" s="155"/>
      <c r="X140" s="155"/>
      <c r="Y140" s="21" t="n">
        <f aca="false">H14</f>
        <v>0</v>
      </c>
      <c r="Z140" s="20" t="n">
        <v>55</v>
      </c>
      <c r="AB140" s="155" t="s">
        <v>138</v>
      </c>
      <c r="AC140" s="155"/>
      <c r="AD140" s="155"/>
      <c r="AE140" s="155"/>
      <c r="AF140" s="155"/>
      <c r="AG140" s="155"/>
      <c r="AH140" s="21" t="n">
        <f aca="false">H14</f>
        <v>0</v>
      </c>
      <c r="AI140" s="20" t="n">
        <v>55</v>
      </c>
    </row>
    <row r="141" customFormat="false" ht="19.7" hidden="false" customHeight="false" outlineLevel="0" collapsed="false">
      <c r="A141" s="155" t="s">
        <v>139</v>
      </c>
      <c r="B141" s="155"/>
      <c r="C141" s="155"/>
      <c r="D141" s="155"/>
      <c r="E141" s="155"/>
      <c r="F141" s="155"/>
      <c r="G141" s="156" t="n">
        <f aca="false">(G135+G136+G139+G140+G137)-G138</f>
        <v>27750</v>
      </c>
      <c r="H141" s="156" t="n">
        <f aca="false">(H135+H136+H139+H140+H137)-H138</f>
        <v>30000</v>
      </c>
      <c r="J141" s="155" t="s">
        <v>139</v>
      </c>
      <c r="K141" s="155"/>
      <c r="L141" s="155"/>
      <c r="M141" s="155"/>
      <c r="N141" s="155"/>
      <c r="O141" s="155"/>
      <c r="P141" s="157" t="n">
        <f aca="false">H15</f>
        <v>0</v>
      </c>
      <c r="Q141" s="156" t="e">
        <f aca="false">(Q135+Q136+Q139+Q140+Q137)-Q138</f>
        <v>#VALUE!</v>
      </c>
      <c r="S141" s="155" t="s">
        <v>139</v>
      </c>
      <c r="T141" s="155"/>
      <c r="U141" s="155"/>
      <c r="V141" s="155"/>
      <c r="W141" s="155"/>
      <c r="X141" s="155"/>
      <c r="Y141" s="157" t="n">
        <f aca="false">H15</f>
        <v>0</v>
      </c>
      <c r="Z141" s="156" t="e">
        <f aca="false">(Z135+Z136+Z139+Z140+Z137)-Z138</f>
        <v>#VALUE!</v>
      </c>
      <c r="AB141" s="155" t="s">
        <v>139</v>
      </c>
      <c r="AC141" s="155"/>
      <c r="AD141" s="155"/>
      <c r="AE141" s="155"/>
      <c r="AF141" s="155"/>
      <c r="AG141" s="155"/>
      <c r="AH141" s="157" t="n">
        <f aca="false">H15</f>
        <v>0</v>
      </c>
      <c r="AI141" s="156" t="e">
        <f aca="false">(AI135+AI136+AI139+AI140+AI137)-AI138</f>
        <v>#VALUE!</v>
      </c>
    </row>
    <row r="142" customFormat="false" ht="17.35" hidden="false" customHeight="false" outlineLevel="0" collapsed="false">
      <c r="A142" s="155" t="s">
        <v>140</v>
      </c>
      <c r="B142" s="155"/>
      <c r="C142" s="155"/>
      <c r="D142" s="155"/>
      <c r="E142" s="155"/>
      <c r="F142" s="155"/>
      <c r="G142" s="21" t="n">
        <f aca="false">H16</f>
        <v>0</v>
      </c>
      <c r="H142" s="52" t="n">
        <f aca="false">G142</f>
        <v>0</v>
      </c>
      <c r="J142" s="155" t="s">
        <v>140</v>
      </c>
      <c r="K142" s="155"/>
      <c r="L142" s="155"/>
      <c r="M142" s="155"/>
      <c r="N142" s="155"/>
      <c r="O142" s="155"/>
      <c r="P142" s="21" t="n">
        <f aca="false">H16</f>
        <v>0</v>
      </c>
      <c r="Q142" s="52" t="n">
        <f aca="false">P142</f>
        <v>0</v>
      </c>
      <c r="S142" s="155" t="s">
        <v>140</v>
      </c>
      <c r="T142" s="155"/>
      <c r="U142" s="155"/>
      <c r="V142" s="155"/>
      <c r="W142" s="155"/>
      <c r="X142" s="155"/>
      <c r="Y142" s="21" t="n">
        <f aca="false">H16</f>
        <v>0</v>
      </c>
      <c r="Z142" s="52" t="n">
        <f aca="false">Y142</f>
        <v>0</v>
      </c>
      <c r="AB142" s="155" t="s">
        <v>140</v>
      </c>
      <c r="AC142" s="155"/>
      <c r="AD142" s="155"/>
      <c r="AE142" s="155"/>
      <c r="AF142" s="155"/>
      <c r="AG142" s="155"/>
      <c r="AH142" s="21" t="n">
        <f aca="false">H16</f>
        <v>0</v>
      </c>
      <c r="AI142" s="52" t="n">
        <f aca="false">AH142</f>
        <v>0</v>
      </c>
    </row>
    <row r="143" customFormat="false" ht="17.35" hidden="false" customHeight="false" outlineLevel="0" collapsed="false">
      <c r="A143" s="70" t="s">
        <v>141</v>
      </c>
      <c r="B143" s="70"/>
      <c r="C143" s="70"/>
      <c r="D143" s="70"/>
      <c r="E143" s="70"/>
      <c r="F143" s="70"/>
      <c r="G143" s="37"/>
      <c r="H143" s="20"/>
      <c r="J143" s="70" t="s">
        <v>141</v>
      </c>
      <c r="K143" s="70"/>
      <c r="L143" s="70"/>
      <c r="M143" s="70"/>
      <c r="N143" s="70"/>
      <c r="O143" s="70"/>
      <c r="P143" s="37"/>
      <c r="Q143" s="20"/>
      <c r="S143" s="70" t="s">
        <v>141</v>
      </c>
      <c r="T143" s="70"/>
      <c r="U143" s="70"/>
      <c r="V143" s="70"/>
      <c r="W143" s="70"/>
      <c r="X143" s="70"/>
      <c r="Y143" s="37"/>
      <c r="Z143" s="20"/>
      <c r="AB143" s="70" t="s">
        <v>141</v>
      </c>
      <c r="AC143" s="70"/>
      <c r="AD143" s="70"/>
      <c r="AE143" s="70"/>
      <c r="AF143" s="70"/>
      <c r="AG143" s="70"/>
      <c r="AH143" s="37"/>
      <c r="AI143" s="20"/>
    </row>
    <row r="144" customFormat="false" ht="17.35" hidden="false" customHeight="false" outlineLevel="0" collapsed="false">
      <c r="A144" s="158" t="s">
        <v>15</v>
      </c>
      <c r="B144" s="159" t="n">
        <v>0</v>
      </c>
      <c r="C144" s="159"/>
      <c r="D144" s="159"/>
      <c r="E144" s="159"/>
      <c r="F144" s="159"/>
      <c r="G144" s="21" t="n">
        <f aca="false">H18</f>
        <v>0</v>
      </c>
      <c r="H144" s="52" t="n">
        <v>0</v>
      </c>
      <c r="J144" s="158" t="s">
        <v>15</v>
      </c>
      <c r="K144" s="159" t="s">
        <v>142</v>
      </c>
      <c r="L144" s="159"/>
      <c r="M144" s="159"/>
      <c r="N144" s="159"/>
      <c r="O144" s="159"/>
      <c r="P144" s="21" t="n">
        <f aca="false">H18</f>
        <v>0</v>
      </c>
      <c r="Q144" s="52" t="n">
        <f aca="false">P144</f>
        <v>0</v>
      </c>
      <c r="S144" s="158" t="s">
        <v>15</v>
      </c>
      <c r="T144" s="159" t="s">
        <v>142</v>
      </c>
      <c r="U144" s="159"/>
      <c r="V144" s="159"/>
      <c r="W144" s="159"/>
      <c r="X144" s="159"/>
      <c r="Y144" s="21" t="n">
        <f aca="false">H18</f>
        <v>0</v>
      </c>
      <c r="Z144" s="52" t="n">
        <f aca="false">Y144</f>
        <v>0</v>
      </c>
      <c r="AB144" s="158" t="s">
        <v>15</v>
      </c>
      <c r="AC144" s="159" t="s">
        <v>142</v>
      </c>
      <c r="AD144" s="159"/>
      <c r="AE144" s="159"/>
      <c r="AF144" s="159"/>
      <c r="AG144" s="159"/>
      <c r="AH144" s="21" t="n">
        <f aca="false">H18</f>
        <v>0</v>
      </c>
      <c r="AI144" s="52" t="n">
        <f aca="false">AH144</f>
        <v>0</v>
      </c>
    </row>
    <row r="145" customFormat="false" ht="17.35" hidden="false" customHeight="false" outlineLevel="0" collapsed="false">
      <c r="A145" s="158" t="s">
        <v>17</v>
      </c>
      <c r="B145" s="159" t="s">
        <v>142</v>
      </c>
      <c r="C145" s="159"/>
      <c r="D145" s="159"/>
      <c r="E145" s="159"/>
      <c r="F145" s="159"/>
      <c r="G145" s="21" t="n">
        <f aca="false">H19</f>
        <v>0</v>
      </c>
      <c r="H145" s="52" t="n">
        <v>0</v>
      </c>
      <c r="I145" s="1" t="n">
        <f aca="false">(G142+G145+G146+G144)</f>
        <v>0</v>
      </c>
      <c r="J145" s="158" t="s">
        <v>17</v>
      </c>
      <c r="K145" s="159" t="s">
        <v>142</v>
      </c>
      <c r="L145" s="159"/>
      <c r="M145" s="159"/>
      <c r="N145" s="159"/>
      <c r="O145" s="159"/>
      <c r="P145" s="21" t="n">
        <f aca="false">H19</f>
        <v>0</v>
      </c>
      <c r="Q145" s="52" t="n">
        <f aca="false">P145</f>
        <v>0</v>
      </c>
      <c r="S145" s="158" t="s">
        <v>17</v>
      </c>
      <c r="T145" s="159" t="s">
        <v>142</v>
      </c>
      <c r="U145" s="159"/>
      <c r="V145" s="159"/>
      <c r="W145" s="159"/>
      <c r="X145" s="159"/>
      <c r="Y145" s="21" t="n">
        <f aca="false">H19</f>
        <v>0</v>
      </c>
      <c r="Z145" s="52" t="n">
        <f aca="false">Y145</f>
        <v>0</v>
      </c>
      <c r="AB145" s="158" t="s">
        <v>17</v>
      </c>
      <c r="AC145" s="159" t="s">
        <v>142</v>
      </c>
      <c r="AD145" s="159"/>
      <c r="AE145" s="159"/>
      <c r="AF145" s="159"/>
      <c r="AG145" s="159"/>
      <c r="AH145" s="21" t="n">
        <f aca="false">H19</f>
        <v>0</v>
      </c>
      <c r="AI145" s="52" t="n">
        <f aca="false">AH145</f>
        <v>0</v>
      </c>
    </row>
    <row r="146" customFormat="false" ht="17.35" hidden="false" customHeight="false" outlineLevel="0" collapsed="false">
      <c r="A146" s="160" t="s">
        <v>18</v>
      </c>
      <c r="B146" s="161" t="s">
        <v>142</v>
      </c>
      <c r="C146" s="161"/>
      <c r="D146" s="161"/>
      <c r="E146" s="161"/>
      <c r="F146" s="161"/>
      <c r="G146" s="21" t="n">
        <f aca="false">H20</f>
        <v>0</v>
      </c>
      <c r="H146" s="52" t="n">
        <v>0</v>
      </c>
      <c r="I146" s="1" t="n">
        <f aca="false">(H142+H144+H145+H146)</f>
        <v>0</v>
      </c>
      <c r="J146" s="160" t="s">
        <v>18</v>
      </c>
      <c r="K146" s="161" t="s">
        <v>142</v>
      </c>
      <c r="L146" s="161"/>
      <c r="M146" s="161"/>
      <c r="N146" s="161"/>
      <c r="O146" s="161"/>
      <c r="P146" s="21" t="n">
        <f aca="false">H20</f>
        <v>0</v>
      </c>
      <c r="Q146" s="52" t="n">
        <f aca="false">P146</f>
        <v>0</v>
      </c>
      <c r="S146" s="160" t="s">
        <v>18</v>
      </c>
      <c r="T146" s="161" t="s">
        <v>142</v>
      </c>
      <c r="U146" s="161"/>
      <c r="V146" s="161"/>
      <c r="W146" s="161"/>
      <c r="X146" s="161"/>
      <c r="Y146" s="21" t="n">
        <f aca="false">H20</f>
        <v>0</v>
      </c>
      <c r="Z146" s="52" t="n">
        <f aca="false">Y146</f>
        <v>0</v>
      </c>
      <c r="AB146" s="160" t="s">
        <v>18</v>
      </c>
      <c r="AC146" s="161" t="s">
        <v>142</v>
      </c>
      <c r="AD146" s="161"/>
      <c r="AE146" s="161"/>
      <c r="AF146" s="161"/>
      <c r="AG146" s="161"/>
      <c r="AH146" s="21" t="n">
        <f aca="false">H20</f>
        <v>0</v>
      </c>
      <c r="AI146" s="52" t="n">
        <f aca="false">AH146</f>
        <v>0</v>
      </c>
    </row>
    <row r="147" customFormat="false" ht="19.7" hidden="false" customHeight="false" outlineLevel="0" collapsed="false">
      <c r="A147" s="155" t="s">
        <v>143</v>
      </c>
      <c r="B147" s="155"/>
      <c r="C147" s="155"/>
      <c r="D147" s="155"/>
      <c r="E147" s="155"/>
      <c r="F147" s="155"/>
      <c r="G147" s="157" t="n">
        <f aca="false">G141-((G144*1.2)+(G145*1.2)+(G146*1.2)+(G142*1.2))</f>
        <v>27750</v>
      </c>
      <c r="H147" s="162" t="n">
        <f aca="false">H141-((H144*1.2)+(H145*1.2)+(H146*1.2)+(H142*1.2))</f>
        <v>30000</v>
      </c>
      <c r="J147" s="155" t="s">
        <v>143</v>
      </c>
      <c r="K147" s="155"/>
      <c r="L147" s="155"/>
      <c r="M147" s="155"/>
      <c r="N147" s="155"/>
      <c r="O147" s="155"/>
      <c r="P147" s="157" t="n">
        <f aca="false">P141-((P144*1.2)+(P145*1.2)+(P146*1.2)+(P142*1.2))</f>
        <v>0</v>
      </c>
      <c r="Q147" s="162" t="e">
        <f aca="false">Q141-((Q144*1.2)+(Q145*1.2)+(Q146*1.2)+(Q142*1.2))</f>
        <v>#VALUE!</v>
      </c>
      <c r="S147" s="155" t="s">
        <v>143</v>
      </c>
      <c r="T147" s="155"/>
      <c r="U147" s="155"/>
      <c r="V147" s="155"/>
      <c r="W147" s="155"/>
      <c r="X147" s="155"/>
      <c r="Y147" s="157" t="n">
        <f aca="false">Y141-((Y144*1.2)+(Y145*1.2)+(Y146*1.2)+(Y142*1.2))</f>
        <v>0</v>
      </c>
      <c r="Z147" s="162" t="e">
        <f aca="false">Z141-((Z144*1.2)+(Z145*1.2)+(Z146*1.2)+(Z142*1.2))</f>
        <v>#VALUE!</v>
      </c>
      <c r="AB147" s="155" t="s">
        <v>143</v>
      </c>
      <c r="AC147" s="155"/>
      <c r="AD147" s="155"/>
      <c r="AE147" s="155"/>
      <c r="AF147" s="155"/>
      <c r="AG147" s="155"/>
      <c r="AH147" s="157" t="n">
        <f aca="false">AH141-((AH144*1.2)+(AH145*1.2)+(AH146*1.2)+(AH142*1.2))</f>
        <v>0</v>
      </c>
      <c r="AI147" s="162" t="e">
        <f aca="false">AI141-((AI144*1.2)+(AI145*1.2)+(AI146*1.2)+(AI142*1.2))</f>
        <v>#VALUE!</v>
      </c>
    </row>
    <row r="148" customFormat="false" ht="17.35" hidden="false" customHeight="false" outlineLevel="0" collapsed="false">
      <c r="A148" s="155" t="s">
        <v>144</v>
      </c>
      <c r="B148" s="155"/>
      <c r="C148" s="155"/>
      <c r="D148" s="155"/>
      <c r="E148" s="155"/>
      <c r="F148" s="155"/>
      <c r="G148" s="21"/>
      <c r="H148" s="52" t="n">
        <f aca="false">((H147-G147)-(H137-G137))+((I146-I145)*0.2)</f>
        <v>1875</v>
      </c>
      <c r="I148" s="1" t="n">
        <f aca="false">(H148-G81)/1.2</f>
        <v>1562.5</v>
      </c>
      <c r="J148" s="155" t="s">
        <v>144</v>
      </c>
      <c r="K148" s="155"/>
      <c r="L148" s="155"/>
      <c r="M148" s="155"/>
      <c r="N148" s="155"/>
      <c r="O148" s="155"/>
      <c r="P148" s="21"/>
      <c r="Q148" s="52" t="e">
        <f aca="false">Q147-P147</f>
        <v>#VALUE!</v>
      </c>
      <c r="S148" s="155" t="s">
        <v>144</v>
      </c>
      <c r="T148" s="155"/>
      <c r="U148" s="155"/>
      <c r="V148" s="155"/>
      <c r="W148" s="155"/>
      <c r="X148" s="155"/>
      <c r="Y148" s="21"/>
      <c r="Z148" s="52" t="e">
        <f aca="false">Z147-Y147</f>
        <v>#VALUE!</v>
      </c>
      <c r="AB148" s="155" t="s">
        <v>144</v>
      </c>
      <c r="AC148" s="155"/>
      <c r="AD148" s="155"/>
      <c r="AE148" s="155"/>
      <c r="AF148" s="155"/>
      <c r="AG148" s="155"/>
      <c r="AH148" s="21"/>
      <c r="AI148" s="52" t="e">
        <f aca="false">AI147-AH147</f>
        <v>#VALUE!</v>
      </c>
    </row>
    <row r="149" customFormat="false" ht="17.35" hidden="false" customHeight="false" outlineLevel="0" collapsed="false">
      <c r="A149" s="55"/>
      <c r="B149" s="25"/>
      <c r="C149" s="25"/>
      <c r="D149" s="25"/>
      <c r="E149" s="45"/>
      <c r="F149" s="45"/>
      <c r="G149" s="45"/>
      <c r="H149" s="20"/>
      <c r="J149" s="55"/>
      <c r="K149" s="25"/>
      <c r="L149" s="25"/>
      <c r="M149" s="25"/>
      <c r="N149" s="45"/>
      <c r="O149" s="45"/>
      <c r="P149" s="45"/>
      <c r="Q149" s="20"/>
      <c r="S149" s="55"/>
      <c r="T149" s="25"/>
      <c r="U149" s="25"/>
      <c r="V149" s="25"/>
      <c r="W149" s="45"/>
      <c r="X149" s="45"/>
      <c r="Y149" s="45"/>
      <c r="Z149" s="20"/>
      <c r="AB149" s="55"/>
      <c r="AC149" s="25"/>
      <c r="AD149" s="25"/>
      <c r="AE149" s="25"/>
      <c r="AF149" s="45"/>
      <c r="AG149" s="45"/>
      <c r="AH149" s="45"/>
      <c r="AI149" s="20"/>
    </row>
    <row r="150" customFormat="false" ht="22.05" hidden="false" customHeight="false" outlineLevel="0" collapsed="false">
      <c r="A150" s="58" t="s">
        <v>145</v>
      </c>
      <c r="B150" s="58"/>
      <c r="C150" s="58"/>
      <c r="D150" s="58"/>
      <c r="E150" s="58"/>
      <c r="F150" s="58"/>
      <c r="G150" s="58"/>
      <c r="H150" s="58"/>
      <c r="J150" s="58" t="s">
        <v>145</v>
      </c>
      <c r="K150" s="58"/>
      <c r="L150" s="58"/>
      <c r="M150" s="58"/>
      <c r="N150" s="58"/>
      <c r="O150" s="58"/>
      <c r="P150" s="58"/>
      <c r="Q150" s="58"/>
      <c r="S150" s="58" t="s">
        <v>145</v>
      </c>
      <c r="T150" s="58"/>
      <c r="U150" s="58"/>
      <c r="V150" s="58"/>
      <c r="W150" s="58"/>
      <c r="X150" s="58"/>
      <c r="Y150" s="58"/>
      <c r="Z150" s="58"/>
      <c r="AB150" s="58" t="s">
        <v>145</v>
      </c>
      <c r="AC150" s="58"/>
      <c r="AD150" s="58"/>
      <c r="AE150" s="58"/>
      <c r="AF150" s="58"/>
      <c r="AG150" s="58"/>
      <c r="AH150" s="58"/>
      <c r="AI150" s="58"/>
    </row>
    <row r="151" customFormat="false" ht="17.35" hidden="false" customHeight="false" outlineLevel="0" collapsed="false">
      <c r="A151" s="55"/>
      <c r="B151" s="25"/>
      <c r="C151" s="25"/>
      <c r="D151" s="25"/>
      <c r="E151" s="45"/>
      <c r="F151" s="45"/>
      <c r="G151" s="45"/>
      <c r="H151" s="20"/>
      <c r="J151" s="55"/>
      <c r="K151" s="25"/>
      <c r="L151" s="25"/>
      <c r="M151" s="25"/>
      <c r="N151" s="45"/>
      <c r="O151" s="45"/>
      <c r="P151" s="45"/>
      <c r="Q151" s="20"/>
      <c r="S151" s="55"/>
      <c r="T151" s="25"/>
      <c r="U151" s="25"/>
      <c r="V151" s="25"/>
      <c r="W151" s="45"/>
      <c r="X151" s="45"/>
      <c r="Y151" s="45"/>
      <c r="Z151" s="20"/>
      <c r="AB151" s="55"/>
      <c r="AC151" s="25"/>
      <c r="AD151" s="25"/>
      <c r="AE151" s="25"/>
      <c r="AF151" s="45"/>
      <c r="AG151" s="45"/>
      <c r="AH151" s="45"/>
      <c r="AI151" s="20"/>
    </row>
    <row r="152" customFormat="false" ht="17.35" hidden="false" customHeight="false" outlineLevel="0" collapsed="false">
      <c r="A152" s="55" t="s">
        <v>146</v>
      </c>
      <c r="B152" s="25"/>
      <c r="C152" s="25"/>
      <c r="D152" s="45"/>
      <c r="E152" s="72" t="n">
        <v>2000.0</v>
      </c>
      <c r="F152" s="72"/>
      <c r="G152" s="72" t="n">
        <v>1000.0</v>
      </c>
      <c r="H152" s="72"/>
      <c r="J152" s="55" t="s">
        <v>146</v>
      </c>
      <c r="K152" s="25"/>
      <c r="L152" s="25"/>
      <c r="M152" s="45"/>
      <c r="N152" s="72" t="n">
        <v>10000</v>
      </c>
      <c r="O152" s="72"/>
      <c r="P152" s="72" t="n">
        <v>5000</v>
      </c>
      <c r="Q152" s="72"/>
      <c r="S152" s="55" t="s">
        <v>146</v>
      </c>
      <c r="T152" s="25"/>
      <c r="U152" s="25"/>
      <c r="V152" s="45"/>
      <c r="W152" s="72" t="n">
        <v>10000</v>
      </c>
      <c r="X152" s="72"/>
      <c r="Y152" s="72" t="n">
        <v>5000</v>
      </c>
      <c r="Z152" s="72"/>
      <c r="AB152" s="55" t="s">
        <v>146</v>
      </c>
      <c r="AC152" s="25"/>
      <c r="AD152" s="25"/>
      <c r="AE152" s="45"/>
      <c r="AF152" s="72" t="n">
        <v>10000</v>
      </c>
      <c r="AG152" s="72"/>
      <c r="AH152" s="72" t="n">
        <v>5000</v>
      </c>
      <c r="AI152" s="72"/>
    </row>
    <row r="153" customFormat="false" ht="17.35" hidden="false" customHeight="false" outlineLevel="0" collapsed="false">
      <c r="A153" s="55" t="s">
        <v>147</v>
      </c>
      <c r="B153" s="25"/>
      <c r="C153" s="25"/>
      <c r="D153" s="45"/>
      <c r="E153" s="38" t="n">
        <f aca="false">G153</f>
        <v>500</v>
      </c>
      <c r="F153" s="38"/>
      <c r="G153" s="72" t="n">
        <v>500.0</v>
      </c>
      <c r="H153" s="72"/>
      <c r="J153" s="55" t="s">
        <v>147</v>
      </c>
      <c r="K153" s="25"/>
      <c r="L153" s="25"/>
      <c r="M153" s="45"/>
      <c r="N153" s="38" t="n">
        <f aca="false">P153</f>
        <v>7000</v>
      </c>
      <c r="O153" s="38"/>
      <c r="P153" s="72" t="n">
        <v>7000</v>
      </c>
      <c r="Q153" s="72"/>
      <c r="S153" s="55" t="s">
        <v>147</v>
      </c>
      <c r="T153" s="25"/>
      <c r="U153" s="25"/>
      <c r="V153" s="45"/>
      <c r="W153" s="38" t="n">
        <f aca="false">Y153</f>
        <v>7000</v>
      </c>
      <c r="X153" s="38"/>
      <c r="Y153" s="72" t="n">
        <v>7000</v>
      </c>
      <c r="Z153" s="72"/>
      <c r="AB153" s="55" t="s">
        <v>147</v>
      </c>
      <c r="AC153" s="25"/>
      <c r="AD153" s="25"/>
      <c r="AE153" s="45"/>
      <c r="AF153" s="38" t="n">
        <f aca="false">AH153</f>
        <v>7000</v>
      </c>
      <c r="AG153" s="38"/>
      <c r="AH153" s="72" t="n">
        <v>7000</v>
      </c>
      <c r="AI153" s="72"/>
    </row>
    <row r="154" customFormat="false" ht="17.35" hidden="false" customHeight="false" outlineLevel="0" collapsed="false">
      <c r="A154" s="55" t="s">
        <v>148</v>
      </c>
      <c r="B154" s="25"/>
      <c r="C154" s="25"/>
      <c r="D154" s="45"/>
      <c r="E154" s="38" t="n">
        <f aca="false">E152-E153</f>
        <v>1500</v>
      </c>
      <c r="F154" s="38"/>
      <c r="G154" s="163" t="n">
        <f aca="false">G152-G153</f>
        <v>500</v>
      </c>
      <c r="H154" s="163"/>
      <c r="J154" s="55" t="s">
        <v>148</v>
      </c>
      <c r="K154" s="25"/>
      <c r="L154" s="25"/>
      <c r="M154" s="45"/>
      <c r="N154" s="38" t="n">
        <f aca="false">N152-N153</f>
        <v>3000</v>
      </c>
      <c r="O154" s="38"/>
      <c r="P154" s="163" t="n">
        <f aca="false">P152-P153</f>
        <v>-2000</v>
      </c>
      <c r="Q154" s="163"/>
      <c r="S154" s="55" t="s">
        <v>148</v>
      </c>
      <c r="T154" s="25"/>
      <c r="U154" s="25"/>
      <c r="V154" s="45"/>
      <c r="W154" s="38" t="n">
        <f aca="false">W152-W153</f>
        <v>3000</v>
      </c>
      <c r="X154" s="38"/>
      <c r="Y154" s="163" t="n">
        <f aca="false">Y152-Y153</f>
        <v>-2000</v>
      </c>
      <c r="Z154" s="163"/>
      <c r="AB154" s="55" t="s">
        <v>148</v>
      </c>
      <c r="AC154" s="25"/>
      <c r="AD154" s="25"/>
      <c r="AE154" s="45"/>
      <c r="AF154" s="38" t="n">
        <f aca="false">AF152-AF153</f>
        <v>3000</v>
      </c>
      <c r="AG154" s="38"/>
      <c r="AH154" s="163" t="n">
        <f aca="false">AH152-AH153</f>
        <v>-2000</v>
      </c>
      <c r="AI154" s="163"/>
    </row>
    <row r="155" customFormat="false" ht="17.35" hidden="false" customHeight="false" outlineLevel="0" collapsed="false">
      <c r="A155" s="55" t="s">
        <v>149</v>
      </c>
      <c r="B155" s="25"/>
      <c r="C155" s="25"/>
      <c r="D155" s="45"/>
      <c r="E155" s="38" t="n">
        <f aca="false">E154-G154</f>
        <v>1000</v>
      </c>
      <c r="F155" s="38"/>
      <c r="G155" s="45"/>
      <c r="H155" s="20"/>
      <c r="J155" s="55" t="s">
        <v>149</v>
      </c>
      <c r="K155" s="25"/>
      <c r="L155" s="25"/>
      <c r="M155" s="45"/>
      <c r="N155" s="38" t="n">
        <f aca="false">N154-P154</f>
        <v>5000</v>
      </c>
      <c r="O155" s="38"/>
      <c r="P155" s="45"/>
      <c r="Q155" s="20"/>
      <c r="S155" s="55" t="s">
        <v>149</v>
      </c>
      <c r="T155" s="25"/>
      <c r="U155" s="25"/>
      <c r="V155" s="45"/>
      <c r="W155" s="38" t="n">
        <f aca="false">W154-Y154</f>
        <v>5000</v>
      </c>
      <c r="X155" s="38"/>
      <c r="Y155" s="45"/>
      <c r="Z155" s="20"/>
      <c r="AB155" s="55" t="s">
        <v>149</v>
      </c>
      <c r="AC155" s="25"/>
      <c r="AD155" s="25"/>
      <c r="AE155" s="45"/>
      <c r="AF155" s="38" t="n">
        <f aca="false">AF154-AH154</f>
        <v>5000</v>
      </c>
      <c r="AG155" s="38"/>
      <c r="AH155" s="45"/>
      <c r="AI155" s="20"/>
    </row>
    <row r="156" customFormat="false" ht="17.35" hidden="false" customHeight="false" outlineLevel="0" collapsed="false">
      <c r="A156" s="55"/>
      <c r="B156" s="25"/>
      <c r="C156" s="25"/>
      <c r="D156" s="45"/>
      <c r="E156" s="25"/>
      <c r="F156" s="45"/>
      <c r="G156" s="45"/>
      <c r="H156" s="20"/>
      <c r="J156" s="55"/>
      <c r="K156" s="25"/>
      <c r="L156" s="25"/>
      <c r="M156" s="45"/>
      <c r="N156" s="25"/>
      <c r="O156" s="45"/>
      <c r="P156" s="45"/>
      <c r="Q156" s="20"/>
      <c r="S156" s="55"/>
      <c r="T156" s="25"/>
      <c r="U156" s="25"/>
      <c r="V156" s="45"/>
      <c r="W156" s="25"/>
      <c r="X156" s="45"/>
      <c r="Y156" s="45"/>
      <c r="Z156" s="20"/>
      <c r="AB156" s="55"/>
      <c r="AC156" s="25"/>
      <c r="AD156" s="25"/>
      <c r="AE156" s="45"/>
      <c r="AF156" s="25"/>
      <c r="AG156" s="45"/>
      <c r="AH156" s="45"/>
      <c r="AI156" s="20"/>
    </row>
    <row r="157" customFormat="false" ht="17.35" hidden="false" customHeight="false" outlineLevel="0" collapsed="false">
      <c r="A157" s="48" t="s">
        <v>150</v>
      </c>
      <c r="B157" s="49"/>
      <c r="C157" s="49"/>
      <c r="D157" s="93"/>
      <c r="E157" s="49"/>
      <c r="F157" s="93"/>
      <c r="G157" s="164" t="n">
        <f aca="false">A114</f>
        <v>400</v>
      </c>
      <c r="H157" s="164"/>
      <c r="J157" s="48" t="s">
        <v>150</v>
      </c>
      <c r="K157" s="49"/>
      <c r="L157" s="49"/>
      <c r="M157" s="93"/>
      <c r="N157" s="49"/>
      <c r="O157" s="93"/>
      <c r="P157" s="164" t="n">
        <f aca="false">J114</f>
        <v>1000</v>
      </c>
      <c r="Q157" s="164"/>
      <c r="S157" s="48" t="s">
        <v>150</v>
      </c>
      <c r="T157" s="49"/>
      <c r="U157" s="49"/>
      <c r="V157" s="93"/>
      <c r="W157" s="49"/>
      <c r="X157" s="93"/>
      <c r="Y157" s="164" t="n">
        <f aca="false">S114</f>
        <v>1000</v>
      </c>
      <c r="Z157" s="164"/>
      <c r="AB157" s="48" t="s">
        <v>150</v>
      </c>
      <c r="AC157" s="49"/>
      <c r="AD157" s="49"/>
      <c r="AE157" s="93"/>
      <c r="AF157" s="49"/>
      <c r="AG157" s="93"/>
      <c r="AH157" s="164" t="n">
        <f aca="false">AB114</f>
        <v>1000</v>
      </c>
      <c r="AI157" s="164"/>
    </row>
    <row r="158" customFormat="false" ht="19.7" hidden="false" customHeight="false" outlineLevel="0" collapsed="false">
      <c r="A158" s="165" t="s">
        <v>151</v>
      </c>
      <c r="B158" s="25"/>
      <c r="C158" s="25"/>
      <c r="D158" s="94"/>
      <c r="E158" s="25"/>
      <c r="F158" s="94"/>
      <c r="G158" s="166" t="n">
        <f aca="false">H147-G154-G157</f>
        <v>29100</v>
      </c>
      <c r="H158" s="166"/>
      <c r="J158" s="165" t="s">
        <v>151</v>
      </c>
      <c r="K158" s="25"/>
      <c r="L158" s="25"/>
      <c r="M158" s="94"/>
      <c r="N158" s="25"/>
      <c r="O158" s="94"/>
      <c r="P158" s="166" t="e">
        <f aca="false">Q147-P154-P157</f>
        <v>#VALUE!</v>
      </c>
      <c r="Q158" s="166"/>
      <c r="S158" s="165" t="s">
        <v>151</v>
      </c>
      <c r="T158" s="25"/>
      <c r="U158" s="25"/>
      <c r="V158" s="94"/>
      <c r="W158" s="25"/>
      <c r="X158" s="94"/>
      <c r="Y158" s="166" t="e">
        <f aca="false">Z147-Y154-Y157</f>
        <v>#VALUE!</v>
      </c>
      <c r="Z158" s="166"/>
      <c r="AB158" s="165" t="s">
        <v>151</v>
      </c>
      <c r="AC158" s="25"/>
      <c r="AD158" s="25"/>
      <c r="AE158" s="94"/>
      <c r="AF158" s="25"/>
      <c r="AG158" s="94"/>
      <c r="AH158" s="166" t="e">
        <f aca="false">AI147-AH154-AH157</f>
        <v>#VALUE!</v>
      </c>
      <c r="AI158" s="166"/>
    </row>
    <row r="159" customFormat="false" ht="17.35" hidden="false" customHeight="false" outlineLevel="0" collapsed="false">
      <c r="A159" s="74" t="s">
        <v>152</v>
      </c>
      <c r="B159" s="75"/>
      <c r="C159" s="75"/>
      <c r="D159" s="116"/>
      <c r="E159" s="75"/>
      <c r="F159" s="116"/>
      <c r="G159" s="167" t="str">
        <f aca="false">B114</f>
        <v>239.99</v>
      </c>
      <c r="H159" s="167"/>
      <c r="J159" s="74" t="s">
        <v>152</v>
      </c>
      <c r="K159" s="75"/>
      <c r="L159" s="75"/>
      <c r="M159" s="116"/>
      <c r="N159" s="75"/>
      <c r="O159" s="116"/>
      <c r="P159" s="167" t="n">
        <f aca="false">K114</f>
        <v>239.99</v>
      </c>
      <c r="Q159" s="167"/>
      <c r="S159" s="74" t="s">
        <v>152</v>
      </c>
      <c r="T159" s="75"/>
      <c r="U159" s="75"/>
      <c r="V159" s="116"/>
      <c r="W159" s="75"/>
      <c r="X159" s="116"/>
      <c r="Y159" s="167" t="n">
        <f aca="false">T114</f>
        <v>199.99</v>
      </c>
      <c r="Z159" s="167"/>
      <c r="AB159" s="74" t="s">
        <v>152</v>
      </c>
      <c r="AC159" s="75"/>
      <c r="AD159" s="75"/>
      <c r="AE159" s="116"/>
      <c r="AF159" s="75"/>
      <c r="AG159" s="116"/>
      <c r="AH159" s="167" t="n">
        <f aca="false">AC114</f>
        <v>239.99</v>
      </c>
      <c r="AI159" s="167"/>
    </row>
    <row r="160" customFormat="false" ht="17.35" hidden="false" customHeight="false" outlineLevel="0" collapsed="false">
      <c r="A160" s="55"/>
      <c r="B160" s="25"/>
      <c r="C160" s="25"/>
      <c r="D160" s="25"/>
      <c r="E160" s="45"/>
      <c r="F160" s="45"/>
      <c r="G160" s="45"/>
      <c r="H160" s="20"/>
      <c r="J160" s="55"/>
      <c r="K160" s="25"/>
      <c r="L160" s="25"/>
      <c r="M160" s="25"/>
      <c r="N160" s="45"/>
      <c r="O160" s="45"/>
      <c r="P160" s="45"/>
      <c r="Q160" s="20"/>
      <c r="S160" s="55"/>
      <c r="T160" s="25"/>
      <c r="U160" s="25"/>
      <c r="V160" s="25"/>
      <c r="W160" s="45"/>
      <c r="X160" s="45"/>
      <c r="Y160" s="45"/>
      <c r="Z160" s="20"/>
      <c r="AB160" s="55"/>
      <c r="AC160" s="25"/>
      <c r="AD160" s="25"/>
      <c r="AE160" s="25"/>
      <c r="AF160" s="45"/>
      <c r="AG160" s="45"/>
      <c r="AH160" s="45"/>
      <c r="AI160" s="20"/>
    </row>
    <row r="161" customFormat="false" ht="17.35" hidden="false" customHeight="false" outlineLevel="0" collapsed="false">
      <c r="A161" s="55"/>
      <c r="B161" s="25"/>
      <c r="C161" s="25"/>
      <c r="D161" s="25"/>
      <c r="E161" s="45"/>
      <c r="F161" s="45"/>
      <c r="G161" s="45"/>
      <c r="H161" s="20"/>
      <c r="J161" s="55"/>
      <c r="K161" s="25"/>
      <c r="L161" s="25"/>
      <c r="M161" s="25"/>
      <c r="N161" s="45"/>
      <c r="O161" s="45"/>
      <c r="P161" s="45"/>
      <c r="Q161" s="20"/>
      <c r="S161" s="55"/>
      <c r="T161" s="25"/>
      <c r="U161" s="25"/>
      <c r="V161" s="25"/>
      <c r="W161" s="45"/>
      <c r="X161" s="45"/>
      <c r="Y161" s="45"/>
      <c r="Z161" s="20"/>
      <c r="AB161" s="55"/>
      <c r="AC161" s="25"/>
      <c r="AD161" s="25"/>
      <c r="AE161" s="25"/>
      <c r="AF161" s="45"/>
      <c r="AG161" s="45"/>
      <c r="AH161" s="45"/>
      <c r="AI161" s="20"/>
    </row>
    <row r="162" customFormat="false" ht="22.05" hidden="false" customHeight="false" outlineLevel="0" collapsed="false">
      <c r="A162" s="58" t="s">
        <v>153</v>
      </c>
      <c r="B162" s="58"/>
      <c r="C162" s="58"/>
      <c r="D162" s="58"/>
      <c r="E162" s="58"/>
      <c r="F162" s="58"/>
      <c r="G162" s="58"/>
      <c r="H162" s="58"/>
      <c r="J162" s="58" t="s">
        <v>153</v>
      </c>
      <c r="K162" s="58"/>
      <c r="L162" s="58"/>
      <c r="M162" s="58"/>
      <c r="N162" s="58"/>
      <c r="O162" s="58"/>
      <c r="P162" s="58"/>
      <c r="Q162" s="58"/>
      <c r="S162" s="58" t="s">
        <v>153</v>
      </c>
      <c r="T162" s="58"/>
      <c r="U162" s="58"/>
      <c r="V162" s="58"/>
      <c r="W162" s="58"/>
      <c r="X162" s="58"/>
      <c r="Y162" s="58"/>
      <c r="Z162" s="58"/>
      <c r="AB162" s="58" t="s">
        <v>153</v>
      </c>
      <c r="AC162" s="58"/>
      <c r="AD162" s="58"/>
      <c r="AE162" s="58"/>
      <c r="AF162" s="58"/>
      <c r="AG162" s="58"/>
      <c r="AH162" s="58"/>
      <c r="AI162" s="58"/>
    </row>
    <row r="163" customFormat="false" ht="17.35" hidden="false" customHeight="false" outlineLevel="0" collapsed="false">
      <c r="A163" s="55"/>
      <c r="B163" s="25"/>
      <c r="C163" s="25"/>
      <c r="D163" s="25"/>
      <c r="E163" s="45"/>
      <c r="F163" s="45"/>
      <c r="G163" s="45"/>
      <c r="H163" s="20"/>
      <c r="J163" s="55"/>
      <c r="K163" s="25"/>
      <c r="L163" s="25"/>
      <c r="M163" s="25"/>
      <c r="N163" s="45"/>
      <c r="O163" s="45"/>
      <c r="P163" s="45"/>
      <c r="Q163" s="20"/>
      <c r="S163" s="55"/>
      <c r="T163" s="25"/>
      <c r="U163" s="25"/>
      <c r="V163" s="25"/>
      <c r="W163" s="45"/>
      <c r="X163" s="45"/>
      <c r="Y163" s="45"/>
      <c r="Z163" s="20"/>
      <c r="AB163" s="55"/>
      <c r="AC163" s="25"/>
      <c r="AD163" s="25"/>
      <c r="AE163" s="25"/>
      <c r="AF163" s="45"/>
      <c r="AG163" s="45"/>
      <c r="AH163" s="45"/>
      <c r="AI163" s="20"/>
    </row>
    <row r="164" customFormat="false" ht="17.35" hidden="false" customHeight="false" outlineLevel="0" collapsed="false">
      <c r="A164" s="55" t="s">
        <v>29</v>
      </c>
      <c r="B164" s="168" t="n">
        <v>0</v>
      </c>
      <c r="C164" s="168"/>
      <c r="D164" s="25"/>
      <c r="E164" s="45"/>
      <c r="F164" s="45"/>
      <c r="G164" s="45"/>
      <c r="H164" s="20"/>
      <c r="J164" s="55" t="s">
        <v>29</v>
      </c>
      <c r="K164" s="168" t="n">
        <v>0</v>
      </c>
      <c r="L164" s="168"/>
      <c r="M164" s="25"/>
      <c r="N164" s="45"/>
      <c r="O164" s="45"/>
      <c r="P164" s="45"/>
      <c r="Q164" s="20"/>
      <c r="S164" s="55" t="s">
        <v>29</v>
      </c>
      <c r="T164" s="168" t="n">
        <v>0</v>
      </c>
      <c r="U164" s="168"/>
      <c r="V164" s="25"/>
      <c r="W164" s="45"/>
      <c r="X164" s="45"/>
      <c r="Y164" s="45"/>
      <c r="Z164" s="20"/>
      <c r="AB164" s="55" t="s">
        <v>29</v>
      </c>
      <c r="AC164" s="168" t="n">
        <v>0</v>
      </c>
      <c r="AD164" s="168"/>
      <c r="AE164" s="25"/>
      <c r="AF164" s="45"/>
      <c r="AG164" s="45"/>
      <c r="AH164" s="45"/>
      <c r="AI164" s="20"/>
    </row>
    <row r="165" customFormat="false" ht="17.35" hidden="false" customHeight="false" outlineLevel="0" collapsed="false">
      <c r="A165" s="55"/>
      <c r="B165" s="25"/>
      <c r="C165" s="25"/>
      <c r="D165" s="25"/>
      <c r="E165" s="45"/>
      <c r="F165" s="45"/>
      <c r="G165" s="45"/>
      <c r="H165" s="20"/>
      <c r="J165" s="55"/>
      <c r="K165" s="25"/>
      <c r="L165" s="25"/>
      <c r="M165" s="25"/>
      <c r="N165" s="45"/>
      <c r="O165" s="45"/>
      <c r="P165" s="45"/>
      <c r="Q165" s="20"/>
      <c r="S165" s="55"/>
      <c r="T165" s="25"/>
      <c r="U165" s="25"/>
      <c r="V165" s="25"/>
      <c r="W165" s="45"/>
      <c r="X165" s="45"/>
      <c r="Y165" s="45"/>
      <c r="Z165" s="20"/>
      <c r="AB165" s="55"/>
      <c r="AC165" s="25"/>
      <c r="AD165" s="25"/>
      <c r="AE165" s="25"/>
      <c r="AF165" s="45"/>
      <c r="AG165" s="45"/>
      <c r="AH165" s="45"/>
      <c r="AI165" s="20"/>
    </row>
    <row r="166" customFormat="false" ht="17.35" hidden="false" customHeight="false" outlineLevel="0" collapsed="false">
      <c r="A166" s="169" t="s">
        <v>154</v>
      </c>
      <c r="B166" s="170" t="s">
        <v>155</v>
      </c>
      <c r="C166" s="170"/>
      <c r="D166" s="170"/>
      <c r="E166" s="170" t="s">
        <v>156</v>
      </c>
      <c r="F166" s="45"/>
      <c r="G166" s="45"/>
      <c r="H166" s="20"/>
      <c r="J166" s="169" t="s">
        <v>154</v>
      </c>
      <c r="K166" s="170" t="s">
        <v>155</v>
      </c>
      <c r="L166" s="170"/>
      <c r="M166" s="170"/>
      <c r="N166" s="170" t="s">
        <v>156</v>
      </c>
      <c r="O166" s="45"/>
      <c r="P166" s="45"/>
      <c r="Q166" s="20"/>
      <c r="S166" s="169" t="s">
        <v>154</v>
      </c>
      <c r="T166" s="170" t="s">
        <v>155</v>
      </c>
      <c r="U166" s="170"/>
      <c r="V166" s="170"/>
      <c r="W166" s="170" t="s">
        <v>156</v>
      </c>
      <c r="X166" s="45"/>
      <c r="Y166" s="45"/>
      <c r="Z166" s="20"/>
      <c r="AB166" s="169" t="s">
        <v>154</v>
      </c>
      <c r="AC166" s="170" t="s">
        <v>155</v>
      </c>
      <c r="AD166" s="170"/>
      <c r="AE166" s="170"/>
      <c r="AF166" s="170" t="s">
        <v>156</v>
      </c>
      <c r="AG166" s="45"/>
      <c r="AH166" s="45"/>
      <c r="AI166" s="20"/>
    </row>
    <row r="167" customFormat="false" ht="17.35" hidden="false" customHeight="false" outlineLevel="0" collapsed="false">
      <c r="A167" s="171" t="n">
        <f aca="false">B95</f>
        <v>2814.33467069266</v>
      </c>
      <c r="B167" s="172" t="n">
        <f aca="false">B94</f>
        <v>67.3636363636364</v>
      </c>
      <c r="C167" s="170"/>
      <c r="D167" s="170"/>
      <c r="E167" s="172" t="n">
        <f aca="false">B96</f>
        <v>2881.6983070563</v>
      </c>
      <c r="F167" s="45"/>
      <c r="G167" s="45"/>
      <c r="H167" s="20"/>
      <c r="J167" s="173" t="e">
        <f aca="false">K95</f>
        <v>#VALUE!</v>
      </c>
      <c r="K167" s="172" t="n">
        <f aca="false">K94</f>
        <v>61.75</v>
      </c>
      <c r="L167" s="170"/>
      <c r="M167" s="170"/>
      <c r="N167" s="172" t="e">
        <f aca="false">K96</f>
        <v>#VALUE!</v>
      </c>
      <c r="O167" s="45"/>
      <c r="P167" s="45"/>
      <c r="Q167" s="20"/>
      <c r="S167" s="173" t="e">
        <f aca="false">T95</f>
        <v>#VALUE!</v>
      </c>
      <c r="T167" s="172" t="n">
        <f aca="false">T94</f>
        <v>51.8181818181818</v>
      </c>
      <c r="U167" s="170"/>
      <c r="V167" s="170"/>
      <c r="W167" s="172" t="e">
        <f aca="false">T96</f>
        <v>#VALUE!</v>
      </c>
      <c r="X167" s="45"/>
      <c r="Y167" s="45"/>
      <c r="Z167" s="20"/>
      <c r="AB167" s="173" t="e">
        <f aca="false">AC95</f>
        <v>#VALUE!</v>
      </c>
      <c r="AC167" s="172" t="n">
        <f aca="false">AC94</f>
        <v>62.1818181818182</v>
      </c>
      <c r="AD167" s="170"/>
      <c r="AE167" s="170"/>
      <c r="AF167" s="172" t="e">
        <f aca="false">AC96</f>
        <v>#VALUE!</v>
      </c>
      <c r="AG167" s="45"/>
      <c r="AH167" s="45"/>
      <c r="AI167" s="20"/>
    </row>
    <row r="168" customFormat="false" ht="17.35" hidden="false" customHeight="false" outlineLevel="0" collapsed="false">
      <c r="A168" s="55"/>
      <c r="B168" s="25"/>
      <c r="C168" s="25"/>
      <c r="D168" s="25"/>
      <c r="E168" s="45"/>
      <c r="F168" s="45"/>
      <c r="G168" s="45"/>
      <c r="H168" s="20"/>
      <c r="J168" s="55"/>
      <c r="K168" s="25"/>
      <c r="L168" s="25"/>
      <c r="M168" s="25"/>
      <c r="N168" s="45"/>
      <c r="O168" s="45"/>
      <c r="P168" s="45"/>
      <c r="Q168" s="20"/>
      <c r="S168" s="55"/>
      <c r="T168" s="25"/>
      <c r="U168" s="25"/>
      <c r="V168" s="25"/>
      <c r="W168" s="45"/>
      <c r="X168" s="45"/>
      <c r="Y168" s="45"/>
      <c r="Z168" s="20"/>
      <c r="AB168" s="55"/>
      <c r="AC168" s="25"/>
      <c r="AD168" s="25"/>
      <c r="AE168" s="25"/>
      <c r="AF168" s="45"/>
      <c r="AG168" s="45"/>
      <c r="AH168" s="45"/>
      <c r="AI168" s="20"/>
    </row>
    <row r="169" customFormat="false" ht="17.35" hidden="false" customHeight="false" outlineLevel="0" collapsed="false">
      <c r="A169" s="55" t="s">
        <v>28</v>
      </c>
      <c r="B169" s="25" t="s">
        <v>33</v>
      </c>
      <c r="C169" s="25"/>
      <c r="D169" s="45"/>
      <c r="E169" s="25" t="s">
        <v>157</v>
      </c>
      <c r="F169" s="45"/>
      <c r="G169" s="45"/>
      <c r="H169" s="20"/>
      <c r="J169" s="55" t="s">
        <v>28</v>
      </c>
      <c r="K169" s="25" t="s">
        <v>33</v>
      </c>
      <c r="L169" s="25"/>
      <c r="M169" s="45"/>
      <c r="N169" s="25" t="s">
        <v>157</v>
      </c>
      <c r="O169" s="45"/>
      <c r="P169" s="45"/>
      <c r="Q169" s="20"/>
      <c r="S169" s="55" t="s">
        <v>28</v>
      </c>
      <c r="T169" s="25" t="s">
        <v>33</v>
      </c>
      <c r="U169" s="25"/>
      <c r="V169" s="45"/>
      <c r="W169" s="25" t="s">
        <v>157</v>
      </c>
      <c r="X169" s="45"/>
      <c r="Y169" s="45"/>
      <c r="Z169" s="20"/>
      <c r="AB169" s="55" t="s">
        <v>28</v>
      </c>
      <c r="AC169" s="25" t="s">
        <v>33</v>
      </c>
      <c r="AD169" s="25"/>
      <c r="AE169" s="45"/>
      <c r="AF169" s="25" t="s">
        <v>157</v>
      </c>
      <c r="AG169" s="45"/>
      <c r="AH169" s="45"/>
      <c r="AI169" s="20"/>
    </row>
    <row r="170" customFormat="false" ht="17.35" hidden="false" customHeight="false" outlineLevel="0" collapsed="false">
      <c r="A170" s="63" t="n">
        <f aca="false">K29</f>
        <v>12</v>
      </c>
      <c r="B170" s="174" t="n">
        <f aca="false">K30</f>
        <v>10000</v>
      </c>
      <c r="C170" s="175"/>
      <c r="D170" s="45"/>
      <c r="E170" s="73" t="n">
        <f aca="false">IF(A111="YES", A40, 0)</f>
        <v>0</v>
      </c>
      <c r="F170" s="45"/>
      <c r="G170" s="45"/>
      <c r="H170" s="20"/>
      <c r="J170" s="63" t="n">
        <f aca="false">K29</f>
        <v>12</v>
      </c>
      <c r="K170" s="176" t="n">
        <f aca="false">K30</f>
        <v>10000</v>
      </c>
      <c r="L170" s="175"/>
      <c r="M170" s="45"/>
      <c r="N170" s="73" t="n">
        <f aca="false">IF(A111="YES", A40, 0)</f>
        <v>0</v>
      </c>
      <c r="O170" s="45"/>
      <c r="P170" s="45"/>
      <c r="Q170" s="20"/>
      <c r="S170" s="63" t="n">
        <f aca="false">K29</f>
        <v>12</v>
      </c>
      <c r="T170" s="176" t="n">
        <f aca="false">K30</f>
        <v>10000</v>
      </c>
      <c r="U170" s="175"/>
      <c r="V170" s="45"/>
      <c r="W170" s="73" t="n">
        <f aca="false">IF(A111="YES", A40, 0)</f>
        <v>0</v>
      </c>
      <c r="X170" s="45"/>
      <c r="Y170" s="45"/>
      <c r="Z170" s="20"/>
      <c r="AB170" s="63" t="n">
        <f aca="false">K29</f>
        <v>12</v>
      </c>
      <c r="AC170" s="176" t="n">
        <f aca="false">K30</f>
        <v>10000</v>
      </c>
      <c r="AD170" s="175"/>
      <c r="AE170" s="45"/>
      <c r="AF170" s="73" t="n">
        <f aca="false">IF(A111="YES", A40, 0)</f>
        <v>0</v>
      </c>
      <c r="AG170" s="45"/>
      <c r="AH170" s="45"/>
      <c r="AI170" s="20"/>
    </row>
    <row r="171" customFormat="false" ht="17.35" hidden="false" customHeight="false" outlineLevel="0" collapsed="false">
      <c r="A171" s="55"/>
      <c r="B171" s="25"/>
      <c r="C171" s="25"/>
      <c r="D171" s="45"/>
      <c r="E171" s="25"/>
      <c r="F171" s="45"/>
      <c r="G171" s="45"/>
      <c r="H171" s="20"/>
      <c r="J171" s="55"/>
      <c r="K171" s="25"/>
      <c r="L171" s="25"/>
      <c r="M171" s="45"/>
      <c r="N171" s="25"/>
      <c r="O171" s="45"/>
      <c r="P171" s="45"/>
      <c r="Q171" s="20"/>
      <c r="S171" s="55"/>
      <c r="T171" s="25"/>
      <c r="U171" s="25"/>
      <c r="V171" s="45"/>
      <c r="W171" s="25"/>
      <c r="X171" s="45"/>
      <c r="Y171" s="45"/>
      <c r="Z171" s="20"/>
      <c r="AB171" s="55"/>
      <c r="AC171" s="25"/>
      <c r="AD171" s="25"/>
      <c r="AE171" s="45"/>
      <c r="AF171" s="25"/>
      <c r="AG171" s="45"/>
      <c r="AH171" s="45"/>
      <c r="AI171" s="20"/>
    </row>
    <row r="172" customFormat="false" ht="17.35" hidden="false" customHeight="false" outlineLevel="0" collapsed="false">
      <c r="A172" s="55" t="s">
        <v>158</v>
      </c>
      <c r="B172" s="25" t="s">
        <v>159</v>
      </c>
      <c r="C172" s="25"/>
      <c r="D172" s="45"/>
      <c r="E172" s="25" t="s">
        <v>160</v>
      </c>
      <c r="F172" s="45"/>
      <c r="G172" s="45"/>
      <c r="H172" s="20"/>
      <c r="J172" s="55" t="s">
        <v>158</v>
      </c>
      <c r="K172" s="25" t="s">
        <v>159</v>
      </c>
      <c r="L172" s="25"/>
      <c r="M172" s="45"/>
      <c r="N172" s="25" t="s">
        <v>160</v>
      </c>
      <c r="O172" s="45"/>
      <c r="P172" s="45"/>
      <c r="Q172" s="20"/>
      <c r="S172" s="55" t="s">
        <v>158</v>
      </c>
      <c r="T172" s="25" t="s">
        <v>159</v>
      </c>
      <c r="U172" s="25"/>
      <c r="V172" s="45"/>
      <c r="W172" s="25" t="s">
        <v>160</v>
      </c>
      <c r="X172" s="45"/>
      <c r="Y172" s="45"/>
      <c r="Z172" s="20"/>
      <c r="AB172" s="55" t="s">
        <v>158</v>
      </c>
      <c r="AC172" s="25" t="s">
        <v>159</v>
      </c>
      <c r="AD172" s="25"/>
      <c r="AE172" s="45"/>
      <c r="AF172" s="25" t="s">
        <v>160</v>
      </c>
      <c r="AG172" s="45"/>
      <c r="AH172" s="45"/>
      <c r="AI172" s="20"/>
    </row>
    <row r="173" customFormat="false" ht="17.35" hidden="false" customHeight="false" outlineLevel="0" collapsed="false">
      <c r="A173" s="69" t="n">
        <f aca="false">H141-H137-H139-H140</f>
        <v>25000</v>
      </c>
      <c r="B173" s="37" t="n">
        <f aca="false">H137</f>
        <v>5000</v>
      </c>
      <c r="C173" s="67"/>
      <c r="D173" s="45"/>
      <c r="E173" s="73" t="n">
        <f aca="false">H139+H140</f>
        <v>0</v>
      </c>
      <c r="F173" s="45"/>
      <c r="G173" s="45"/>
      <c r="H173" s="20"/>
      <c r="J173" s="69" t="e">
        <f aca="false">Q141-Q137-Q139-Q140</f>
        <v>#VALUE!</v>
      </c>
      <c r="K173" s="37" t="e">
        <f aca="false">Q137</f>
        <v>#VALUE!</v>
      </c>
      <c r="L173" s="67"/>
      <c r="M173" s="45"/>
      <c r="N173" s="73" t="n">
        <f aca="false">Q139+Q140</f>
        <v>55</v>
      </c>
      <c r="O173" s="45"/>
      <c r="P173" s="45"/>
      <c r="Q173" s="20"/>
      <c r="S173" s="69" t="e">
        <f aca="false">Z141-Z137-Z139-Z140</f>
        <v>#VALUE!</v>
      </c>
      <c r="T173" s="37" t="e">
        <f aca="false">Z137</f>
        <v>#VALUE!</v>
      </c>
      <c r="U173" s="67"/>
      <c r="V173" s="45"/>
      <c r="W173" s="73" t="n">
        <f aca="false">Z139+Z140</f>
        <v>55</v>
      </c>
      <c r="X173" s="45"/>
      <c r="Y173" s="45"/>
      <c r="Z173" s="20"/>
      <c r="AB173" s="69" t="e">
        <f aca="false">AI141-AI137-AI139-AI140</f>
        <v>#VALUE!</v>
      </c>
      <c r="AC173" s="37" t="e">
        <f aca="false">AI137</f>
        <v>#VALUE!</v>
      </c>
      <c r="AD173" s="67"/>
      <c r="AE173" s="45"/>
      <c r="AF173" s="73" t="n">
        <f aca="false">AI139+AI140</f>
        <v>55</v>
      </c>
      <c r="AG173" s="45"/>
      <c r="AH173" s="45"/>
      <c r="AI173" s="20"/>
    </row>
    <row r="174" customFormat="false" ht="17.35" hidden="false" customHeight="false" outlineLevel="0" collapsed="false">
      <c r="A174" s="55"/>
      <c r="B174" s="25"/>
      <c r="C174" s="25"/>
      <c r="D174" s="45"/>
      <c r="E174" s="25"/>
      <c r="F174" s="45"/>
      <c r="G174" s="45"/>
      <c r="H174" s="20"/>
      <c r="J174" s="55"/>
      <c r="K174" s="25"/>
      <c r="L174" s="25"/>
      <c r="M174" s="45"/>
      <c r="N174" s="25"/>
      <c r="O174" s="45"/>
      <c r="P174" s="45"/>
      <c r="Q174" s="20"/>
      <c r="S174" s="55"/>
      <c r="T174" s="25"/>
      <c r="U174" s="25"/>
      <c r="V174" s="45"/>
      <c r="W174" s="25"/>
      <c r="X174" s="45"/>
      <c r="Y174" s="45"/>
      <c r="Z174" s="20"/>
      <c r="AB174" s="55"/>
      <c r="AC174" s="25"/>
      <c r="AD174" s="25"/>
      <c r="AE174" s="45"/>
      <c r="AF174" s="25"/>
      <c r="AG174" s="45"/>
      <c r="AH174" s="45"/>
      <c r="AI174" s="20"/>
    </row>
    <row r="175" customFormat="false" ht="17.35" hidden="false" customHeight="false" outlineLevel="0" collapsed="false">
      <c r="A175" s="55" t="s">
        <v>161</v>
      </c>
      <c r="B175" s="25" t="s">
        <v>108</v>
      </c>
      <c r="C175" s="25"/>
      <c r="D175" s="45"/>
      <c r="E175" s="25" t="s">
        <v>109</v>
      </c>
      <c r="F175" s="45"/>
      <c r="G175" s="45"/>
      <c r="H175" s="20"/>
      <c r="J175" s="55" t="s">
        <v>161</v>
      </c>
      <c r="K175" s="25" t="s">
        <v>108</v>
      </c>
      <c r="L175" s="25"/>
      <c r="M175" s="45"/>
      <c r="N175" s="25" t="s">
        <v>109</v>
      </c>
      <c r="O175" s="45"/>
      <c r="P175" s="45"/>
      <c r="Q175" s="20"/>
      <c r="S175" s="55" t="s">
        <v>161</v>
      </c>
      <c r="T175" s="25" t="s">
        <v>108</v>
      </c>
      <c r="U175" s="25"/>
      <c r="V175" s="45"/>
      <c r="W175" s="25" t="s">
        <v>109</v>
      </c>
      <c r="X175" s="45"/>
      <c r="Y175" s="45"/>
      <c r="Z175" s="20"/>
      <c r="AB175" s="55" t="s">
        <v>161</v>
      </c>
      <c r="AC175" s="25" t="s">
        <v>108</v>
      </c>
      <c r="AD175" s="25"/>
      <c r="AE175" s="45"/>
      <c r="AF175" s="25" t="s">
        <v>109</v>
      </c>
      <c r="AG175" s="45"/>
      <c r="AH175" s="45"/>
      <c r="AI175" s="20"/>
    </row>
    <row r="176" customFormat="false" ht="17.35" hidden="false" customHeight="false" outlineLevel="0" collapsed="false">
      <c r="A176" s="69" t="n">
        <f aca="false">H147</f>
        <v>30000</v>
      </c>
      <c r="B176" s="37" t="n">
        <f aca="false">B111</f>
        <v>200</v>
      </c>
      <c r="C176" s="37"/>
      <c r="D176" s="45"/>
      <c r="E176" s="37" t="n">
        <f aca="false">E111</f>
        <v>200</v>
      </c>
      <c r="F176" s="45"/>
      <c r="G176" s="45"/>
      <c r="H176" s="177"/>
      <c r="J176" s="69" t="e">
        <f aca="false">Q141</f>
        <v>#VALUE!</v>
      </c>
      <c r="K176" s="37" t="n">
        <f aca="false">K111</f>
        <v>1000</v>
      </c>
      <c r="L176" s="37"/>
      <c r="M176" s="45"/>
      <c r="N176" s="37" t="n">
        <f aca="false">N111</f>
        <v>0</v>
      </c>
      <c r="O176" s="45"/>
      <c r="P176" s="45"/>
      <c r="Q176" s="177"/>
      <c r="S176" s="69" t="e">
        <f aca="false">Z141</f>
        <v>#VALUE!</v>
      </c>
      <c r="T176" s="37" t="n">
        <f aca="false">T111</f>
        <v>1000</v>
      </c>
      <c r="U176" s="37"/>
      <c r="V176" s="45"/>
      <c r="W176" s="37" t="n">
        <f aca="false">W111</f>
        <v>0</v>
      </c>
      <c r="X176" s="45"/>
      <c r="Y176" s="45"/>
      <c r="Z176" s="177"/>
      <c r="AB176" s="69" t="e">
        <f aca="false">AI141</f>
        <v>#VALUE!</v>
      </c>
      <c r="AC176" s="37" t="n">
        <f aca="false">AC111</f>
        <v>1000</v>
      </c>
      <c r="AD176" s="37"/>
      <c r="AE176" s="45"/>
      <c r="AF176" s="37" t="n">
        <f aca="false">AF111</f>
        <v>0</v>
      </c>
      <c r="AG176" s="45"/>
      <c r="AH176" s="45"/>
      <c r="AI176" s="177"/>
    </row>
    <row r="177" customFormat="false" ht="17.35" hidden="false" customHeight="false" outlineLevel="0" collapsed="false">
      <c r="A177" s="55"/>
      <c r="B177" s="25"/>
      <c r="C177" s="25"/>
      <c r="D177" s="45"/>
      <c r="E177" s="25"/>
      <c r="F177" s="45"/>
      <c r="G177" s="45"/>
      <c r="H177" s="20"/>
      <c r="J177" s="55"/>
      <c r="K177" s="25"/>
      <c r="L177" s="25"/>
      <c r="M177" s="45"/>
      <c r="N177" s="25"/>
      <c r="O177" s="45"/>
      <c r="P177" s="45"/>
      <c r="Q177" s="20"/>
      <c r="S177" s="55"/>
      <c r="T177" s="25"/>
      <c r="U177" s="25"/>
      <c r="V177" s="45"/>
      <c r="W177" s="25"/>
      <c r="X177" s="45"/>
      <c r="Y177" s="45"/>
      <c r="Z177" s="20"/>
      <c r="AB177" s="55"/>
      <c r="AC177" s="25"/>
      <c r="AD177" s="25"/>
      <c r="AE177" s="45"/>
      <c r="AF177" s="25"/>
      <c r="AG177" s="45"/>
      <c r="AH177" s="45"/>
      <c r="AI177" s="20"/>
    </row>
    <row r="178" customFormat="false" ht="17.35" hidden="false" customHeight="false" outlineLevel="0" collapsed="false">
      <c r="A178" s="55" t="s">
        <v>110</v>
      </c>
      <c r="B178" s="25" t="s">
        <v>146</v>
      </c>
      <c r="C178" s="25"/>
      <c r="D178" s="45"/>
      <c r="E178" s="25" t="s">
        <v>151</v>
      </c>
      <c r="F178" s="45"/>
      <c r="G178" s="45"/>
      <c r="H178" s="20"/>
      <c r="J178" s="55" t="s">
        <v>110</v>
      </c>
      <c r="K178" s="25" t="s">
        <v>146</v>
      </c>
      <c r="L178" s="25"/>
      <c r="M178" s="45"/>
      <c r="N178" s="25" t="s">
        <v>151</v>
      </c>
      <c r="O178" s="45"/>
      <c r="P178" s="45"/>
      <c r="Q178" s="20"/>
      <c r="S178" s="55" t="s">
        <v>110</v>
      </c>
      <c r="T178" s="25" t="s">
        <v>146</v>
      </c>
      <c r="U178" s="25"/>
      <c r="V178" s="45"/>
      <c r="W178" s="25" t="s">
        <v>151</v>
      </c>
      <c r="X178" s="45"/>
      <c r="Y178" s="45"/>
      <c r="Z178" s="20"/>
      <c r="AB178" s="55" t="s">
        <v>110</v>
      </c>
      <c r="AC178" s="25" t="s">
        <v>146</v>
      </c>
      <c r="AD178" s="25"/>
      <c r="AE178" s="45"/>
      <c r="AF178" s="25" t="s">
        <v>151</v>
      </c>
      <c r="AG178" s="45"/>
      <c r="AH178" s="45"/>
      <c r="AI178" s="20"/>
    </row>
    <row r="179" customFormat="false" ht="17.35" hidden="false" customHeight="false" outlineLevel="0" collapsed="false">
      <c r="A179" s="70" t="n">
        <f aca="false">B176+E176</f>
        <v>400</v>
      </c>
      <c r="B179" s="37" t="n">
        <f aca="false">G154</f>
        <v>500</v>
      </c>
      <c r="C179" s="37"/>
      <c r="D179" s="45"/>
      <c r="E179" s="37" t="n">
        <f aca="false">A176-A179-B179</f>
        <v>29100</v>
      </c>
      <c r="F179" s="45"/>
      <c r="G179" s="45"/>
      <c r="H179" s="177"/>
      <c r="J179" s="70" t="n">
        <f aca="false">K176+N176</f>
        <v>1000</v>
      </c>
      <c r="K179" s="37" t="n">
        <f aca="false">P154</f>
        <v>-2000</v>
      </c>
      <c r="L179" s="37"/>
      <c r="M179" s="45"/>
      <c r="N179" s="37" t="e">
        <f aca="false">J176-J179-K179</f>
        <v>#VALUE!</v>
      </c>
      <c r="O179" s="45"/>
      <c r="P179" s="45"/>
      <c r="Q179" s="177"/>
      <c r="S179" s="70" t="n">
        <f aca="false">T176+W176</f>
        <v>1000</v>
      </c>
      <c r="T179" s="37" t="n">
        <f aca="false">Y154</f>
        <v>-2000</v>
      </c>
      <c r="U179" s="37"/>
      <c r="V179" s="45"/>
      <c r="W179" s="37" t="e">
        <f aca="false">S176-S179-T179</f>
        <v>#VALUE!</v>
      </c>
      <c r="X179" s="45"/>
      <c r="Y179" s="45"/>
      <c r="Z179" s="177"/>
      <c r="AB179" s="70" t="n">
        <f aca="false">AC176+AF176</f>
        <v>1000</v>
      </c>
      <c r="AC179" s="37" t="n">
        <f aca="false">AH154</f>
        <v>-2000</v>
      </c>
      <c r="AD179" s="37"/>
      <c r="AE179" s="45"/>
      <c r="AF179" s="37" t="e">
        <f aca="false">AB176-AB179-AC179</f>
        <v>#VALUE!</v>
      </c>
      <c r="AG179" s="45"/>
      <c r="AH179" s="45"/>
      <c r="AI179" s="177"/>
    </row>
    <row r="180" customFormat="false" ht="17.35" hidden="false" customHeight="false" outlineLevel="0" collapsed="false">
      <c r="A180" s="55"/>
      <c r="B180" s="25"/>
      <c r="C180" s="25"/>
      <c r="D180" s="45"/>
      <c r="E180" s="25"/>
      <c r="F180" s="45"/>
      <c r="G180" s="45"/>
      <c r="H180" s="20"/>
      <c r="J180" s="55"/>
      <c r="K180" s="25"/>
      <c r="L180" s="25"/>
      <c r="M180" s="45"/>
      <c r="N180" s="25"/>
      <c r="O180" s="45"/>
      <c r="P180" s="45"/>
      <c r="Q180" s="20"/>
      <c r="S180" s="55"/>
      <c r="T180" s="25"/>
      <c r="U180" s="25"/>
      <c r="V180" s="45"/>
      <c r="W180" s="25"/>
      <c r="X180" s="45"/>
      <c r="Y180" s="45"/>
      <c r="Z180" s="20"/>
      <c r="AB180" s="55"/>
      <c r="AC180" s="25"/>
      <c r="AD180" s="25"/>
      <c r="AE180" s="45"/>
      <c r="AF180" s="25"/>
      <c r="AG180" s="45"/>
      <c r="AH180" s="45"/>
      <c r="AI180" s="20"/>
    </row>
    <row r="181" customFormat="false" ht="17.35" hidden="false" customHeight="false" outlineLevel="0" collapsed="false">
      <c r="A181" s="55" t="s">
        <v>162</v>
      </c>
      <c r="B181" s="25" t="s">
        <v>152</v>
      </c>
      <c r="C181" s="25"/>
      <c r="D181" s="45"/>
      <c r="E181" s="25" t="s">
        <v>163</v>
      </c>
      <c r="F181" s="45"/>
      <c r="G181" s="45"/>
      <c r="H181" s="20"/>
      <c r="J181" s="55" t="s">
        <v>162</v>
      </c>
      <c r="K181" s="25" t="s">
        <v>152</v>
      </c>
      <c r="L181" s="25"/>
      <c r="M181" s="45"/>
      <c r="N181" s="25" t="s">
        <v>163</v>
      </c>
      <c r="O181" s="45"/>
      <c r="P181" s="45"/>
      <c r="Q181" s="20"/>
      <c r="S181" s="55" t="s">
        <v>162</v>
      </c>
      <c r="T181" s="25" t="s">
        <v>152</v>
      </c>
      <c r="U181" s="25"/>
      <c r="V181" s="45"/>
      <c r="W181" s="25" t="s">
        <v>163</v>
      </c>
      <c r="X181" s="45"/>
      <c r="Y181" s="45"/>
      <c r="Z181" s="20"/>
      <c r="AB181" s="55" t="s">
        <v>162</v>
      </c>
      <c r="AC181" s="25" t="s">
        <v>152</v>
      </c>
      <c r="AD181" s="25"/>
      <c r="AE181" s="45"/>
      <c r="AF181" s="25" t="s">
        <v>163</v>
      </c>
      <c r="AG181" s="45"/>
      <c r="AH181" s="45"/>
      <c r="AI181" s="20"/>
    </row>
    <row r="182" customFormat="false" ht="17.35" hidden="false" customHeight="false" outlineLevel="0" collapsed="false">
      <c r="A182" s="70" t="n">
        <f aca="false">(A167*B59)+E185-E179-A185</f>
        <v>4739.37968467556</v>
      </c>
      <c r="B182" s="37" t="str">
        <f aca="false">B114</f>
        <v>239.99</v>
      </c>
      <c r="C182" s="37"/>
      <c r="D182" s="45"/>
      <c r="E182" s="37" t="n">
        <f aca="false">E179+A182+B182+A185</f>
        <v>34089.3696846756</v>
      </c>
      <c r="F182" s="45"/>
      <c r="G182" s="45"/>
      <c r="H182" s="177"/>
      <c r="J182" s="70" t="e">
        <f aca="false">(J167*K59)+N185-N179-J185</f>
        <v>#VALUE!</v>
      </c>
      <c r="K182" s="37" t="n">
        <f aca="false">K114</f>
        <v>239.99</v>
      </c>
      <c r="L182" s="37"/>
      <c r="M182" s="45"/>
      <c r="N182" s="37" t="e">
        <f aca="false">N179+J182+K182+J185</f>
        <v>#VALUE!</v>
      </c>
      <c r="O182" s="45"/>
      <c r="P182" s="45"/>
      <c r="Q182" s="177"/>
      <c r="S182" s="70" t="e">
        <f aca="false">(S167*T59)+W185-W179-S185</f>
        <v>#VALUE!</v>
      </c>
      <c r="T182" s="37" t="n">
        <f aca="false">T114</f>
        <v>199.99</v>
      </c>
      <c r="U182" s="37"/>
      <c r="V182" s="45"/>
      <c r="W182" s="37" t="e">
        <f aca="false">W179+S182+T182+S185</f>
        <v>#VALUE!</v>
      </c>
      <c r="X182" s="45"/>
      <c r="Y182" s="45"/>
      <c r="Z182" s="177"/>
      <c r="AB182" s="70" t="e">
        <f aca="false">(AB167*AC59)+AF185-AF179-AB185</f>
        <v>#VALUE!</v>
      </c>
      <c r="AC182" s="37" t="n">
        <f aca="false">AC114</f>
        <v>239.99</v>
      </c>
      <c r="AD182" s="37"/>
      <c r="AE182" s="45"/>
      <c r="AF182" s="37" t="e">
        <f aca="false">AF179+AB182+AC182+AB185</f>
        <v>#VALUE!</v>
      </c>
      <c r="AG182" s="45"/>
      <c r="AH182" s="45"/>
      <c r="AI182" s="177"/>
    </row>
    <row r="183" customFormat="false" ht="17.35" hidden="false" customHeight="false" outlineLevel="0" collapsed="false">
      <c r="A183" s="55"/>
      <c r="B183" s="25"/>
      <c r="C183" s="25"/>
      <c r="D183" s="45"/>
      <c r="E183" s="25"/>
      <c r="F183" s="45"/>
      <c r="G183" s="45"/>
      <c r="H183" s="20"/>
      <c r="J183" s="55"/>
      <c r="K183" s="25"/>
      <c r="L183" s="25"/>
      <c r="M183" s="45"/>
      <c r="N183" s="25"/>
      <c r="O183" s="45"/>
      <c r="P183" s="45"/>
      <c r="Q183" s="20"/>
      <c r="S183" s="55"/>
      <c r="T183" s="25"/>
      <c r="U183" s="25"/>
      <c r="V183" s="45"/>
      <c r="W183" s="25"/>
      <c r="X183" s="45"/>
      <c r="Y183" s="45"/>
      <c r="Z183" s="20"/>
      <c r="AB183" s="55"/>
      <c r="AC183" s="25"/>
      <c r="AD183" s="25"/>
      <c r="AE183" s="45"/>
      <c r="AF183" s="25"/>
      <c r="AG183" s="45"/>
      <c r="AH183" s="45"/>
      <c r="AI183" s="20"/>
    </row>
    <row r="184" customFormat="false" ht="17.35" hidden="false" customHeight="false" outlineLevel="0" collapsed="false">
      <c r="A184" s="55" t="s">
        <v>164</v>
      </c>
      <c r="B184" s="25" t="s">
        <v>165</v>
      </c>
      <c r="C184" s="25"/>
      <c r="D184" s="45"/>
      <c r="E184" s="25" t="s">
        <v>166</v>
      </c>
      <c r="F184" s="45"/>
      <c r="G184" s="45"/>
      <c r="H184" s="20"/>
      <c r="J184" s="55" t="s">
        <v>164</v>
      </c>
      <c r="K184" s="25" t="s">
        <v>165</v>
      </c>
      <c r="L184" s="25"/>
      <c r="M184" s="45"/>
      <c r="N184" s="25" t="s">
        <v>166</v>
      </c>
      <c r="O184" s="45"/>
      <c r="P184" s="45"/>
      <c r="Q184" s="20"/>
      <c r="S184" s="55" t="s">
        <v>164</v>
      </c>
      <c r="T184" s="25" t="s">
        <v>165</v>
      </c>
      <c r="U184" s="25"/>
      <c r="V184" s="45"/>
      <c r="W184" s="25" t="s">
        <v>166</v>
      </c>
      <c r="X184" s="45"/>
      <c r="Y184" s="45"/>
      <c r="Z184" s="20"/>
      <c r="AB184" s="55" t="s">
        <v>164</v>
      </c>
      <c r="AC184" s="25" t="s">
        <v>165</v>
      </c>
      <c r="AD184" s="25"/>
      <c r="AE184" s="45"/>
      <c r="AF184" s="25" t="s">
        <v>166</v>
      </c>
      <c r="AG184" s="45"/>
      <c r="AH184" s="45"/>
      <c r="AI184" s="20"/>
    </row>
    <row r="185" customFormat="false" ht="17.35" hidden="false" customHeight="false" outlineLevel="0" collapsed="false">
      <c r="A185" s="70" t="n">
        <f aca="false">B60</f>
        <v>10</v>
      </c>
      <c r="B185" s="37" t="n">
        <f aca="false">A179+B182</f>
        <v>639.99</v>
      </c>
      <c r="C185" s="37"/>
      <c r="D185" s="45"/>
      <c r="E185" s="37" t="n">
        <f aca="false">B233</f>
        <v>2891.6983070563</v>
      </c>
      <c r="F185" s="45"/>
      <c r="G185" s="45"/>
      <c r="H185" s="177"/>
      <c r="J185" s="70" t="n">
        <f aca="false">K60</f>
        <v>20</v>
      </c>
      <c r="K185" s="37" t="n">
        <f aca="false">J179+K182</f>
        <v>1239.99</v>
      </c>
      <c r="L185" s="37"/>
      <c r="M185" s="45"/>
      <c r="N185" s="37" t="n">
        <f aca="false">N170+J185</f>
        <v>20</v>
      </c>
      <c r="O185" s="45"/>
      <c r="P185" s="45"/>
      <c r="Q185" s="177"/>
      <c r="S185" s="70" t="n">
        <f aca="false">T60</f>
        <v>10</v>
      </c>
      <c r="T185" s="37" t="n">
        <f aca="false">S179+T182</f>
        <v>1199.99</v>
      </c>
      <c r="U185" s="37"/>
      <c r="V185" s="45"/>
      <c r="W185" s="37" t="n">
        <f aca="false">W170+S185</f>
        <v>10</v>
      </c>
      <c r="X185" s="45"/>
      <c r="Y185" s="45"/>
      <c r="Z185" s="177"/>
      <c r="AB185" s="70" t="n">
        <f aca="false">AC60</f>
        <v>10</v>
      </c>
      <c r="AC185" s="37" t="n">
        <f aca="false">AB179+AC182</f>
        <v>1239.99</v>
      </c>
      <c r="AD185" s="37"/>
      <c r="AE185" s="45"/>
      <c r="AF185" s="37" t="n">
        <f aca="false">AF170+AB185</f>
        <v>10</v>
      </c>
      <c r="AG185" s="45"/>
      <c r="AH185" s="45"/>
      <c r="AI185" s="177"/>
    </row>
    <row r="186" customFormat="false" ht="17.35" hidden="false" customHeight="false" outlineLevel="0" collapsed="false">
      <c r="A186" s="55"/>
      <c r="B186" s="25"/>
      <c r="C186" s="25"/>
      <c r="D186" s="25"/>
      <c r="E186" s="45"/>
      <c r="F186" s="45"/>
      <c r="G186" s="45"/>
      <c r="H186" s="20"/>
      <c r="J186" s="55"/>
      <c r="K186" s="25"/>
      <c r="L186" s="25"/>
      <c r="M186" s="25"/>
      <c r="N186" s="45"/>
      <c r="O186" s="45"/>
      <c r="P186" s="45"/>
      <c r="Q186" s="20"/>
      <c r="S186" s="55"/>
      <c r="T186" s="25"/>
      <c r="U186" s="25"/>
      <c r="V186" s="25"/>
      <c r="W186" s="45"/>
      <c r="X186" s="178"/>
      <c r="Y186" s="178"/>
      <c r="Z186" s="20"/>
      <c r="AB186" s="55"/>
      <c r="AC186" s="25"/>
      <c r="AD186" s="25"/>
      <c r="AE186" s="25"/>
      <c r="AF186" s="45"/>
      <c r="AG186" s="45"/>
      <c r="AH186" s="45"/>
      <c r="AI186" s="20"/>
    </row>
    <row r="187" customFormat="false" ht="17.35" hidden="false" customHeight="false" outlineLevel="0" collapsed="false">
      <c r="A187" s="55" t="s">
        <v>167</v>
      </c>
      <c r="B187" s="25" t="s">
        <v>168</v>
      </c>
      <c r="C187" s="25"/>
      <c r="D187" s="25"/>
      <c r="E187" s="38" t="s">
        <v>169</v>
      </c>
      <c r="F187" s="45"/>
      <c r="G187" s="45"/>
      <c r="H187" s="20"/>
      <c r="J187" s="55" t="s">
        <v>167</v>
      </c>
      <c r="K187" s="25" t="s">
        <v>168</v>
      </c>
      <c r="L187" s="25"/>
      <c r="M187" s="25"/>
      <c r="N187" s="38" t="s">
        <v>169</v>
      </c>
      <c r="O187" s="45"/>
      <c r="P187" s="45"/>
      <c r="Q187" s="20"/>
      <c r="S187" s="55" t="s">
        <v>167</v>
      </c>
      <c r="T187" s="25" t="s">
        <v>168</v>
      </c>
      <c r="U187" s="25"/>
      <c r="V187" s="25"/>
      <c r="W187" s="38" t="s">
        <v>169</v>
      </c>
      <c r="X187" s="178"/>
      <c r="Y187" s="178"/>
      <c r="Z187" s="20"/>
      <c r="AB187" s="55" t="s">
        <v>167</v>
      </c>
      <c r="AC187" s="25" t="s">
        <v>168</v>
      </c>
      <c r="AD187" s="25"/>
      <c r="AE187" s="25"/>
      <c r="AF187" s="38" t="s">
        <v>169</v>
      </c>
      <c r="AG187" s="178"/>
      <c r="AH187" s="178"/>
      <c r="AI187" s="20"/>
    </row>
    <row r="188" customFormat="false" ht="17.35" hidden="false" customHeight="false" outlineLevel="0" collapsed="false">
      <c r="A188" s="70" t="n">
        <f aca="false">IF(E105="YES", B61*0.000002, 0)*100</f>
        <v>7.481</v>
      </c>
      <c r="B188" s="37" t="n">
        <f aca="false">(G158*B67)/1.2</f>
        <v>121.25</v>
      </c>
      <c r="C188" s="25"/>
      <c r="D188" s="25"/>
      <c r="E188" s="37" t="n">
        <f aca="false">(E40*A108)*0.1</f>
        <v>14.25</v>
      </c>
      <c r="F188" s="45"/>
      <c r="G188" s="45"/>
      <c r="H188" s="20"/>
      <c r="J188" s="70" t="n">
        <f aca="false">IF(N105="YES", H15*0.000002, 0)</f>
        <v>0</v>
      </c>
      <c r="K188" s="37" t="e">
        <f aca="false">(P158*K67)/1.2</f>
        <v>#VALUE!</v>
      </c>
      <c r="L188" s="25"/>
      <c r="M188" s="25"/>
      <c r="N188" s="37" t="n">
        <f aca="false">(E40*J108)*0.1</f>
        <v>14.25</v>
      </c>
      <c r="O188" s="45"/>
      <c r="P188" s="45"/>
      <c r="Q188" s="20"/>
      <c r="S188" s="70" t="n">
        <f aca="false">IF(W105="YES", Z15*0.000002, 0)</f>
        <v>0</v>
      </c>
      <c r="T188" s="37" t="e">
        <f aca="false">(Y158*T67)/1.2</f>
        <v>#VALUE!</v>
      </c>
      <c r="U188" s="25"/>
      <c r="V188" s="25"/>
      <c r="W188" s="37" t="n">
        <f aca="false">(E40*S108)*0.1</f>
        <v>9.5</v>
      </c>
      <c r="X188" s="178"/>
      <c r="Y188" s="178"/>
      <c r="Z188" s="20"/>
      <c r="AB188" s="70" t="n">
        <f aca="false">IF(AF105="YES", AI15*0.000002, 0)</f>
        <v>0</v>
      </c>
      <c r="AC188" s="37" t="e">
        <f aca="false">(AH158*AC67)/1.2</f>
        <v>#VALUE!</v>
      </c>
      <c r="AD188" s="25"/>
      <c r="AE188" s="25"/>
      <c r="AF188" s="37" t="n">
        <f aca="false">(E40*AB108)*0.1</f>
        <v>9.5</v>
      </c>
      <c r="AG188" s="178"/>
      <c r="AH188" s="178"/>
      <c r="AI188" s="20"/>
    </row>
    <row r="189" customFormat="false" ht="17.35" hidden="false" customHeight="false" outlineLevel="0" collapsed="false">
      <c r="A189" s="70"/>
      <c r="B189" s="37"/>
      <c r="C189" s="25"/>
      <c r="D189" s="25"/>
      <c r="E189" s="45"/>
      <c r="F189" s="45"/>
      <c r="G189" s="45"/>
      <c r="H189" s="20"/>
      <c r="J189" s="70"/>
      <c r="K189" s="37"/>
      <c r="L189" s="25"/>
      <c r="M189" s="25"/>
      <c r="N189" s="45"/>
      <c r="O189" s="45"/>
      <c r="P189" s="45"/>
      <c r="Q189" s="20"/>
      <c r="S189" s="70"/>
      <c r="T189" s="37"/>
      <c r="U189" s="25"/>
      <c r="V189" s="25"/>
      <c r="W189" s="45"/>
      <c r="X189" s="178"/>
      <c r="Y189" s="178"/>
      <c r="Z189" s="20"/>
      <c r="AB189" s="70"/>
      <c r="AC189" s="37"/>
      <c r="AD189" s="25"/>
      <c r="AE189" s="25"/>
      <c r="AF189" s="45"/>
      <c r="AG189" s="178"/>
      <c r="AH189" s="178"/>
      <c r="AI189" s="20"/>
    </row>
    <row r="190" customFormat="false" ht="17.35" hidden="false" customHeight="false" outlineLevel="0" collapsed="false">
      <c r="A190" s="78" t="s">
        <v>170</v>
      </c>
      <c r="B190" s="38" t="s">
        <v>171</v>
      </c>
      <c r="C190" s="25"/>
      <c r="D190" s="25"/>
      <c r="E190" s="38" t="s">
        <v>172</v>
      </c>
      <c r="F190" s="45"/>
      <c r="G190" s="45"/>
      <c r="H190" s="20"/>
      <c r="J190" s="78" t="s">
        <v>170</v>
      </c>
      <c r="K190" s="38" t="s">
        <v>171</v>
      </c>
      <c r="L190" s="25"/>
      <c r="M190" s="25"/>
      <c r="N190" s="38" t="s">
        <v>172</v>
      </c>
      <c r="O190" s="45"/>
      <c r="P190" s="45"/>
      <c r="Q190" s="20"/>
      <c r="S190" s="78" t="s">
        <v>170</v>
      </c>
      <c r="T190" s="38" t="s">
        <v>171</v>
      </c>
      <c r="U190" s="25"/>
      <c r="V190" s="25"/>
      <c r="W190" s="38" t="s">
        <v>172</v>
      </c>
      <c r="X190" s="178"/>
      <c r="Y190" s="178"/>
      <c r="Z190" s="20"/>
      <c r="AB190" s="78" t="s">
        <v>170</v>
      </c>
      <c r="AC190" s="38" t="s">
        <v>171</v>
      </c>
      <c r="AD190" s="25"/>
      <c r="AE190" s="25"/>
      <c r="AF190" s="38" t="s">
        <v>172</v>
      </c>
      <c r="AG190" s="178"/>
      <c r="AH190" s="178"/>
      <c r="AI190" s="20"/>
    </row>
    <row r="191" customFormat="false" ht="17.35" hidden="false" customHeight="false" outlineLevel="0" collapsed="false">
      <c r="A191" s="70" t="n">
        <f aca="false">B182/1.2-100</f>
        <v>99.9916666666667</v>
      </c>
      <c r="B191" s="37" t="n">
        <f aca="false">B188+E188+A191</f>
        <v>235.491666666667</v>
      </c>
      <c r="C191" s="25"/>
      <c r="D191" s="25"/>
      <c r="E191" s="37" t="n">
        <f aca="false">H148</f>
        <v>1875</v>
      </c>
      <c r="F191" s="45"/>
      <c r="G191" s="45"/>
      <c r="H191" s="20"/>
      <c r="J191" s="70" t="n">
        <f aca="false">K185-100</f>
        <v>1139.99</v>
      </c>
      <c r="K191" s="37" t="e">
        <f aca="false">K188+N188+J191</f>
        <v>#VALUE!</v>
      </c>
      <c r="L191" s="25"/>
      <c r="M191" s="25"/>
      <c r="N191" s="37" t="e">
        <f aca="false">Q148</f>
        <v>#VALUE!</v>
      </c>
      <c r="O191" s="45"/>
      <c r="P191" s="45"/>
      <c r="Q191" s="20"/>
      <c r="S191" s="70" t="n">
        <f aca="false">T185-100</f>
        <v>1099.99</v>
      </c>
      <c r="T191" s="37" t="e">
        <f aca="false">T188+W188+S191</f>
        <v>#VALUE!</v>
      </c>
      <c r="U191" s="25"/>
      <c r="V191" s="25"/>
      <c r="W191" s="37" t="e">
        <f aca="false">Z148</f>
        <v>#VALUE!</v>
      </c>
      <c r="X191" s="178"/>
      <c r="Y191" s="178"/>
      <c r="Z191" s="20"/>
      <c r="AB191" s="70" t="n">
        <f aca="false">AC185-100</f>
        <v>1139.99</v>
      </c>
      <c r="AC191" s="37" t="e">
        <f aca="false">AC188+AF188+AB191</f>
        <v>#VALUE!</v>
      </c>
      <c r="AD191" s="25"/>
      <c r="AE191" s="25"/>
      <c r="AF191" s="37" t="e">
        <f aca="false">AI148</f>
        <v>#VALUE!</v>
      </c>
      <c r="AG191" s="178"/>
      <c r="AH191" s="178"/>
      <c r="AI191" s="20"/>
    </row>
    <row r="192" customFormat="false" ht="17.35" hidden="false" customHeight="false" outlineLevel="0" collapsed="false">
      <c r="A192" s="55"/>
      <c r="B192" s="25"/>
      <c r="C192" s="25"/>
      <c r="D192" s="25"/>
      <c r="E192" s="45"/>
      <c r="F192" s="45"/>
      <c r="G192" s="45"/>
      <c r="H192" s="20"/>
      <c r="J192" s="55"/>
      <c r="K192" s="25"/>
      <c r="L192" s="25"/>
      <c r="M192" s="25"/>
      <c r="N192" s="45"/>
      <c r="O192" s="45"/>
      <c r="P192" s="45"/>
      <c r="Q192" s="20"/>
      <c r="S192" s="55"/>
      <c r="T192" s="25"/>
      <c r="U192" s="25"/>
      <c r="V192" s="25"/>
      <c r="W192" s="45"/>
      <c r="X192" s="45"/>
      <c r="Y192" s="45"/>
      <c r="Z192" s="20"/>
      <c r="AB192" s="55"/>
      <c r="AC192" s="25"/>
      <c r="AD192" s="25"/>
      <c r="AE192" s="25"/>
      <c r="AF192" s="45"/>
      <c r="AG192" s="45"/>
      <c r="AH192" s="45"/>
      <c r="AI192" s="20"/>
    </row>
    <row r="193" customFormat="false" ht="17.35" hidden="false" customHeight="false" outlineLevel="0" collapsed="false">
      <c r="A193" s="83" t="s">
        <v>173</v>
      </c>
      <c r="B193" s="25"/>
      <c r="C193" s="25"/>
      <c r="D193" s="84"/>
      <c r="E193" s="84"/>
      <c r="F193" s="84"/>
      <c r="G193" s="84"/>
      <c r="H193" s="85"/>
      <c r="J193" s="83" t="s">
        <v>173</v>
      </c>
      <c r="K193" s="25"/>
      <c r="L193" s="25"/>
      <c r="M193" s="84"/>
      <c r="N193" s="84"/>
      <c r="O193" s="84"/>
      <c r="P193" s="84"/>
      <c r="Q193" s="85"/>
      <c r="S193" s="83" t="s">
        <v>173</v>
      </c>
      <c r="T193" s="25"/>
      <c r="U193" s="25"/>
      <c r="V193" s="84"/>
      <c r="W193" s="84"/>
      <c r="X193" s="84"/>
      <c r="Y193" s="84"/>
      <c r="Z193" s="85"/>
      <c r="AB193" s="83" t="s">
        <v>173</v>
      </c>
      <c r="AC193" s="25"/>
      <c r="AD193" s="25"/>
      <c r="AE193" s="84"/>
      <c r="AF193" s="84"/>
      <c r="AG193" s="84"/>
      <c r="AH193" s="84"/>
      <c r="AI193" s="85"/>
    </row>
    <row r="194" customFormat="false" ht="17.35" hidden="false" customHeight="false" outlineLevel="0" collapsed="false">
      <c r="A194" s="55"/>
      <c r="B194" s="87"/>
      <c r="C194" s="87"/>
      <c r="D194" s="25"/>
      <c r="E194" s="45"/>
      <c r="F194" s="45"/>
      <c r="G194" s="45"/>
      <c r="H194" s="20"/>
      <c r="J194" s="55"/>
      <c r="K194" s="87"/>
      <c r="L194" s="87"/>
      <c r="M194" s="25"/>
      <c r="N194" s="45"/>
      <c r="O194" s="45"/>
      <c r="P194" s="45"/>
      <c r="Q194" s="20"/>
      <c r="S194" s="55"/>
      <c r="T194" s="87"/>
      <c r="U194" s="87"/>
      <c r="V194" s="25"/>
      <c r="W194" s="45"/>
      <c r="X194" s="45"/>
      <c r="Y194" s="45"/>
      <c r="Z194" s="20"/>
      <c r="AB194" s="55"/>
      <c r="AC194" s="87"/>
      <c r="AD194" s="87"/>
      <c r="AE194" s="25"/>
      <c r="AF194" s="45"/>
      <c r="AG194" s="45"/>
      <c r="AH194" s="45"/>
      <c r="AI194" s="20"/>
    </row>
    <row r="195" customFormat="false" ht="19.7" hidden="false" customHeight="false" outlineLevel="0" collapsed="false">
      <c r="A195" s="88" t="s">
        <v>28</v>
      </c>
      <c r="B195" s="89" t="s">
        <v>33</v>
      </c>
      <c r="C195" s="89"/>
      <c r="D195" s="89"/>
      <c r="E195" s="45"/>
      <c r="F195" s="45"/>
      <c r="G195" s="45"/>
      <c r="H195" s="20"/>
      <c r="J195" s="88" t="s">
        <v>28</v>
      </c>
      <c r="K195" s="89" t="s">
        <v>33</v>
      </c>
      <c r="L195" s="89"/>
      <c r="M195" s="89"/>
      <c r="N195" s="45"/>
      <c r="O195" s="45"/>
      <c r="P195" s="45"/>
      <c r="Q195" s="20"/>
      <c r="S195" s="88" t="s">
        <v>28</v>
      </c>
      <c r="T195" s="89" t="s">
        <v>33</v>
      </c>
      <c r="U195" s="89"/>
      <c r="V195" s="89"/>
      <c r="W195" s="45"/>
      <c r="X195" s="45"/>
      <c r="Y195" s="45"/>
      <c r="Z195" s="20"/>
      <c r="AB195" s="88" t="s">
        <v>28</v>
      </c>
      <c r="AC195" s="89" t="s">
        <v>33</v>
      </c>
      <c r="AD195" s="89"/>
      <c r="AE195" s="89"/>
      <c r="AF195" s="45"/>
      <c r="AG195" s="45"/>
      <c r="AH195" s="45"/>
      <c r="AI195" s="20"/>
    </row>
    <row r="196" customFormat="false" ht="19.5" hidden="false" customHeight="true" outlineLevel="0" collapsed="false">
      <c r="A196" s="88"/>
      <c r="B196" s="90" t="n">
        <f aca="false">K30</f>
        <v>10000</v>
      </c>
      <c r="C196" s="90"/>
      <c r="D196" s="90"/>
      <c r="E196" s="45"/>
      <c r="F196" s="45"/>
      <c r="G196" s="45"/>
      <c r="H196" s="20"/>
      <c r="J196" s="88"/>
      <c r="K196" s="90" t="n">
        <f aca="false">K30</f>
        <v>10000</v>
      </c>
      <c r="L196" s="90"/>
      <c r="M196" s="90"/>
      <c r="N196" s="45"/>
      <c r="O196" s="45"/>
      <c r="P196" s="45"/>
      <c r="Q196" s="20"/>
      <c r="S196" s="88"/>
      <c r="T196" s="90" t="n">
        <f aca="false">K30</f>
        <v>10000</v>
      </c>
      <c r="U196" s="90"/>
      <c r="V196" s="90"/>
      <c r="W196" s="45"/>
      <c r="X196" s="45"/>
      <c r="Y196" s="45"/>
      <c r="Z196" s="20"/>
      <c r="AB196" s="88"/>
      <c r="AC196" s="90" t="n">
        <f aca="false">K30</f>
        <v>10000</v>
      </c>
      <c r="AD196" s="90"/>
      <c r="AE196" s="90"/>
      <c r="AF196" s="45"/>
      <c r="AG196" s="45"/>
      <c r="AH196" s="45"/>
      <c r="AI196" s="20"/>
    </row>
    <row r="197" customFormat="false" ht="17.35" hidden="false" customHeight="false" outlineLevel="0" collapsed="false">
      <c r="A197" s="91" t="n">
        <f aca="false">K29</f>
        <v>12</v>
      </c>
      <c r="B197" s="92" t="n">
        <f aca="false">B96</f>
        <v>2881.6983070563</v>
      </c>
      <c r="C197" s="92"/>
      <c r="D197" s="92"/>
      <c r="E197" s="45"/>
      <c r="F197" s="45"/>
      <c r="G197" s="45"/>
      <c r="H197" s="20"/>
      <c r="J197" s="91" t="n">
        <f aca="false">K29</f>
        <v>12</v>
      </c>
      <c r="K197" s="92" t="e">
        <f aca="false">K96</f>
        <v>#VALUE!</v>
      </c>
      <c r="L197" s="92"/>
      <c r="M197" s="92"/>
      <c r="N197" s="45"/>
      <c r="O197" s="45"/>
      <c r="P197" s="45"/>
      <c r="Q197" s="20"/>
      <c r="S197" s="91" t="n">
        <f aca="false">K29</f>
        <v>12</v>
      </c>
      <c r="T197" s="92" t="e">
        <f aca="false">T96</f>
        <v>#VALUE!</v>
      </c>
      <c r="U197" s="92"/>
      <c r="V197" s="92"/>
      <c r="W197" s="45"/>
      <c r="X197" s="45"/>
      <c r="Y197" s="45"/>
      <c r="Z197" s="20"/>
      <c r="AB197" s="91" t="n">
        <f aca="false">K29</f>
        <v>12</v>
      </c>
      <c r="AC197" s="92" t="e">
        <f aca="false">AC96</f>
        <v>#VALUE!</v>
      </c>
      <c r="AD197" s="92"/>
      <c r="AE197" s="92"/>
      <c r="AF197" s="45"/>
      <c r="AG197" s="45"/>
      <c r="AH197" s="45"/>
      <c r="AI197" s="20"/>
    </row>
    <row r="198" customFormat="false" ht="17.35" hidden="false" customHeight="false" outlineLevel="0" collapsed="false">
      <c r="A198" s="55"/>
      <c r="B198" s="25"/>
      <c r="C198" s="25"/>
      <c r="D198" s="25"/>
      <c r="E198" s="45"/>
      <c r="F198" s="45"/>
      <c r="G198" s="45"/>
      <c r="H198" s="20"/>
      <c r="J198" s="55"/>
      <c r="K198" s="25"/>
      <c r="L198" s="25"/>
      <c r="M198" s="25"/>
      <c r="N198" s="45"/>
      <c r="O198" s="45"/>
      <c r="P198" s="45"/>
      <c r="Q198" s="20"/>
      <c r="S198" s="55"/>
      <c r="T198" s="25"/>
      <c r="U198" s="25"/>
      <c r="V198" s="25"/>
      <c r="W198" s="45"/>
      <c r="X198" s="45"/>
      <c r="Y198" s="45"/>
      <c r="Z198" s="20"/>
      <c r="AB198" s="55"/>
      <c r="AC198" s="25"/>
      <c r="AD198" s="25"/>
      <c r="AE198" s="25"/>
      <c r="AF198" s="45"/>
      <c r="AG198" s="45"/>
      <c r="AH198" s="45"/>
      <c r="AI198" s="20"/>
    </row>
    <row r="199" customFormat="false" ht="17.35" hidden="false" customHeight="false" outlineLevel="0" collapsed="false">
      <c r="A199" s="55"/>
      <c r="B199" s="25"/>
      <c r="C199" s="25"/>
      <c r="D199" s="25"/>
      <c r="E199" s="45"/>
      <c r="F199" s="45"/>
      <c r="G199" s="45"/>
      <c r="H199" s="20"/>
      <c r="J199" s="55"/>
      <c r="K199" s="25"/>
      <c r="L199" s="25"/>
      <c r="M199" s="25"/>
      <c r="N199" s="45"/>
      <c r="O199" s="45"/>
      <c r="P199" s="45"/>
      <c r="Q199" s="20"/>
      <c r="S199" s="55"/>
      <c r="T199" s="25"/>
      <c r="U199" s="25"/>
      <c r="V199" s="25"/>
      <c r="W199" s="45"/>
      <c r="X199" s="45"/>
      <c r="Y199" s="45"/>
      <c r="Z199" s="20"/>
      <c r="AB199" s="55"/>
      <c r="AC199" s="25"/>
      <c r="AD199" s="25"/>
      <c r="AE199" s="25"/>
      <c r="AF199" s="45"/>
      <c r="AG199" s="45"/>
      <c r="AH199" s="45"/>
      <c r="AI199" s="20"/>
    </row>
    <row r="200" customFormat="false" ht="17.35" hidden="false" customHeight="false" outlineLevel="0" collapsed="false">
      <c r="A200" s="55"/>
      <c r="B200" s="25"/>
      <c r="C200" s="25"/>
      <c r="D200" s="25"/>
      <c r="E200" s="45"/>
      <c r="F200" s="45"/>
      <c r="G200" s="45"/>
      <c r="H200" s="20"/>
      <c r="J200" s="55"/>
      <c r="K200" s="25"/>
      <c r="L200" s="25"/>
      <c r="M200" s="25"/>
      <c r="N200" s="45"/>
      <c r="O200" s="45"/>
      <c r="P200" s="45"/>
      <c r="Q200" s="20"/>
      <c r="S200" s="55"/>
      <c r="T200" s="25"/>
      <c r="U200" s="25"/>
      <c r="V200" s="25"/>
      <c r="W200" s="45"/>
      <c r="X200" s="45"/>
      <c r="Y200" s="45"/>
      <c r="Z200" s="20"/>
      <c r="AB200" s="55"/>
      <c r="AC200" s="25"/>
      <c r="AD200" s="25"/>
      <c r="AE200" s="25"/>
      <c r="AF200" s="45"/>
      <c r="AG200" s="45"/>
      <c r="AH200" s="45"/>
      <c r="AI200" s="20"/>
    </row>
    <row r="201" customFormat="false" ht="17.35" hidden="false" customHeight="false" outlineLevel="0" collapsed="false">
      <c r="A201" s="55"/>
      <c r="B201" s="25"/>
      <c r="C201" s="25"/>
      <c r="D201" s="25"/>
      <c r="E201" s="45"/>
      <c r="F201" s="45"/>
      <c r="G201" s="45"/>
      <c r="H201" s="20"/>
      <c r="J201" s="55"/>
      <c r="K201" s="25"/>
      <c r="L201" s="25"/>
      <c r="M201" s="25"/>
      <c r="N201" s="45"/>
      <c r="O201" s="45"/>
      <c r="P201" s="45"/>
      <c r="Q201" s="20"/>
      <c r="S201" s="55"/>
      <c r="T201" s="25"/>
      <c r="U201" s="25"/>
      <c r="V201" s="25"/>
      <c r="W201" s="45"/>
      <c r="X201" s="45"/>
      <c r="Y201" s="45"/>
      <c r="Z201" s="20"/>
      <c r="AB201" s="55"/>
      <c r="AC201" s="25"/>
      <c r="AD201" s="25"/>
      <c r="AE201" s="25"/>
      <c r="AF201" s="45"/>
      <c r="AG201" s="45"/>
      <c r="AH201" s="45"/>
      <c r="AI201" s="20"/>
    </row>
    <row r="202" customFormat="false" ht="17.35" hidden="false" customHeight="false" outlineLevel="0" collapsed="false">
      <c r="A202" s="74"/>
      <c r="B202" s="75"/>
      <c r="C202" s="75"/>
      <c r="D202" s="75"/>
      <c r="E202" s="75"/>
      <c r="F202" s="75"/>
      <c r="G202" s="75"/>
      <c r="H202" s="82"/>
      <c r="J202" s="74"/>
      <c r="K202" s="75"/>
      <c r="L202" s="75"/>
      <c r="M202" s="75"/>
      <c r="N202" s="75"/>
      <c r="O202" s="75"/>
      <c r="P202" s="75"/>
      <c r="Q202" s="82"/>
      <c r="S202" s="74"/>
      <c r="T202" s="75"/>
      <c r="U202" s="75"/>
      <c r="V202" s="75"/>
      <c r="W202" s="75"/>
      <c r="X202" s="75"/>
      <c r="Y202" s="75"/>
      <c r="Z202" s="82"/>
      <c r="AB202" s="74"/>
      <c r="AC202" s="75"/>
      <c r="AD202" s="75"/>
      <c r="AE202" s="75"/>
      <c r="AF202" s="75"/>
      <c r="AG202" s="75"/>
      <c r="AH202" s="75"/>
      <c r="AI202" s="82"/>
    </row>
    <row r="206" customFormat="false" ht="22.05" hidden="false" customHeight="false" outlineLevel="0" collapsed="false">
      <c r="A206" s="179" t="s">
        <v>153</v>
      </c>
      <c r="B206" s="179"/>
      <c r="C206" s="179"/>
      <c r="D206" s="179"/>
      <c r="E206" s="179"/>
      <c r="F206" s="179"/>
      <c r="G206" s="179"/>
      <c r="H206" s="179"/>
    </row>
    <row r="207" customFormat="false" ht="17.35" hidden="false" customHeight="false" outlineLevel="0" collapsed="false">
      <c r="A207" s="55"/>
      <c r="B207" s="25"/>
      <c r="C207" s="25"/>
      <c r="D207" s="25"/>
      <c r="E207" s="94"/>
      <c r="F207" s="94"/>
      <c r="G207" s="94"/>
      <c r="H207" s="20"/>
    </row>
    <row r="208" customFormat="false" ht="17.35" hidden="false" customHeight="false" outlineLevel="0" collapsed="false">
      <c r="A208" s="180" t="s">
        <v>98</v>
      </c>
      <c r="B208" s="181" t="s">
        <v>174</v>
      </c>
      <c r="C208" s="181"/>
      <c r="D208" s="181"/>
      <c r="E208" s="181" t="s">
        <v>175</v>
      </c>
      <c r="F208" s="182"/>
      <c r="G208" s="94"/>
      <c r="H208" s="20"/>
    </row>
    <row r="209" customFormat="false" ht="17.35" hidden="false" customHeight="false" outlineLevel="0" collapsed="false">
      <c r="A209" s="183" t="s">
        <v>176</v>
      </c>
      <c r="B209" s="170" t="n">
        <f aca="false">A197</f>
        <v>12</v>
      </c>
      <c r="C209" s="170"/>
      <c r="D209" s="170"/>
      <c r="E209" s="170" t="n">
        <f aca="false">B196</f>
        <v>10000</v>
      </c>
      <c r="F209" s="182"/>
      <c r="G209" s="94"/>
      <c r="H209" s="20"/>
    </row>
    <row r="210" customFormat="false" ht="17.35" hidden="false" customHeight="false" outlineLevel="0" collapsed="false">
      <c r="A210" s="55"/>
      <c r="B210" s="25"/>
      <c r="C210" s="25"/>
      <c r="D210" s="25"/>
      <c r="E210" s="94"/>
      <c r="F210" s="94"/>
      <c r="G210" s="94"/>
      <c r="H210" s="20"/>
    </row>
    <row r="211" customFormat="false" ht="17.35" hidden="false" customHeight="false" outlineLevel="0" collapsed="false">
      <c r="A211" s="180" t="s">
        <v>154</v>
      </c>
      <c r="B211" s="181" t="s">
        <v>155</v>
      </c>
      <c r="C211" s="181"/>
      <c r="D211" s="181"/>
      <c r="E211" s="181" t="s">
        <v>156</v>
      </c>
      <c r="F211" s="94"/>
      <c r="G211" s="94"/>
      <c r="H211" s="20"/>
    </row>
    <row r="212" customFormat="false" ht="17.35" hidden="false" customHeight="false" outlineLevel="0" collapsed="false">
      <c r="A212" s="173" t="n">
        <f aca="false">A167</f>
        <v>2814.33467069266</v>
      </c>
      <c r="B212" s="172" t="n">
        <f aca="false">B167</f>
        <v>67.3636363636364</v>
      </c>
      <c r="C212" s="170"/>
      <c r="D212" s="170"/>
      <c r="E212" s="172" t="n">
        <f aca="false">E167</f>
        <v>2881.6983070563</v>
      </c>
      <c r="F212" s="94"/>
      <c r="G212" s="94"/>
      <c r="H212" s="20"/>
    </row>
    <row r="213" customFormat="false" ht="17.35" hidden="false" customHeight="false" outlineLevel="0" collapsed="false">
      <c r="A213" s="55"/>
      <c r="B213" s="25"/>
      <c r="C213" s="25"/>
      <c r="D213" s="25"/>
      <c r="E213" s="94"/>
      <c r="F213" s="94"/>
      <c r="G213" s="94"/>
      <c r="H213" s="20"/>
    </row>
    <row r="214" customFormat="false" ht="17.35" hidden="false" customHeight="false" outlineLevel="0" collapsed="false">
      <c r="A214" s="55" t="s">
        <v>158</v>
      </c>
      <c r="B214" s="25" t="s">
        <v>159</v>
      </c>
      <c r="C214" s="25"/>
      <c r="D214" s="94"/>
      <c r="E214" s="25" t="s">
        <v>160</v>
      </c>
      <c r="F214" s="94"/>
      <c r="G214" s="94"/>
      <c r="H214" s="20"/>
    </row>
    <row r="215" customFormat="false" ht="17.35" hidden="false" customHeight="false" outlineLevel="0" collapsed="false">
      <c r="A215" s="69" t="n">
        <f aca="false">A173</f>
        <v>25000</v>
      </c>
      <c r="B215" s="37" t="n">
        <f aca="false">B173</f>
        <v>5000</v>
      </c>
      <c r="C215" s="67"/>
      <c r="D215" s="94"/>
      <c r="E215" s="73" t="n">
        <f aca="false">E173</f>
        <v>0</v>
      </c>
      <c r="F215" s="94"/>
      <c r="G215" s="94"/>
      <c r="H215" s="20"/>
    </row>
    <row r="216" customFormat="false" ht="17.35" hidden="false" customHeight="false" outlineLevel="0" collapsed="false">
      <c r="A216" s="55"/>
      <c r="B216" s="25"/>
      <c r="C216" s="25"/>
      <c r="D216" s="94"/>
      <c r="E216" s="25"/>
      <c r="F216" s="94"/>
      <c r="G216" s="94"/>
      <c r="H216" s="20"/>
    </row>
    <row r="217" customFormat="false" ht="17.35" hidden="false" customHeight="false" outlineLevel="0" collapsed="false">
      <c r="A217" s="55" t="s">
        <v>161</v>
      </c>
      <c r="B217" s="25" t="s">
        <v>108</v>
      </c>
      <c r="C217" s="25"/>
      <c r="D217" s="94"/>
      <c r="E217" s="25" t="s">
        <v>109</v>
      </c>
      <c r="F217" s="94"/>
      <c r="G217" s="94"/>
      <c r="H217" s="20"/>
    </row>
    <row r="218" customFormat="false" ht="17.35" hidden="false" customHeight="false" outlineLevel="0" collapsed="false">
      <c r="A218" s="69" t="n">
        <f aca="false">A176</f>
        <v>30000</v>
      </c>
      <c r="B218" s="37" t="n">
        <f aca="false">B176</f>
        <v>200</v>
      </c>
      <c r="C218" s="37"/>
      <c r="D218" s="94"/>
      <c r="E218" s="37" t="n">
        <f aca="false">E176</f>
        <v>200</v>
      </c>
      <c r="F218" s="94"/>
      <c r="G218" s="94"/>
      <c r="H218" s="177"/>
    </row>
    <row r="219" customFormat="false" ht="17.35" hidden="false" customHeight="false" outlineLevel="0" collapsed="false">
      <c r="A219" s="55"/>
      <c r="B219" s="25"/>
      <c r="C219" s="25"/>
      <c r="D219" s="94"/>
      <c r="E219" s="25"/>
      <c r="F219" s="94"/>
      <c r="G219" s="94"/>
      <c r="H219" s="20"/>
    </row>
    <row r="220" customFormat="false" ht="17.35" hidden="false" customHeight="false" outlineLevel="0" collapsed="false">
      <c r="A220" s="55" t="s">
        <v>110</v>
      </c>
      <c r="B220" s="25" t="s">
        <v>146</v>
      </c>
      <c r="C220" s="25"/>
      <c r="D220" s="94"/>
      <c r="E220" s="25" t="s">
        <v>151</v>
      </c>
      <c r="F220" s="94"/>
      <c r="G220" s="94"/>
      <c r="H220" s="20"/>
    </row>
    <row r="221" customFormat="false" ht="17.35" hidden="false" customHeight="false" outlineLevel="0" collapsed="false">
      <c r="A221" s="70" t="n">
        <f aca="false">A179</f>
        <v>400</v>
      </c>
      <c r="B221" s="37" t="n">
        <f aca="false">B179</f>
        <v>500</v>
      </c>
      <c r="C221" s="37"/>
      <c r="D221" s="94"/>
      <c r="E221" s="37" t="n">
        <f aca="false">E179</f>
        <v>29100</v>
      </c>
      <c r="F221" s="94"/>
      <c r="G221" s="94"/>
      <c r="H221" s="177"/>
    </row>
    <row r="222" customFormat="false" ht="17.35" hidden="false" customHeight="false" outlineLevel="0" collapsed="false">
      <c r="A222" s="55"/>
      <c r="B222" s="25"/>
      <c r="C222" s="25"/>
      <c r="D222" s="94"/>
      <c r="E222" s="25"/>
      <c r="F222" s="94"/>
      <c r="G222" s="94"/>
      <c r="H222" s="20"/>
    </row>
    <row r="223" customFormat="false" ht="17.35" hidden="false" customHeight="false" outlineLevel="0" collapsed="false">
      <c r="A223" s="55" t="s">
        <v>162</v>
      </c>
      <c r="B223" s="25" t="s">
        <v>152</v>
      </c>
      <c r="C223" s="25"/>
      <c r="D223" s="94"/>
      <c r="E223" s="25" t="s">
        <v>163</v>
      </c>
      <c r="F223" s="94"/>
      <c r="G223" s="94"/>
      <c r="H223" s="20"/>
    </row>
    <row r="224" customFormat="false" ht="17.35" hidden="false" customHeight="false" outlineLevel="0" collapsed="false">
      <c r="A224" s="70" t="n">
        <f aca="false">A182</f>
        <v>4739.37968467556</v>
      </c>
      <c r="B224" s="37" t="str">
        <f aca="false">B182</f>
        <v>239.99</v>
      </c>
      <c r="C224" s="37"/>
      <c r="D224" s="94"/>
      <c r="E224" s="37" t="n">
        <f aca="false">E182</f>
        <v>34089.3696846756</v>
      </c>
      <c r="F224" s="94"/>
      <c r="G224" s="94"/>
      <c r="H224" s="177"/>
    </row>
    <row r="225" customFormat="false" ht="17.35" hidden="false" customHeight="false" outlineLevel="0" collapsed="false">
      <c r="A225" s="55"/>
      <c r="B225" s="25"/>
      <c r="C225" s="25"/>
      <c r="D225" s="94"/>
      <c r="E225" s="25"/>
      <c r="F225" s="94"/>
      <c r="G225" s="94"/>
      <c r="H225" s="20"/>
    </row>
    <row r="226" customFormat="false" ht="17.35" hidden="false" customHeight="false" outlineLevel="0" collapsed="false">
      <c r="A226" s="55" t="s">
        <v>164</v>
      </c>
      <c r="B226" s="25" t="s">
        <v>165</v>
      </c>
      <c r="C226" s="25"/>
      <c r="D226" s="94"/>
      <c r="E226" s="25" t="s">
        <v>177</v>
      </c>
      <c r="F226" s="94"/>
      <c r="G226" s="94"/>
      <c r="H226" s="20"/>
    </row>
    <row r="227" customFormat="false" ht="17.35" hidden="false" customHeight="false" outlineLevel="0" collapsed="false">
      <c r="A227" s="70" t="n">
        <f aca="false">A185</f>
        <v>10</v>
      </c>
      <c r="B227" s="37" t="n">
        <f aca="false">B185</f>
        <v>639.99</v>
      </c>
      <c r="C227" s="37"/>
      <c r="D227" s="94"/>
      <c r="E227" s="37" t="n">
        <f aca="false">B59</f>
        <v>11</v>
      </c>
      <c r="F227" s="94"/>
      <c r="G227" s="94"/>
      <c r="H227" s="177"/>
    </row>
    <row r="228" customFormat="false" ht="17.35" hidden="false" customHeight="false" outlineLevel="0" collapsed="false">
      <c r="A228" s="55"/>
      <c r="B228" s="25"/>
      <c r="C228" s="25"/>
      <c r="D228" s="25"/>
      <c r="E228" s="94"/>
      <c r="F228" s="94"/>
      <c r="G228" s="94"/>
      <c r="H228" s="20"/>
    </row>
    <row r="229" customFormat="false" ht="17.35" hidden="false" customHeight="false" outlineLevel="0" collapsed="false">
      <c r="A229" s="55" t="s">
        <v>154</v>
      </c>
      <c r="B229" s="25" t="s">
        <v>155</v>
      </c>
      <c r="C229" s="25"/>
      <c r="D229" s="25"/>
      <c r="E229" s="25" t="s">
        <v>156</v>
      </c>
      <c r="F229" s="94"/>
      <c r="G229" s="94"/>
      <c r="H229" s="20"/>
    </row>
    <row r="230" customFormat="false" ht="17.35" hidden="false" customHeight="false" outlineLevel="0" collapsed="false">
      <c r="A230" s="70" t="n">
        <f aca="false">A167</f>
        <v>2814.33467069266</v>
      </c>
      <c r="B230" s="37" t="n">
        <f aca="false">B167</f>
        <v>67.3636363636364</v>
      </c>
      <c r="C230" s="67"/>
      <c r="D230" s="67"/>
      <c r="E230" s="37" t="n">
        <f aca="false">E167</f>
        <v>2881.6983070563</v>
      </c>
      <c r="F230" s="94"/>
      <c r="G230" s="94"/>
      <c r="H230" s="20"/>
    </row>
    <row r="231" customFormat="false" ht="17.35" hidden="false" customHeight="false" outlineLevel="0" collapsed="false">
      <c r="A231" s="55"/>
      <c r="B231" s="25"/>
      <c r="C231" s="25"/>
      <c r="D231" s="25"/>
      <c r="E231" s="94"/>
      <c r="F231" s="94"/>
      <c r="G231" s="94"/>
      <c r="H231" s="20"/>
    </row>
    <row r="232" customFormat="false" ht="17.35" hidden="false" customHeight="false" outlineLevel="0" collapsed="false">
      <c r="A232" s="55" t="s">
        <v>178</v>
      </c>
      <c r="B232" s="25" t="s">
        <v>179</v>
      </c>
      <c r="C232" s="25"/>
      <c r="D232" s="25"/>
      <c r="E232" s="25" t="s">
        <v>180</v>
      </c>
      <c r="F232" s="94"/>
      <c r="G232" s="94"/>
      <c r="H232" s="20"/>
    </row>
    <row r="233" customFormat="false" ht="17.35" hidden="false" customHeight="false" outlineLevel="0" collapsed="false">
      <c r="A233" s="70" t="n">
        <f aca="false">E170</f>
        <v>0</v>
      </c>
      <c r="B233" s="37" t="n">
        <f aca="false">E212+A227</f>
        <v>2891.6983070563</v>
      </c>
      <c r="C233" s="25"/>
      <c r="D233" s="25"/>
      <c r="E233" s="37" t="n">
        <f aca="false">J18*0.000006*100*1.2</f>
        <v>26.9316</v>
      </c>
      <c r="F233" s="94"/>
      <c r="G233" s="94"/>
      <c r="H233" s="20"/>
    </row>
    <row r="234" customFormat="false" ht="17.35" hidden="false" customHeight="false" outlineLevel="0" collapsed="false">
      <c r="A234" s="70"/>
      <c r="B234" s="37"/>
      <c r="C234" s="25"/>
      <c r="D234" s="25"/>
      <c r="E234" s="37"/>
      <c r="F234" s="94"/>
      <c r="G234" s="94"/>
      <c r="H234" s="20"/>
    </row>
    <row r="235" customFormat="false" ht="17.35" hidden="false" customHeight="false" outlineLevel="0" collapsed="false">
      <c r="A235" s="78" t="s">
        <v>181</v>
      </c>
      <c r="B235" s="38" t="s">
        <v>182</v>
      </c>
      <c r="C235" s="25"/>
      <c r="D235" s="25"/>
      <c r="E235" s="38" t="s">
        <v>102</v>
      </c>
      <c r="F235" s="94"/>
      <c r="G235" s="94"/>
      <c r="H235" s="20"/>
    </row>
    <row r="236" customFormat="false" ht="17.35" hidden="false" customHeight="false" outlineLevel="0" collapsed="false">
      <c r="A236" s="70" t="n">
        <f aca="false">IF(E105="YES", J18*0.000002, 0)*100*1.2</f>
        <v>8.9772</v>
      </c>
      <c r="B236" s="37" t="n">
        <f aca="false">E233+A236</f>
        <v>35.9088</v>
      </c>
      <c r="C236" s="25"/>
      <c r="D236" s="25"/>
      <c r="E236" s="37"/>
      <c r="F236" s="94"/>
      <c r="G236" s="94"/>
      <c r="H236" s="20"/>
    </row>
    <row r="237" customFormat="false" ht="17.35" hidden="false" customHeight="false" outlineLevel="0" collapsed="false">
      <c r="A237" s="70"/>
      <c r="B237" s="37"/>
      <c r="C237" s="25"/>
      <c r="D237" s="25"/>
      <c r="E237" s="37"/>
      <c r="F237" s="94"/>
      <c r="G237" s="94"/>
      <c r="H237" s="20"/>
    </row>
    <row r="238" customFormat="false" ht="22.05" hidden="false" customHeight="false" outlineLevel="0" collapsed="false">
      <c r="A238" s="184" t="s">
        <v>183</v>
      </c>
      <c r="B238" s="184"/>
      <c r="C238" s="184"/>
      <c r="D238" s="184"/>
      <c r="E238" s="184"/>
      <c r="F238" s="184"/>
      <c r="G238" s="184"/>
      <c r="H238" s="184"/>
    </row>
    <row r="239" customFormat="false" ht="17.35" hidden="false" customHeight="false" outlineLevel="0" collapsed="false">
      <c r="A239" s="55" t="s">
        <v>184</v>
      </c>
      <c r="B239" s="25" t="s">
        <v>168</v>
      </c>
      <c r="C239" s="25"/>
      <c r="D239" s="25"/>
      <c r="E239" s="38" t="s">
        <v>169</v>
      </c>
      <c r="F239" s="94"/>
      <c r="G239" s="94"/>
      <c r="H239" s="20"/>
    </row>
    <row r="240" customFormat="false" ht="17.35" hidden="false" customHeight="false" outlineLevel="0" collapsed="false">
      <c r="A240" s="70" t="n">
        <f aca="false">H148</f>
        <v>1875</v>
      </c>
      <c r="B240" s="37" t="n">
        <f aca="false">B68</f>
        <v>121.25</v>
      </c>
      <c r="C240" s="25"/>
      <c r="D240" s="25"/>
      <c r="E240" s="37" t="n">
        <f aca="false">E188</f>
        <v>14.25</v>
      </c>
      <c r="F240" s="94"/>
      <c r="G240" s="94"/>
      <c r="H240" s="20"/>
    </row>
    <row r="241" customFormat="false" ht="17.35" hidden="false" customHeight="false" outlineLevel="0" collapsed="false">
      <c r="A241" s="70"/>
      <c r="B241" s="37"/>
      <c r="C241" s="25"/>
      <c r="D241" s="25"/>
      <c r="E241" s="94"/>
      <c r="F241" s="94"/>
      <c r="G241" s="94"/>
      <c r="H241" s="20"/>
    </row>
    <row r="242" customFormat="false" ht="17.35" hidden="false" customHeight="false" outlineLevel="0" collapsed="false">
      <c r="A242" s="78" t="s">
        <v>170</v>
      </c>
      <c r="B242" s="38" t="s">
        <v>171</v>
      </c>
      <c r="C242" s="25"/>
      <c r="D242" s="25"/>
      <c r="E242" s="38"/>
      <c r="F242" s="94"/>
      <c r="G242" s="94"/>
      <c r="H242" s="20"/>
    </row>
    <row r="243" customFormat="false" ht="17.35" hidden="false" customHeight="false" outlineLevel="0" collapsed="false">
      <c r="A243" s="70" t="n">
        <f aca="false">A191</f>
        <v>99.9916666666667</v>
      </c>
      <c r="B243" s="37" t="n">
        <f aca="false">B240+E240+A243+A240</f>
        <v>2110.49166666667</v>
      </c>
      <c r="C243" s="25"/>
      <c r="D243" s="25"/>
      <c r="E243" s="37"/>
      <c r="F243" s="94"/>
      <c r="G243" s="94"/>
      <c r="H243" s="20"/>
    </row>
    <row r="244" customFormat="false" ht="17.35" hidden="false" customHeight="false" outlineLevel="0" collapsed="false">
      <c r="A244" s="55"/>
      <c r="B244" s="25"/>
      <c r="C244" s="25"/>
      <c r="D244" s="25"/>
      <c r="E244" s="94"/>
      <c r="F244" s="94"/>
      <c r="G244" s="94"/>
      <c r="H244" s="20"/>
    </row>
    <row r="245" customFormat="false" ht="17.35" hidden="false" customHeight="false" outlineLevel="0" collapsed="false">
      <c r="A245" s="74"/>
      <c r="B245" s="75"/>
      <c r="C245" s="75"/>
      <c r="D245" s="75"/>
      <c r="E245" s="75"/>
      <c r="F245" s="75"/>
      <c r="G245" s="75"/>
      <c r="H245" s="82"/>
    </row>
    <row r="251" customFormat="false" ht="22.05" hidden="false" customHeight="false" outlineLevel="0" collapsed="false">
      <c r="A251" s="179" t="s">
        <v>185</v>
      </c>
      <c r="B251" s="179"/>
      <c r="C251" s="179"/>
      <c r="D251" s="179"/>
      <c r="E251" s="179"/>
      <c r="F251" s="179"/>
      <c r="G251" s="179"/>
      <c r="H251" s="179"/>
    </row>
    <row r="252" customFormat="false" ht="17.35" hidden="false" customHeight="false" outlineLevel="0" collapsed="false">
      <c r="A252" s="55"/>
      <c r="B252" s="178"/>
      <c r="C252" s="178"/>
      <c r="D252" s="178"/>
      <c r="E252" s="45"/>
      <c r="F252" s="45"/>
      <c r="G252" s="45"/>
      <c r="H252" s="20"/>
    </row>
    <row r="253" customFormat="false" ht="17.35" hidden="false" customHeight="false" outlineLevel="0" collapsed="false">
      <c r="A253" s="180" t="s">
        <v>186</v>
      </c>
      <c r="B253" s="185" t="n">
        <f aca="false">K35</f>
        <v>0.065</v>
      </c>
      <c r="C253" s="186"/>
      <c r="D253" s="187" t="s">
        <v>187</v>
      </c>
      <c r="E253" s="187"/>
      <c r="F253" s="185" t="n">
        <f aca="false">B83</f>
        <v>0.1255</v>
      </c>
      <c r="G253" s="45"/>
      <c r="H253" s="20"/>
    </row>
    <row r="254" customFormat="false" ht="17.35" hidden="false" customHeight="false" outlineLevel="0" collapsed="false">
      <c r="A254" s="180" t="s">
        <v>188</v>
      </c>
      <c r="B254" s="188"/>
      <c r="C254" s="186"/>
      <c r="D254" s="187" t="s">
        <v>189</v>
      </c>
      <c r="E254" s="187"/>
      <c r="F254" s="188" t="n">
        <f aca="false">F261+F267+F269+B270+B271</f>
        <v>145.5</v>
      </c>
      <c r="G254" s="45"/>
      <c r="H254" s="20"/>
    </row>
    <row r="255" customFormat="false" ht="17.35" hidden="false" customHeight="false" outlineLevel="0" collapsed="false">
      <c r="A255" s="180" t="s">
        <v>190</v>
      </c>
      <c r="B255" s="188" t="n">
        <f aca="false">F262+B263</f>
        <v>242.491666666667</v>
      </c>
      <c r="C255" s="186"/>
      <c r="D255" s="187" t="s">
        <v>191</v>
      </c>
      <c r="E255" s="187"/>
      <c r="F255" s="188" t="n">
        <f aca="false">(B254-F254)+B255</f>
        <v>96.9916666666667</v>
      </c>
      <c r="G255" s="45"/>
      <c r="H255" s="20"/>
    </row>
    <row r="256" customFormat="false" ht="17.35" hidden="false" customHeight="false" outlineLevel="0" collapsed="false">
      <c r="A256" s="189"/>
      <c r="B256" s="187"/>
      <c r="C256" s="190"/>
      <c r="D256" s="190"/>
      <c r="E256" s="190"/>
      <c r="F256" s="190"/>
      <c r="G256" s="191"/>
      <c r="H256" s="192"/>
    </row>
    <row r="257" customFormat="false" ht="17.35" hidden="false" customHeight="false" outlineLevel="0" collapsed="false">
      <c r="A257" s="55" t="s">
        <v>186</v>
      </c>
      <c r="B257" s="193" t="n">
        <f aca="false">B253</f>
        <v>0.065</v>
      </c>
      <c r="C257" s="186"/>
      <c r="D257" s="186"/>
      <c r="E257" s="186"/>
      <c r="F257" s="186"/>
      <c r="G257" s="45"/>
      <c r="H257" s="20"/>
    </row>
    <row r="258" customFormat="false" ht="17.35" hidden="false" customHeight="false" outlineLevel="0" collapsed="false">
      <c r="A258" s="194"/>
      <c r="B258" s="195"/>
      <c r="C258" s="196"/>
      <c r="D258" s="196"/>
      <c r="E258" s="191"/>
      <c r="F258" s="191"/>
      <c r="G258" s="191"/>
      <c r="H258" s="192"/>
    </row>
    <row r="259" customFormat="false" ht="17.35" hidden="false" customHeight="false" outlineLevel="0" collapsed="false">
      <c r="A259" s="55" t="s">
        <v>192</v>
      </c>
      <c r="B259" s="193" t="n">
        <f aca="false">B64</f>
        <v>0.05</v>
      </c>
      <c r="C259" s="178"/>
      <c r="D259" s="38" t="s">
        <v>193</v>
      </c>
      <c r="E259" s="38"/>
      <c r="F259" s="193" t="n">
        <v>0</v>
      </c>
      <c r="G259" s="45"/>
      <c r="H259" s="20"/>
    </row>
    <row r="260" customFormat="false" ht="17.35" hidden="false" customHeight="false" outlineLevel="0" collapsed="false">
      <c r="A260" s="123" t="s">
        <v>187</v>
      </c>
      <c r="B260" s="197" t="n">
        <f aca="false">B83</f>
        <v>0.1255</v>
      </c>
      <c r="C260" s="198"/>
      <c r="D260" s="38" t="s">
        <v>188</v>
      </c>
      <c r="E260" s="38"/>
      <c r="F260" s="199" t="n">
        <f aca="false">(B89*B59)-(C89*B59)</f>
        <v>30957.6813776193</v>
      </c>
      <c r="G260" s="45"/>
      <c r="H260" s="20"/>
    </row>
    <row r="261" customFormat="false" ht="17.35" hidden="false" customHeight="false" outlineLevel="0" collapsed="false">
      <c r="A261" s="55" t="s">
        <v>194</v>
      </c>
      <c r="B261" s="197" t="n">
        <f aca="false">B67</f>
        <v>0.005</v>
      </c>
      <c r="C261" s="178"/>
      <c r="D261" s="38" t="s">
        <v>194</v>
      </c>
      <c r="E261" s="38"/>
      <c r="F261" s="152" t="n">
        <f aca="false">B68*1.2</f>
        <v>145.5</v>
      </c>
      <c r="G261" s="45"/>
      <c r="H261" s="20"/>
    </row>
    <row r="262" customFormat="false" ht="17.35" hidden="false" customHeight="false" outlineLevel="0" collapsed="false">
      <c r="A262" s="55" t="s">
        <v>195</v>
      </c>
      <c r="B262" s="193" t="n">
        <f aca="false">A108</f>
        <v>0.3</v>
      </c>
      <c r="C262" s="178"/>
      <c r="D262" s="38" t="s">
        <v>195</v>
      </c>
      <c r="E262" s="38"/>
      <c r="F262" s="199" t="n">
        <f aca="false">E240*10</f>
        <v>142.5</v>
      </c>
      <c r="G262" s="45"/>
      <c r="H262" s="20"/>
    </row>
    <row r="263" customFormat="false" ht="17.35" hidden="false" customHeight="false" outlineLevel="0" collapsed="false">
      <c r="A263" s="55" t="s">
        <v>196</v>
      </c>
      <c r="B263" s="199" t="n">
        <f aca="false">A243</f>
        <v>99.9916666666667</v>
      </c>
      <c r="C263" s="178"/>
      <c r="D263" s="200" t="s">
        <v>191</v>
      </c>
      <c r="E263" s="200"/>
      <c r="F263" s="199" t="n">
        <f aca="false">(B254-F254)+B255</f>
        <v>96.9916666666667</v>
      </c>
      <c r="G263" s="45"/>
      <c r="H263" s="20"/>
    </row>
    <row r="264" customFormat="false" ht="17.35" hidden="false" customHeight="false" outlineLevel="0" collapsed="false">
      <c r="A264" s="70"/>
      <c r="B264" s="201"/>
      <c r="C264" s="178"/>
      <c r="D264" s="178"/>
      <c r="E264" s="201"/>
      <c r="F264" s="45"/>
      <c r="G264" s="45"/>
      <c r="H264" s="20"/>
    </row>
    <row r="265" customFormat="false" ht="22.05" hidden="false" customHeight="false" outlineLevel="0" collapsed="false">
      <c r="A265" s="184" t="s">
        <v>197</v>
      </c>
      <c r="B265" s="184"/>
      <c r="C265" s="184"/>
      <c r="D265" s="184"/>
      <c r="E265" s="184"/>
      <c r="F265" s="184"/>
      <c r="G265" s="184"/>
      <c r="H265" s="184"/>
    </row>
    <row r="266" customFormat="false" ht="17.35" hidden="false" customHeight="false" outlineLevel="0" collapsed="false">
      <c r="A266" s="55" t="s">
        <v>198</v>
      </c>
      <c r="B266" s="152" t="n">
        <v>0</v>
      </c>
      <c r="C266" s="178"/>
      <c r="D266" s="202" t="s">
        <v>199</v>
      </c>
      <c r="E266" s="202"/>
      <c r="F266" s="152" t="n">
        <v>0</v>
      </c>
      <c r="G266" s="45"/>
      <c r="H266" s="20"/>
    </row>
    <row r="267" customFormat="false" ht="17.35" hidden="false" customHeight="false" outlineLevel="0" collapsed="false">
      <c r="A267" s="70"/>
      <c r="B267" s="199"/>
      <c r="C267" s="178"/>
      <c r="D267" s="38" t="s">
        <v>200</v>
      </c>
      <c r="E267" s="38"/>
      <c r="F267" s="199" t="n">
        <f aca="false">B266+F266*B209</f>
        <v>0</v>
      </c>
      <c r="G267" s="45"/>
      <c r="H267" s="20"/>
    </row>
    <row r="268" customFormat="false" ht="17.35" hidden="false" customHeight="false" outlineLevel="0" collapsed="false">
      <c r="A268" s="78" t="s">
        <v>201</v>
      </c>
      <c r="B268" s="203" t="s">
        <v>4</v>
      </c>
      <c r="C268" s="178"/>
      <c r="D268" s="38" t="s">
        <v>202</v>
      </c>
      <c r="E268" s="38"/>
      <c r="F268" s="203" t="n">
        <f aca="false">B70</f>
        <v>0</v>
      </c>
      <c r="G268" s="45"/>
      <c r="H268" s="20"/>
    </row>
    <row r="269" customFormat="false" ht="17.35" hidden="false" customHeight="false" outlineLevel="0" collapsed="false">
      <c r="A269" s="78"/>
      <c r="B269" s="204"/>
      <c r="C269" s="178"/>
      <c r="D269" s="38" t="s">
        <v>203</v>
      </c>
      <c r="E269" s="38"/>
      <c r="F269" s="199" t="n">
        <f aca="false">B91</f>
        <v>0</v>
      </c>
      <c r="G269" s="45"/>
      <c r="H269" s="20"/>
    </row>
    <row r="270" customFormat="false" ht="17.35" hidden="false" customHeight="false" outlineLevel="0" collapsed="false">
      <c r="A270" s="78" t="s">
        <v>204</v>
      </c>
      <c r="B270" s="152" t="n">
        <v>0</v>
      </c>
      <c r="C270" s="178"/>
      <c r="D270" s="178"/>
      <c r="E270" s="201"/>
      <c r="F270" s="45"/>
      <c r="G270" s="45"/>
      <c r="H270" s="20"/>
    </row>
    <row r="271" customFormat="false" ht="17.35" hidden="false" customHeight="false" outlineLevel="0" collapsed="false">
      <c r="A271" s="55" t="s">
        <v>205</v>
      </c>
      <c r="B271" s="152" t="n">
        <v>0</v>
      </c>
      <c r="C271" s="178"/>
      <c r="D271" s="178"/>
      <c r="E271" s="45"/>
      <c r="F271" s="45"/>
      <c r="G271" s="45"/>
      <c r="H271" s="20"/>
      <c r="J271" s="1" t="n">
        <v>4</v>
      </c>
    </row>
    <row r="272" customFormat="false" ht="17.35" hidden="false" customHeight="false" outlineLevel="0" collapsed="false">
      <c r="A272" s="74"/>
      <c r="B272" s="75"/>
      <c r="C272" s="75"/>
      <c r="D272" s="75"/>
      <c r="E272" s="75"/>
      <c r="F272" s="75"/>
      <c r="G272" s="75"/>
      <c r="H272" s="82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60">
    <mergeCell ref="A1:F1"/>
    <mergeCell ref="D7:E18"/>
    <mergeCell ref="A16:C18"/>
    <mergeCell ref="A19:D19"/>
    <mergeCell ref="A21:D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operator="between" showDropDown="false" showErrorMessage="true" showInputMessage="true" sqref="B105 K105 T105 AC105" type="list">
      <formula1>#ref!</formula1>
      <formula2>0</formula2>
    </dataValidation>
    <dataValidation allowBlank="true" operator="between" showDropDown="false" showErrorMessage="true" showInputMessage="true" sqref="A144:A146 J144:J146 S144:S146 AB144:AB146" type="list">
      <formula1>#ref!</formula1>
      <formula2>0</formula2>
    </dataValidation>
    <dataValidation allowBlank="true" operator="between" showDropDown="false" showErrorMessage="true" showInputMessage="true" sqref="B108:D108 K108:M108 T108:V108 AC108:AE108" type="list">
      <formula1>#ref!</formula1>
      <formula2>0</formula2>
    </dataValidation>
    <dataValidation allowBlank="true" operator="between" showDropDown="false" showErrorMessage="true" showInputMessage="true" sqref="N105 W105 AF105 J111 S111 AB111" type="list">
      <formula1>#ref!</formula1>
      <formula2>0</formula2>
    </dataValidation>
    <dataValidation allowBlank="true" operator="between" showDropDown="false" showErrorMessage="true" showInputMessage="true" sqref="B26 E105 A111" type="list">
      <formula1>HirePurchaseNonRegulated!$K$9:$K$10</formula1>
      <formula2>0</formula2>
    </dataValidation>
    <dataValidation allowBlank="true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1" colorId="64" zoomScale="75" zoomScaleNormal="75" zoomScalePageLayoutView="100" workbookViewId="0">
      <selection pane="topLeft" activeCell="B222" activeCellId="0" sqref="B222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396" t="s">
        <v>324</v>
      </c>
      <c r="B1" s="396"/>
      <c r="C1" s="396"/>
      <c r="D1" s="396"/>
      <c r="E1" s="396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  <c r="R1" s="394"/>
      <c r="S1" s="394"/>
      <c r="T1" s="394"/>
      <c r="U1" s="394"/>
      <c r="V1" s="394"/>
      <c r="W1" s="394"/>
      <c r="X1" s="394"/>
      <c r="Y1" s="394"/>
      <c r="Z1" s="394"/>
    </row>
    <row r="2" customFormat="false" ht="18.75" hidden="false" customHeight="true" outlineLevel="0" collapsed="false">
      <c r="A2" s="397"/>
      <c r="B2" s="398" t="s">
        <v>115</v>
      </c>
      <c r="C2" s="398" t="s">
        <v>116</v>
      </c>
      <c r="D2" s="398" t="s">
        <v>117</v>
      </c>
      <c r="E2" s="399" t="s">
        <v>118</v>
      </c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  <c r="Y2" s="394"/>
      <c r="Z2" s="394"/>
    </row>
    <row r="3" customFormat="false" ht="18.75" hidden="false" customHeight="true" outlineLevel="0" collapsed="false">
      <c r="A3" s="291" t="s">
        <v>121</v>
      </c>
      <c r="B3" s="400" t="n">
        <v>46854.17</v>
      </c>
      <c r="C3" s="400" t="n">
        <v>0</v>
      </c>
      <c r="D3" s="400" t="n">
        <v>833.33</v>
      </c>
      <c r="E3" s="14" t="n">
        <v>0</v>
      </c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</row>
    <row r="4" customFormat="false" ht="18.75" hidden="false" customHeight="true" outlineLevel="0" collapsed="false">
      <c r="A4" s="291" t="s">
        <v>122</v>
      </c>
      <c r="B4" s="401" t="n">
        <v>0</v>
      </c>
      <c r="C4" s="401" t="n">
        <v>0</v>
      </c>
      <c r="D4" s="401" t="n">
        <v>0</v>
      </c>
      <c r="E4" s="352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  <c r="R4" s="394"/>
      <c r="S4" s="394"/>
      <c r="T4" s="394"/>
      <c r="U4" s="394"/>
      <c r="V4" s="394"/>
      <c r="W4" s="394"/>
      <c r="X4" s="394"/>
      <c r="Y4" s="394"/>
      <c r="Z4" s="394"/>
    </row>
    <row r="5" customFormat="false" ht="18.75" hidden="false" customHeight="true" outlineLevel="0" collapsed="false">
      <c r="A5" s="291" t="s">
        <v>123</v>
      </c>
      <c r="B5" s="400" t="n">
        <v>0</v>
      </c>
      <c r="C5" s="400" t="n">
        <v>0</v>
      </c>
      <c r="D5" s="400" t="n">
        <v>0</v>
      </c>
      <c r="E5" s="20"/>
      <c r="F5" s="394"/>
      <c r="G5" s="394"/>
      <c r="H5" s="394"/>
      <c r="I5" s="394"/>
      <c r="J5" s="394"/>
      <c r="K5" s="394"/>
      <c r="L5" s="394"/>
      <c r="M5" s="394"/>
      <c r="N5" s="394"/>
      <c r="O5" s="394"/>
      <c r="P5" s="394"/>
      <c r="Q5" s="394"/>
      <c r="R5" s="394"/>
      <c r="S5" s="394"/>
      <c r="T5" s="394"/>
      <c r="U5" s="394"/>
      <c r="V5" s="394"/>
      <c r="W5" s="394"/>
      <c r="X5" s="394"/>
      <c r="Y5" s="394"/>
      <c r="Z5" s="394"/>
    </row>
    <row r="6" customFormat="false" ht="18.75" hidden="false" customHeight="true" outlineLevel="0" collapsed="false">
      <c r="A6" s="291" t="s">
        <v>124</v>
      </c>
      <c r="B6" s="178" t="n">
        <f aca="false">(B3*B4/100)+B5</f>
        <v>0</v>
      </c>
      <c r="C6" s="178" t="n">
        <f aca="false">(C3*C4/100)+C5</f>
        <v>0</v>
      </c>
      <c r="D6" s="178" t="n">
        <f aca="false">(D3*D4/100)+D5</f>
        <v>0</v>
      </c>
      <c r="E6" s="20"/>
      <c r="F6" s="394"/>
      <c r="G6" s="394"/>
      <c r="H6" s="394"/>
      <c r="I6" s="394"/>
      <c r="J6" s="394"/>
      <c r="K6" s="394"/>
      <c r="L6" s="394"/>
      <c r="M6" s="394"/>
      <c r="N6" s="394"/>
      <c r="O6" s="394"/>
      <c r="P6" s="394"/>
      <c r="Q6" s="394"/>
      <c r="R6" s="394"/>
      <c r="S6" s="394"/>
      <c r="T6" s="394"/>
      <c r="U6" s="394"/>
      <c r="V6" s="394"/>
      <c r="W6" s="394"/>
      <c r="X6" s="394"/>
      <c r="Y6" s="394"/>
      <c r="Z6" s="394"/>
    </row>
    <row r="7" customFormat="false" ht="18.75" hidden="false" customHeight="true" outlineLevel="0" collapsed="false">
      <c r="A7" s="291" t="s">
        <v>125</v>
      </c>
      <c r="B7" s="178" t="n">
        <f aca="false">B3-B6</f>
        <v>46854.17</v>
      </c>
      <c r="C7" s="178" t="n">
        <f aca="false">C3-C6</f>
        <v>0</v>
      </c>
      <c r="D7" s="178" t="n">
        <f aca="false">D3-D6</f>
        <v>833.33</v>
      </c>
      <c r="E7" s="20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394"/>
      <c r="V7" s="394"/>
      <c r="W7" s="394"/>
      <c r="X7" s="394"/>
      <c r="Y7" s="394"/>
      <c r="Z7" s="394"/>
    </row>
    <row r="8" customFormat="false" ht="18.75" hidden="false" customHeight="true" outlineLevel="0" collapsed="false">
      <c r="A8" s="291"/>
      <c r="B8" s="292"/>
      <c r="C8" s="292"/>
      <c r="D8" s="292"/>
      <c r="E8" s="293"/>
      <c r="F8" s="394"/>
      <c r="G8" s="394"/>
      <c r="H8" s="394"/>
      <c r="I8" s="26" t="s">
        <v>3</v>
      </c>
      <c r="J8" s="27" t="n">
        <f aca="false">E13+E14</f>
        <v>640</v>
      </c>
      <c r="K8" s="394"/>
      <c r="L8" s="394"/>
      <c r="M8" s="394"/>
      <c r="N8" s="394"/>
      <c r="O8" s="394"/>
      <c r="P8" s="394"/>
      <c r="Q8" s="394"/>
      <c r="R8" s="394"/>
      <c r="S8" s="394"/>
      <c r="T8" s="394"/>
      <c r="U8" s="394"/>
      <c r="V8" s="394"/>
      <c r="W8" s="394"/>
      <c r="X8" s="394"/>
      <c r="Y8" s="394"/>
      <c r="Z8" s="394"/>
    </row>
    <row r="9" customFormat="false" ht="18.75" hidden="false" customHeight="true" outlineLevel="0" collapsed="false">
      <c r="A9" s="402" t="s">
        <v>133</v>
      </c>
      <c r="B9" s="402"/>
      <c r="C9" s="402"/>
      <c r="D9" s="402"/>
      <c r="E9" s="403" t="n">
        <f aca="false">B7+C7+D7+E3</f>
        <v>47687.5</v>
      </c>
      <c r="F9" s="394"/>
      <c r="G9" s="394"/>
      <c r="H9" s="394"/>
      <c r="I9" s="27"/>
      <c r="J9" s="27"/>
      <c r="K9" s="394"/>
      <c r="L9" s="394"/>
      <c r="M9" s="394"/>
      <c r="N9" s="394"/>
      <c r="O9" s="394"/>
      <c r="P9" s="394"/>
      <c r="Q9" s="394"/>
      <c r="R9" s="394"/>
      <c r="S9" s="394"/>
      <c r="T9" s="394"/>
      <c r="U9" s="394"/>
      <c r="V9" s="394"/>
      <c r="W9" s="394"/>
      <c r="X9" s="394"/>
      <c r="Y9" s="394"/>
      <c r="Z9" s="394"/>
    </row>
    <row r="10" customFormat="false" ht="18.75" hidden="false" customHeight="true" outlineLevel="0" collapsed="false">
      <c r="A10" s="404" t="s">
        <v>134</v>
      </c>
      <c r="B10" s="404"/>
      <c r="C10" s="404"/>
      <c r="D10" s="404"/>
      <c r="E10" s="14" t="n">
        <v>550</v>
      </c>
      <c r="F10" s="394"/>
      <c r="G10" s="394"/>
      <c r="H10" s="394"/>
      <c r="I10" s="32" t="s">
        <v>1</v>
      </c>
      <c r="J10" s="27" t="n">
        <f aca="false">E15-E11-J8</f>
        <v>48237.5</v>
      </c>
      <c r="K10" s="394"/>
      <c r="L10" s="394"/>
      <c r="M10" s="394"/>
      <c r="N10" s="394"/>
      <c r="O10" s="394"/>
      <c r="P10" s="394"/>
      <c r="Q10" s="394"/>
      <c r="R10" s="394"/>
      <c r="S10" s="394"/>
      <c r="T10" s="394"/>
      <c r="U10" s="394"/>
      <c r="V10" s="394"/>
      <c r="W10" s="394"/>
      <c r="X10" s="394"/>
      <c r="Y10" s="394"/>
      <c r="Z10" s="394"/>
    </row>
    <row r="11" customFormat="false" ht="18.75" hidden="false" customHeight="true" outlineLevel="0" collapsed="false">
      <c r="A11" s="404" t="s">
        <v>135</v>
      </c>
      <c r="B11" s="404"/>
      <c r="C11" s="404"/>
      <c r="D11" s="404"/>
      <c r="E11" s="20" t="n">
        <f aca="false">(E9+E10)*20%</f>
        <v>9647.5</v>
      </c>
      <c r="F11" s="394"/>
      <c r="G11" s="394"/>
      <c r="H11" s="394"/>
      <c r="I11" s="27"/>
      <c r="J11" s="27"/>
      <c r="K11" s="394"/>
      <c r="L11" s="394"/>
      <c r="M11" s="394"/>
      <c r="N11" s="394"/>
      <c r="O11" s="394"/>
      <c r="P11" s="394"/>
      <c r="Q11" s="394"/>
      <c r="R11" s="394"/>
      <c r="S11" s="394"/>
      <c r="T11" s="394"/>
      <c r="U11" s="394"/>
      <c r="V11" s="394"/>
      <c r="W11" s="394"/>
      <c r="X11" s="394"/>
      <c r="Y11" s="394"/>
      <c r="Z11" s="394"/>
    </row>
    <row r="12" customFormat="false" ht="18.75" hidden="false" customHeight="true" outlineLevel="0" collapsed="false">
      <c r="A12" s="404" t="s">
        <v>136</v>
      </c>
      <c r="B12" s="404"/>
      <c r="C12" s="404"/>
      <c r="D12" s="404"/>
      <c r="E12" s="14" t="n">
        <v>0</v>
      </c>
      <c r="F12" s="394"/>
      <c r="G12" s="394"/>
      <c r="H12" s="394"/>
      <c r="I12" s="394"/>
      <c r="J12" s="394"/>
      <c r="K12" s="394"/>
      <c r="L12" s="394"/>
      <c r="M12" s="394"/>
      <c r="N12" s="394"/>
      <c r="O12" s="394"/>
      <c r="P12" s="394"/>
      <c r="Q12" s="394"/>
      <c r="R12" s="394"/>
      <c r="S12" s="394"/>
      <c r="T12" s="394"/>
      <c r="U12" s="394"/>
      <c r="V12" s="394"/>
      <c r="W12" s="394"/>
      <c r="X12" s="394"/>
      <c r="Y12" s="394"/>
      <c r="Z12" s="394"/>
    </row>
    <row r="13" customFormat="false" ht="18.75" hidden="false" customHeight="true" outlineLevel="0" collapsed="false">
      <c r="A13" s="404" t="s">
        <v>137</v>
      </c>
      <c r="B13" s="404"/>
      <c r="C13" s="404"/>
      <c r="D13" s="404"/>
      <c r="E13" s="14" t="n">
        <v>585</v>
      </c>
      <c r="F13" s="394"/>
      <c r="G13" s="394"/>
      <c r="H13" s="394"/>
      <c r="I13" s="394"/>
      <c r="J13" s="394"/>
      <c r="K13" s="394"/>
      <c r="L13" s="394"/>
      <c r="M13" s="394"/>
      <c r="N13" s="394"/>
      <c r="O13" s="394"/>
      <c r="P13" s="394"/>
      <c r="Q13" s="394"/>
      <c r="R13" s="394"/>
      <c r="S13" s="394"/>
      <c r="T13" s="394"/>
      <c r="U13" s="394"/>
      <c r="V13" s="394"/>
      <c r="W13" s="394"/>
      <c r="X13" s="394"/>
      <c r="Y13" s="394"/>
      <c r="Z13" s="394"/>
    </row>
    <row r="14" customFormat="false" ht="18.75" hidden="false" customHeight="true" outlineLevel="0" collapsed="false">
      <c r="A14" s="404" t="s">
        <v>138</v>
      </c>
      <c r="B14" s="404"/>
      <c r="C14" s="404"/>
      <c r="D14" s="404"/>
      <c r="E14" s="14" t="n">
        <v>55</v>
      </c>
      <c r="F14" s="394"/>
      <c r="G14" s="394" t="s">
        <v>13</v>
      </c>
      <c r="H14" s="394"/>
      <c r="I14" s="394"/>
      <c r="J14" s="394"/>
      <c r="K14" s="394"/>
      <c r="L14" s="394"/>
      <c r="M14" s="394"/>
      <c r="N14" s="394"/>
      <c r="O14" s="394"/>
      <c r="P14" s="394"/>
      <c r="Q14" s="394"/>
      <c r="R14" s="394"/>
      <c r="S14" s="394"/>
      <c r="T14" s="394"/>
      <c r="U14" s="394"/>
      <c r="V14" s="394"/>
      <c r="W14" s="394"/>
      <c r="X14" s="394"/>
      <c r="Y14" s="394"/>
      <c r="Z14" s="394"/>
    </row>
    <row r="15" customFormat="false" ht="18.75" hidden="false" customHeight="true" outlineLevel="0" collapsed="false">
      <c r="A15" s="404" t="s">
        <v>139</v>
      </c>
      <c r="B15" s="404"/>
      <c r="C15" s="404"/>
      <c r="D15" s="404"/>
      <c r="E15" s="33" t="n">
        <f aca="false">(E9+E10+E13+E14+E11)-E12</f>
        <v>58525</v>
      </c>
      <c r="F15" s="394"/>
      <c r="G15" s="34" t="n">
        <f aca="false">E15</f>
        <v>58525</v>
      </c>
      <c r="H15" s="394"/>
      <c r="I15" s="394"/>
      <c r="J15" s="394"/>
      <c r="K15" s="394"/>
      <c r="L15" s="394"/>
      <c r="M15" s="394"/>
      <c r="N15" s="394"/>
      <c r="O15" s="394"/>
      <c r="P15" s="394"/>
      <c r="Q15" s="394"/>
      <c r="R15" s="394"/>
      <c r="S15" s="394"/>
      <c r="T15" s="394"/>
      <c r="U15" s="394"/>
      <c r="V15" s="394"/>
      <c r="W15" s="394"/>
      <c r="X15" s="394"/>
      <c r="Y15" s="394"/>
      <c r="Z15" s="394"/>
    </row>
    <row r="16" customFormat="false" ht="18.75" hidden="false" customHeight="true" outlineLevel="0" collapsed="false">
      <c r="A16" s="404" t="s">
        <v>140</v>
      </c>
      <c r="B16" s="404"/>
      <c r="C16" s="404"/>
      <c r="D16" s="404"/>
      <c r="E16" s="14" t="n">
        <v>0</v>
      </c>
      <c r="F16" s="394"/>
      <c r="G16" s="394"/>
      <c r="H16" s="394"/>
      <c r="I16" s="394"/>
      <c r="J16" s="394"/>
      <c r="K16" s="394"/>
      <c r="L16" s="394"/>
      <c r="M16" s="394"/>
      <c r="N16" s="394"/>
      <c r="O16" s="394"/>
      <c r="P16" s="394"/>
      <c r="Q16" s="394"/>
      <c r="R16" s="394"/>
      <c r="S16" s="394"/>
      <c r="T16" s="394"/>
      <c r="U16" s="394"/>
      <c r="V16" s="394"/>
      <c r="W16" s="394"/>
      <c r="X16" s="394"/>
      <c r="Y16" s="206" t="s">
        <v>15</v>
      </c>
      <c r="Z16" s="394"/>
    </row>
    <row r="17" customFormat="false" ht="18.75" hidden="false" customHeight="true" outlineLevel="0" collapsed="false">
      <c r="A17" s="349" t="s">
        <v>141</v>
      </c>
      <c r="B17" s="349"/>
      <c r="C17" s="349"/>
      <c r="D17" s="349"/>
      <c r="E17" s="293"/>
      <c r="F17" s="394"/>
      <c r="G17" s="394" t="s">
        <v>16</v>
      </c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394"/>
      <c r="V17" s="394"/>
      <c r="W17" s="394"/>
      <c r="X17" s="394"/>
      <c r="Y17" s="206" t="s">
        <v>17</v>
      </c>
      <c r="Z17" s="394"/>
    </row>
    <row r="18" customFormat="false" ht="18.75" hidden="false" customHeight="true" outlineLevel="0" collapsed="false">
      <c r="A18" s="405" t="s">
        <v>15</v>
      </c>
      <c r="B18" s="406" t="s">
        <v>142</v>
      </c>
      <c r="C18" s="406"/>
      <c r="D18" s="406"/>
      <c r="E18" s="39" t="n">
        <v>0</v>
      </c>
      <c r="F18" s="394"/>
      <c r="G18" s="34" t="n">
        <f aca="false">(B3+C3+D3+E3+E10)*1.2</f>
        <v>57885</v>
      </c>
      <c r="H18" s="394"/>
      <c r="I18" s="394"/>
      <c r="J18" s="394"/>
      <c r="K18" s="394"/>
      <c r="L18" s="394"/>
      <c r="M18" s="394"/>
      <c r="N18" s="394"/>
      <c r="O18" s="394"/>
      <c r="P18" s="394"/>
      <c r="Q18" s="394"/>
      <c r="R18" s="394"/>
      <c r="S18" s="394"/>
      <c r="T18" s="394"/>
      <c r="U18" s="394"/>
      <c r="V18" s="394"/>
      <c r="W18" s="394"/>
      <c r="X18" s="394"/>
      <c r="Y18" s="206" t="s">
        <v>18</v>
      </c>
      <c r="Z18" s="394"/>
    </row>
    <row r="19" customFormat="false" ht="18.75" hidden="false" customHeight="true" outlineLevel="0" collapsed="false">
      <c r="A19" s="405" t="s">
        <v>17</v>
      </c>
      <c r="B19" s="406" t="s">
        <v>142</v>
      </c>
      <c r="C19" s="406"/>
      <c r="D19" s="406"/>
      <c r="E19" s="39" t="n">
        <v>0</v>
      </c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394"/>
      <c r="Z19" s="394" t="s">
        <v>9</v>
      </c>
    </row>
    <row r="20" customFormat="false" ht="18.75" hidden="false" customHeight="true" outlineLevel="0" collapsed="false">
      <c r="A20" s="405" t="s">
        <v>18</v>
      </c>
      <c r="B20" s="406" t="s">
        <v>142</v>
      </c>
      <c r="C20" s="406"/>
      <c r="D20" s="406"/>
      <c r="E20" s="39" t="n">
        <v>0</v>
      </c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 t="s">
        <v>10</v>
      </c>
    </row>
    <row r="21" customFormat="false" ht="18.75" hidden="false" customHeight="true" outlineLevel="0" collapsed="false">
      <c r="A21" s="407" t="s">
        <v>143</v>
      </c>
      <c r="B21" s="407"/>
      <c r="C21" s="407"/>
      <c r="D21" s="407"/>
      <c r="E21" s="44" t="n">
        <f aca="false">E15-((E18*1.2)+(E19*1.2)+(E20*1.2)+(E16*1.2))</f>
        <v>58525</v>
      </c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</row>
    <row r="22" customFormat="false" ht="18.75" hidden="false" customHeight="true" outlineLevel="0" collapsed="false">
      <c r="A22" s="292"/>
      <c r="B22" s="292"/>
      <c r="C22" s="292"/>
      <c r="D22" s="292"/>
      <c r="E22" s="292"/>
      <c r="F22" s="394"/>
      <c r="G22" s="394"/>
      <c r="H22" s="394"/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94"/>
      <c r="T22" s="394"/>
      <c r="U22" s="394"/>
      <c r="V22" s="394"/>
      <c r="W22" s="394"/>
      <c r="X22" s="394"/>
      <c r="Y22" s="394"/>
      <c r="Z22" s="394"/>
    </row>
    <row r="23" customFormat="false" ht="17.35" hidden="false" customHeight="false" outlineLevel="0" collapsed="false">
      <c r="A23" s="292"/>
      <c r="B23" s="292"/>
      <c r="C23" s="292"/>
      <c r="D23" s="292"/>
      <c r="E23" s="292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  <c r="V23" s="394"/>
      <c r="W23" s="394"/>
      <c r="X23" s="394"/>
      <c r="Y23" s="394"/>
      <c r="Z23" s="394"/>
    </row>
    <row r="24" customFormat="false" ht="56.65" hidden="false" customHeight="true" outlineLevel="0" collapsed="false">
      <c r="A24" s="208" t="s">
        <v>208</v>
      </c>
      <c r="B24" s="208"/>
      <c r="C24" s="208"/>
      <c r="D24" s="208"/>
      <c r="E24" s="208"/>
      <c r="F24" s="394"/>
      <c r="G24" s="394"/>
      <c r="H24" s="394"/>
      <c r="I24" s="394"/>
      <c r="J24" s="394"/>
      <c r="K24" s="394"/>
      <c r="L24" s="394"/>
      <c r="M24" s="394"/>
      <c r="N24" s="394"/>
      <c r="O24" s="394"/>
      <c r="P24" s="394"/>
      <c r="Q24" s="394"/>
      <c r="R24" s="394"/>
      <c r="S24" s="394"/>
      <c r="T24" s="394"/>
      <c r="U24" s="394"/>
      <c r="V24" s="394"/>
      <c r="W24" s="394"/>
      <c r="X24" s="394"/>
      <c r="Y24" s="394"/>
      <c r="Z24" s="394"/>
    </row>
    <row r="25" customFormat="false" ht="18.75" hidden="false" customHeight="true" outlineLevel="0" collapsed="false">
      <c r="A25" s="291"/>
      <c r="B25" s="329"/>
      <c r="C25" s="329"/>
      <c r="D25" s="329"/>
      <c r="E25" s="293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</row>
    <row r="26" customFormat="false" ht="18.75" hidden="false" customHeight="true" outlineLevel="0" collapsed="false">
      <c r="A26" s="211" t="s">
        <v>209</v>
      </c>
      <c r="B26" s="211"/>
      <c r="C26" s="211"/>
      <c r="D26" s="211"/>
      <c r="E26" s="211"/>
      <c r="F26" s="394"/>
      <c r="G26" s="53" t="s">
        <v>23</v>
      </c>
      <c r="H26" s="54" t="s">
        <v>24</v>
      </c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94"/>
    </row>
    <row r="27" customFormat="false" ht="18.75" hidden="false" customHeight="true" outlineLevel="0" collapsed="false">
      <c r="A27" s="291"/>
      <c r="B27" s="329"/>
      <c r="C27" s="329"/>
      <c r="D27" s="329"/>
      <c r="E27" s="293"/>
      <c r="F27" s="394"/>
      <c r="G27" s="56" t="s">
        <v>25</v>
      </c>
      <c r="H27" s="57" t="n">
        <v>1</v>
      </c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394"/>
      <c r="V27" s="394"/>
      <c r="W27" s="394"/>
      <c r="X27" s="394"/>
      <c r="Y27" s="394"/>
      <c r="Z27" s="394"/>
    </row>
    <row r="28" customFormat="false" ht="18.75" hidden="false" customHeight="true" outlineLevel="0" collapsed="false">
      <c r="A28" s="350" t="s">
        <v>210</v>
      </c>
      <c r="B28" s="336" t="s">
        <v>211</v>
      </c>
      <c r="C28" s="329"/>
      <c r="D28" s="336" t="s">
        <v>212</v>
      </c>
      <c r="E28" s="293"/>
      <c r="F28" s="394"/>
      <c r="G28" s="56" t="s">
        <v>27</v>
      </c>
      <c r="H28" s="57"/>
      <c r="I28" s="394"/>
      <c r="J28" s="394"/>
      <c r="K28" s="394"/>
      <c r="L28" s="394"/>
      <c r="M28" s="394"/>
      <c r="N28" s="394"/>
      <c r="O28" s="394"/>
      <c r="P28" s="394"/>
      <c r="Q28" s="394"/>
      <c r="R28" s="394"/>
      <c r="S28" s="394"/>
      <c r="T28" s="394"/>
      <c r="U28" s="394"/>
      <c r="V28" s="394"/>
      <c r="W28" s="394"/>
      <c r="X28" s="394"/>
      <c r="Y28" s="394"/>
      <c r="Z28" s="394"/>
    </row>
    <row r="29" customFormat="false" ht="18.75" hidden="false" customHeight="true" outlineLevel="0" collapsed="false">
      <c r="A29" s="408" t="s">
        <v>213</v>
      </c>
      <c r="B29" s="217" t="n">
        <v>12345</v>
      </c>
      <c r="C29" s="217"/>
      <c r="D29" s="409" t="n">
        <f aca="true">TODAY()+1</f>
        <v>45008</v>
      </c>
      <c r="E29" s="409"/>
      <c r="F29" s="394"/>
      <c r="G29" s="53" t="s">
        <v>214</v>
      </c>
      <c r="H29" s="61" t="n">
        <f aca="false">A32</f>
        <v>12</v>
      </c>
      <c r="I29" s="394"/>
      <c r="J29" s="394"/>
      <c r="K29" s="394"/>
      <c r="L29" s="394"/>
      <c r="M29" s="394"/>
      <c r="N29" s="394"/>
      <c r="O29" s="394"/>
      <c r="P29" s="394"/>
      <c r="Q29" s="394"/>
      <c r="R29" s="394"/>
      <c r="S29" s="394"/>
      <c r="T29" s="394"/>
      <c r="U29" s="394"/>
      <c r="V29" s="394"/>
      <c r="W29" s="394"/>
      <c r="X29" s="394"/>
      <c r="Y29" s="394"/>
      <c r="Z29" s="394"/>
    </row>
    <row r="30" customFormat="false" ht="18.75" hidden="false" customHeight="true" outlineLevel="0" collapsed="false">
      <c r="A30" s="291"/>
      <c r="B30" s="21"/>
      <c r="C30" s="21"/>
      <c r="D30" s="329"/>
      <c r="E30" s="293"/>
      <c r="F30" s="394"/>
      <c r="G30" s="53" t="s">
        <v>31</v>
      </c>
      <c r="H30" s="61" t="n">
        <f aca="false">B32</f>
        <v>5000</v>
      </c>
      <c r="I30" s="394"/>
      <c r="J30" s="394"/>
      <c r="K30" s="394"/>
      <c r="L30" s="394"/>
      <c r="M30" s="394"/>
      <c r="N30" s="394"/>
      <c r="O30" s="394"/>
      <c r="P30" s="394"/>
      <c r="Q30" s="394"/>
      <c r="R30" s="394"/>
      <c r="S30" s="394"/>
      <c r="T30" s="394"/>
      <c r="U30" s="394"/>
      <c r="V30" s="394"/>
      <c r="W30" s="394"/>
      <c r="X30" s="394"/>
      <c r="Y30" s="394"/>
      <c r="Z30" s="394"/>
    </row>
    <row r="31" customFormat="false" ht="18.75" hidden="false" customHeight="true" outlineLevel="0" collapsed="false">
      <c r="A31" s="350" t="s">
        <v>174</v>
      </c>
      <c r="B31" s="336" t="s">
        <v>175</v>
      </c>
      <c r="C31" s="329"/>
      <c r="D31" s="336" t="s">
        <v>223</v>
      </c>
      <c r="E31" s="293"/>
      <c r="F31" s="394"/>
      <c r="G31" s="53" t="s">
        <v>32</v>
      </c>
      <c r="H31" s="410" t="str">
        <f aca="false">A41</f>
        <v>6000</v>
      </c>
      <c r="I31" s="394"/>
      <c r="J31" s="394"/>
      <c r="K31" s="394"/>
      <c r="L31" s="394"/>
      <c r="M31" s="394"/>
      <c r="N31" s="394"/>
      <c r="O31" s="394"/>
      <c r="P31" s="394"/>
      <c r="Q31" s="394"/>
      <c r="R31" s="394"/>
      <c r="S31" s="394"/>
      <c r="T31" s="394"/>
      <c r="U31" s="394"/>
      <c r="V31" s="394"/>
      <c r="W31" s="394"/>
      <c r="X31" s="394"/>
      <c r="Y31" s="394"/>
      <c r="Z31" s="394"/>
    </row>
    <row r="32" customFormat="false" ht="18.75" hidden="false" customHeight="true" outlineLevel="0" collapsed="false">
      <c r="A32" s="60" t="n">
        <v>12</v>
      </c>
      <c r="B32" s="217" t="n">
        <v>5000</v>
      </c>
      <c r="C32" s="217"/>
      <c r="D32" s="60" t="n">
        <f aca="false">(A32/12)*B32</f>
        <v>5000</v>
      </c>
      <c r="E32" s="60"/>
      <c r="F32" s="394"/>
      <c r="G32" s="53" t="s">
        <v>35</v>
      </c>
      <c r="H32" s="410" t="n">
        <f aca="false">A44*A32</f>
        <v>600</v>
      </c>
      <c r="I32" s="394"/>
      <c r="J32" s="394"/>
      <c r="K32" s="394"/>
      <c r="L32" s="394"/>
      <c r="M32" s="394"/>
      <c r="N32" s="394"/>
      <c r="O32" s="394"/>
      <c r="P32" s="394"/>
      <c r="Q32" s="394"/>
      <c r="R32" s="394"/>
      <c r="S32" s="394"/>
      <c r="T32" s="394"/>
      <c r="U32" s="394"/>
      <c r="V32" s="394"/>
      <c r="W32" s="394"/>
      <c r="X32" s="394"/>
      <c r="Y32" s="394"/>
      <c r="Z32" s="394"/>
    </row>
    <row r="33" customFormat="false" ht="18.75" hidden="false" customHeight="true" outlineLevel="0" collapsed="false">
      <c r="A33" s="222"/>
      <c r="B33" s="411"/>
      <c r="C33" s="223"/>
      <c r="D33" s="412"/>
      <c r="E33" s="293"/>
      <c r="F33" s="394"/>
      <c r="G33" s="56"/>
      <c r="H33" s="66"/>
      <c r="I33" s="394"/>
      <c r="J33" s="394"/>
      <c r="K33" s="394"/>
      <c r="L33" s="394"/>
      <c r="M33" s="394"/>
      <c r="N33" s="394"/>
      <c r="O33" s="394"/>
      <c r="P33" s="394"/>
      <c r="Q33" s="394"/>
      <c r="R33" s="394"/>
      <c r="S33" s="394"/>
      <c r="T33" s="394"/>
      <c r="U33" s="394"/>
      <c r="V33" s="394"/>
      <c r="W33" s="394"/>
      <c r="X33" s="394"/>
      <c r="Y33" s="394"/>
      <c r="Z33" s="394"/>
    </row>
    <row r="34" customFormat="false" ht="18.75" hidden="false" customHeight="true" outlineLevel="0" collapsed="false">
      <c r="A34" s="222" t="s">
        <v>232</v>
      </c>
      <c r="B34" s="224" t="s">
        <v>325</v>
      </c>
      <c r="C34" s="223" t="s">
        <v>326</v>
      </c>
      <c r="D34" s="64" t="s">
        <v>327</v>
      </c>
      <c r="E34" s="293"/>
      <c r="F34" s="394"/>
      <c r="G34" s="2"/>
      <c r="H34" s="2"/>
      <c r="I34" s="394"/>
      <c r="J34" s="394"/>
      <c r="K34" s="394"/>
      <c r="L34" s="394"/>
      <c r="M34" s="394"/>
      <c r="N34" s="394"/>
      <c r="O34" s="394"/>
      <c r="P34" s="394"/>
      <c r="Q34" s="394"/>
      <c r="R34" s="394"/>
      <c r="S34" s="394"/>
      <c r="T34" s="394"/>
      <c r="U34" s="394"/>
      <c r="V34" s="394"/>
      <c r="W34" s="394"/>
      <c r="X34" s="394"/>
      <c r="Y34" s="394"/>
      <c r="Z34" s="394"/>
    </row>
    <row r="35" customFormat="false" ht="18.75" hidden="false" customHeight="true" outlineLevel="0" collapsed="false">
      <c r="A35" s="123" t="n">
        <f aca="false">E9+E10+E13+E14</f>
        <v>48877.5</v>
      </c>
      <c r="B35" s="217" t="s">
        <v>328</v>
      </c>
      <c r="C35" s="217"/>
      <c r="D35" s="364" t="n">
        <f aca="false">A35-B35</f>
        <v>47877.5</v>
      </c>
      <c r="E35" s="364"/>
      <c r="F35" s="394"/>
      <c r="G35" s="68" t="s">
        <v>40</v>
      </c>
      <c r="H35" s="413" t="n">
        <v>0.065</v>
      </c>
      <c r="I35" s="394"/>
      <c r="J35" s="394"/>
      <c r="K35" s="394"/>
      <c r="L35" s="394"/>
      <c r="M35" s="394"/>
      <c r="N35" s="394"/>
      <c r="O35" s="394"/>
      <c r="P35" s="394"/>
      <c r="Q35" s="394"/>
      <c r="R35" s="394"/>
      <c r="S35" s="394"/>
      <c r="T35" s="394"/>
      <c r="U35" s="394"/>
      <c r="V35" s="394"/>
      <c r="W35" s="394"/>
      <c r="X35" s="394"/>
      <c r="Y35" s="394"/>
      <c r="Z35" s="394"/>
    </row>
    <row r="36" customFormat="false" ht="18.75" hidden="false" customHeight="true" outlineLevel="0" collapsed="false">
      <c r="A36" s="291"/>
      <c r="B36" s="329"/>
      <c r="C36" s="329"/>
      <c r="D36" s="329"/>
      <c r="E36" s="293"/>
      <c r="F36" s="394"/>
      <c r="G36" s="2" t="s">
        <v>41</v>
      </c>
      <c r="H36" s="2" t="n">
        <f aca="false">B38</f>
        <v>11</v>
      </c>
      <c r="I36" s="394"/>
      <c r="J36" s="394"/>
      <c r="K36" s="394"/>
      <c r="L36" s="394"/>
      <c r="M36" s="394"/>
      <c r="N36" s="394"/>
      <c r="O36" s="394"/>
      <c r="P36" s="394"/>
      <c r="Q36" s="394"/>
      <c r="R36" s="394"/>
      <c r="S36" s="394"/>
      <c r="T36" s="394"/>
      <c r="U36" s="394"/>
      <c r="V36" s="394"/>
      <c r="W36" s="394"/>
      <c r="X36" s="394"/>
      <c r="Y36" s="394"/>
      <c r="Z36" s="394"/>
    </row>
    <row r="37" customFormat="false" ht="18.75" hidden="false" customHeight="true" outlineLevel="0" collapsed="false">
      <c r="A37" s="350" t="s">
        <v>152</v>
      </c>
      <c r="B37" s="336" t="s">
        <v>329</v>
      </c>
      <c r="C37" s="329" t="s">
        <v>328</v>
      </c>
      <c r="D37" s="336" t="s">
        <v>330</v>
      </c>
      <c r="E37" s="293"/>
      <c r="F37" s="394"/>
      <c r="G37" s="2"/>
      <c r="H37" s="2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394"/>
      <c r="V37" s="394"/>
      <c r="W37" s="394"/>
      <c r="X37" s="394"/>
      <c r="Y37" s="394"/>
      <c r="Z37" s="394"/>
    </row>
    <row r="38" customFormat="false" ht="18.75" hidden="false" customHeight="true" outlineLevel="0" collapsed="false">
      <c r="A38" s="217" t="s">
        <v>232</v>
      </c>
      <c r="B38" s="233" t="n">
        <f aca="false">A32-1</f>
        <v>11</v>
      </c>
      <c r="C38" s="233"/>
      <c r="D38" s="60" t="s">
        <v>226</v>
      </c>
      <c r="E38" s="60"/>
      <c r="F38" s="394"/>
      <c r="G38" s="71" t="s">
        <v>42</v>
      </c>
      <c r="H38" s="71"/>
      <c r="I38" s="2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94"/>
    </row>
    <row r="39" customFormat="false" ht="18.75" hidden="false" customHeight="true" outlineLevel="0" collapsed="false">
      <c r="A39" s="229"/>
      <c r="B39" s="223"/>
      <c r="C39" s="223"/>
      <c r="D39" s="329"/>
      <c r="E39" s="293"/>
      <c r="F39" s="394"/>
      <c r="G39" s="2" t="s">
        <v>331</v>
      </c>
      <c r="H39" s="2" t="str">
        <f aca="false">D38</f>
        <v>500</v>
      </c>
      <c r="I39" s="2"/>
      <c r="J39" s="2"/>
      <c r="K39" s="394"/>
      <c r="L39" s="394"/>
      <c r="M39" s="394"/>
      <c r="N39" s="394"/>
      <c r="O39" s="394"/>
      <c r="P39" s="394"/>
      <c r="Q39" s="394"/>
      <c r="R39" s="394"/>
      <c r="S39" s="394"/>
      <c r="T39" s="394"/>
      <c r="U39" s="394"/>
      <c r="V39" s="394"/>
      <c r="W39" s="394"/>
      <c r="X39" s="394"/>
      <c r="Y39" s="394"/>
      <c r="Z39" s="394"/>
    </row>
    <row r="40" customFormat="false" ht="18.75" hidden="false" customHeight="true" outlineLevel="0" collapsed="false">
      <c r="A40" s="230" t="s">
        <v>332</v>
      </c>
      <c r="B40" s="231" t="s">
        <v>333</v>
      </c>
      <c r="C40" s="223"/>
      <c r="D40" s="73" t="s">
        <v>334</v>
      </c>
      <c r="E40" s="293"/>
      <c r="F40" s="394" t="s">
        <v>226</v>
      </c>
      <c r="G40" s="2" t="s">
        <v>335</v>
      </c>
      <c r="H40" s="2" t="n">
        <f aca="false">E11</f>
        <v>9647.5</v>
      </c>
      <c r="I40" s="2"/>
      <c r="J40" s="394"/>
      <c r="K40" s="394"/>
      <c r="L40" s="394"/>
      <c r="M40" s="394"/>
      <c r="N40" s="394"/>
      <c r="O40" s="394"/>
      <c r="P40" s="394"/>
      <c r="Q40" s="394"/>
      <c r="R40" s="394"/>
      <c r="S40" s="394"/>
      <c r="T40" s="394"/>
      <c r="U40" s="394"/>
      <c r="V40" s="394"/>
      <c r="W40" s="394"/>
      <c r="X40" s="394"/>
      <c r="Y40" s="394"/>
      <c r="Z40" s="394"/>
    </row>
    <row r="41" customFormat="false" ht="18.75" hidden="false" customHeight="true" outlineLevel="0" collapsed="false">
      <c r="A41" s="60" t="s">
        <v>336</v>
      </c>
      <c r="B41" s="60" t="s">
        <v>337</v>
      </c>
      <c r="C41" s="60"/>
      <c r="D41" s="217" t="s">
        <v>9</v>
      </c>
      <c r="E41" s="217"/>
      <c r="F41" s="394"/>
      <c r="G41" s="2" t="s">
        <v>338</v>
      </c>
      <c r="H41" s="2" t="str">
        <f aca="false">IF(D41="Yes",A44, 0)</f>
        <v>50</v>
      </c>
      <c r="I41" s="2"/>
      <c r="J41" s="394"/>
      <c r="K41" s="394"/>
      <c r="L41" s="394"/>
      <c r="M41" s="394"/>
      <c r="N41" s="394"/>
      <c r="O41" s="394"/>
      <c r="P41" s="394"/>
      <c r="Q41" s="394"/>
      <c r="R41" s="394"/>
      <c r="S41" s="394"/>
      <c r="T41" s="394"/>
      <c r="U41" s="394"/>
      <c r="V41" s="394"/>
      <c r="W41" s="394"/>
      <c r="X41" s="394"/>
      <c r="Y41" s="394"/>
      <c r="Z41" s="394"/>
    </row>
    <row r="42" customFormat="false" ht="18.75" hidden="false" customHeight="true" outlineLevel="0" collapsed="false">
      <c r="A42" s="229"/>
      <c r="B42" s="223"/>
      <c r="C42" s="223"/>
      <c r="D42" s="223"/>
      <c r="E42" s="236"/>
      <c r="F42" s="394"/>
      <c r="G42" s="2" t="s">
        <v>332</v>
      </c>
      <c r="H42" s="2" t="str">
        <f aca="false">A41</f>
        <v>6000</v>
      </c>
      <c r="I42" s="2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94"/>
    </row>
    <row r="43" customFormat="false" ht="18.75" hidden="false" customHeight="true" outlineLevel="0" collapsed="false">
      <c r="A43" s="336" t="s">
        <v>91</v>
      </c>
      <c r="B43" s="231" t="s">
        <v>180</v>
      </c>
      <c r="C43" s="223" t="s">
        <v>337</v>
      </c>
      <c r="D43" s="231" t="s">
        <v>181</v>
      </c>
      <c r="E43" s="236"/>
      <c r="F43" s="394"/>
      <c r="G43" s="2" t="s">
        <v>339</v>
      </c>
      <c r="H43" s="2" t="n">
        <f aca="false">A32</f>
        <v>12</v>
      </c>
      <c r="I43" s="2"/>
      <c r="J43" s="394"/>
      <c r="K43" s="394"/>
      <c r="L43" s="394"/>
      <c r="M43" s="394"/>
      <c r="N43" s="394"/>
      <c r="O43" s="394"/>
      <c r="P43" s="394"/>
      <c r="Q43" s="394"/>
      <c r="R43" s="394"/>
      <c r="S43" s="394"/>
      <c r="T43" s="394"/>
      <c r="U43" s="394"/>
      <c r="V43" s="394"/>
      <c r="W43" s="394"/>
      <c r="X43" s="394"/>
      <c r="Y43" s="394"/>
      <c r="Z43" s="394"/>
    </row>
    <row r="44" customFormat="false" ht="18.75" hidden="false" customHeight="true" outlineLevel="0" collapsed="false">
      <c r="A44" s="60" t="s">
        <v>340</v>
      </c>
      <c r="B44" s="60" t="s">
        <v>341</v>
      </c>
      <c r="C44" s="60"/>
      <c r="D44" s="60" t="s">
        <v>341</v>
      </c>
      <c r="E44" s="60"/>
      <c r="F44" s="394"/>
      <c r="G44" s="2" t="s">
        <v>342</v>
      </c>
      <c r="H44" s="2" t="n">
        <f aca="false">((H40-(((H42/(1.2))*0.2)))/(H43))</f>
        <v>720.625</v>
      </c>
      <c r="I44" s="238" t="n">
        <f aca="false">((A41*(B35-1))+D32)/B35</f>
        <v>5999</v>
      </c>
      <c r="J44" s="394"/>
      <c r="K44" s="394"/>
      <c r="L44" s="394"/>
      <c r="M44" s="394"/>
      <c r="N44" s="394"/>
      <c r="O44" s="394"/>
      <c r="P44" s="394"/>
      <c r="Q44" s="394"/>
      <c r="R44" s="394"/>
      <c r="S44" s="394"/>
      <c r="T44" s="394"/>
      <c r="U44" s="394"/>
      <c r="V44" s="394"/>
      <c r="W44" s="394"/>
      <c r="X44" s="394"/>
      <c r="Y44" s="394"/>
      <c r="Z44" s="394"/>
    </row>
    <row r="45" customFormat="false" ht="18.75" hidden="false" customHeight="true" outlineLevel="0" collapsed="false">
      <c r="A45" s="229"/>
      <c r="B45" s="223"/>
      <c r="C45" s="223"/>
      <c r="D45" s="223"/>
      <c r="E45" s="236"/>
      <c r="F45" s="394"/>
      <c r="G45" s="2" t="s">
        <v>343</v>
      </c>
      <c r="H45" s="2" t="n">
        <f aca="false">(H39-H44)+H41</f>
        <v>-170.625</v>
      </c>
      <c r="I45" s="2"/>
      <c r="J45" s="394"/>
      <c r="K45" s="394"/>
      <c r="L45" s="394"/>
      <c r="M45" s="394"/>
      <c r="N45" s="394"/>
      <c r="O45" s="394"/>
      <c r="P45" s="394"/>
      <c r="Q45" s="394"/>
      <c r="R45" s="394"/>
      <c r="S45" s="394"/>
      <c r="T45" s="394"/>
      <c r="U45" s="394"/>
      <c r="V45" s="394"/>
      <c r="W45" s="394"/>
      <c r="X45" s="394"/>
      <c r="Y45" s="394"/>
      <c r="Z45" s="394"/>
    </row>
    <row r="46" customFormat="false" ht="18.75" hidden="false" customHeight="true" outlineLevel="0" collapsed="false">
      <c r="A46" s="230" t="s">
        <v>239</v>
      </c>
      <c r="B46" s="223" t="s">
        <v>344</v>
      </c>
      <c r="C46" s="223" t="s">
        <v>4</v>
      </c>
      <c r="D46" s="223"/>
      <c r="E46" s="236"/>
      <c r="F46" s="394" t="n">
        <v>0</v>
      </c>
      <c r="G46" s="2" t="s">
        <v>345</v>
      </c>
      <c r="H46" s="2" t="n">
        <v>0</v>
      </c>
      <c r="I46" s="2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94"/>
    </row>
    <row r="47" customFormat="false" ht="18.75" hidden="false" customHeight="true" outlineLevel="0" collapsed="false">
      <c r="A47" s="123" t="s">
        <v>239</v>
      </c>
      <c r="B47" s="223"/>
      <c r="C47" s="223"/>
      <c r="D47" s="223"/>
      <c r="E47" s="236"/>
      <c r="F47" s="394"/>
      <c r="G47" s="2" t="s">
        <v>346</v>
      </c>
      <c r="H47" s="2" t="n">
        <f aca="false">A38/H29</f>
        <v>1</v>
      </c>
      <c r="I47" s="2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394"/>
      <c r="V47" s="394"/>
      <c r="W47" s="394"/>
      <c r="X47" s="394"/>
      <c r="Y47" s="394"/>
      <c r="Z47" s="394"/>
    </row>
    <row r="48" customFormat="false" ht="18.75" hidden="false" customHeight="true" outlineLevel="0" collapsed="false">
      <c r="A48" s="229"/>
      <c r="B48" s="223"/>
      <c r="C48" s="223"/>
      <c r="D48" s="223"/>
      <c r="E48" s="236"/>
      <c r="F48" s="394"/>
      <c r="G48" s="86" t="s">
        <v>347</v>
      </c>
      <c r="H48" s="2" t="n">
        <f aca="false">B41/H29</f>
        <v>1.66666666666667</v>
      </c>
      <c r="I48" s="2"/>
      <c r="J48" s="394"/>
      <c r="K48" s="394"/>
      <c r="L48" s="394"/>
      <c r="M48" s="394"/>
      <c r="N48" s="394"/>
      <c r="O48" s="394"/>
      <c r="P48" s="394"/>
      <c r="Q48" s="394"/>
      <c r="R48" s="394"/>
      <c r="S48" s="394"/>
      <c r="T48" s="394"/>
      <c r="U48" s="394"/>
      <c r="V48" s="394"/>
      <c r="W48" s="394"/>
      <c r="X48" s="394"/>
      <c r="Y48" s="394"/>
      <c r="Z48" s="394"/>
    </row>
    <row r="49" customFormat="false" ht="18.75" hidden="false" customHeight="true" outlineLevel="0" collapsed="false">
      <c r="A49" s="229"/>
      <c r="B49" s="223"/>
      <c r="C49" s="223"/>
      <c r="D49" s="223"/>
      <c r="E49" s="236"/>
      <c r="F49" s="394"/>
      <c r="G49" s="86" t="s">
        <v>348</v>
      </c>
      <c r="H49" s="2" t="n">
        <f aca="false">H45+H48+H47</f>
        <v>-167.958333333333</v>
      </c>
      <c r="I49" s="2"/>
      <c r="J49" s="394"/>
      <c r="K49" s="394"/>
      <c r="L49" s="394"/>
      <c r="M49" s="394"/>
      <c r="N49" s="394"/>
      <c r="O49" s="394"/>
      <c r="P49" s="394"/>
      <c r="Q49" s="394"/>
      <c r="R49" s="394"/>
      <c r="S49" s="394"/>
      <c r="T49" s="394"/>
      <c r="U49" s="394"/>
      <c r="V49" s="394"/>
      <c r="W49" s="394"/>
      <c r="X49" s="394"/>
      <c r="Y49" s="394"/>
      <c r="Z49" s="394"/>
    </row>
    <row r="50" customFormat="false" ht="18.75" hidden="false" customHeight="true" outlineLevel="0" collapsed="false">
      <c r="A50" s="248" t="s">
        <v>28</v>
      </c>
      <c r="B50" s="249" t="s">
        <v>33</v>
      </c>
      <c r="C50" s="249"/>
      <c r="D50" s="223"/>
      <c r="E50" s="236"/>
      <c r="F50" s="394"/>
      <c r="G50" s="2" t="s">
        <v>349</v>
      </c>
      <c r="H50" s="2" t="n">
        <f aca="false">H49-H41</f>
        <v>-217.958333333333</v>
      </c>
      <c r="I50" s="2"/>
      <c r="J50" s="394"/>
      <c r="K50" s="394"/>
      <c r="L50" s="394"/>
      <c r="M50" s="394"/>
      <c r="N50" s="394"/>
      <c r="O50" s="394"/>
      <c r="P50" s="394"/>
      <c r="Q50" s="394"/>
      <c r="R50" s="394"/>
      <c r="S50" s="394"/>
      <c r="T50" s="394"/>
      <c r="U50" s="394"/>
      <c r="V50" s="394"/>
      <c r="W50" s="394"/>
      <c r="X50" s="394"/>
      <c r="Y50" s="394"/>
      <c r="Z50" s="394"/>
    </row>
    <row r="51" customFormat="false" ht="18.75" hidden="false" customHeight="true" outlineLevel="0" collapsed="false">
      <c r="A51" s="248"/>
      <c r="B51" s="250" t="n">
        <f aca="false">H30</f>
        <v>5000</v>
      </c>
      <c r="C51" s="250"/>
      <c r="D51" s="223"/>
      <c r="E51" s="236"/>
      <c r="F51" s="394"/>
      <c r="G51" s="394"/>
      <c r="H51" s="2"/>
      <c r="I51" s="2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394"/>
      <c r="V51" s="394"/>
      <c r="W51" s="394"/>
      <c r="X51" s="394"/>
      <c r="Y51" s="394"/>
      <c r="Z51" s="394"/>
    </row>
    <row r="52" customFormat="false" ht="18.75" hidden="false" customHeight="true" outlineLevel="0" collapsed="false">
      <c r="A52" s="251" t="n">
        <f aca="false">H29</f>
        <v>12</v>
      </c>
      <c r="B52" s="92" t="n">
        <f aca="false">H49</f>
        <v>-167.958333333333</v>
      </c>
      <c r="C52" s="92"/>
      <c r="D52" s="223"/>
      <c r="E52" s="236"/>
      <c r="F52" s="394"/>
      <c r="G52" s="394"/>
      <c r="H52" s="2"/>
      <c r="I52" s="2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94"/>
    </row>
    <row r="53" customFormat="false" ht="18.75" hidden="false" customHeight="true" outlineLevel="0" collapsed="false">
      <c r="A53" s="229"/>
      <c r="B53" s="223"/>
      <c r="C53" s="223"/>
      <c r="D53" s="223"/>
      <c r="E53" s="236"/>
      <c r="F53" s="394"/>
      <c r="G53" s="394"/>
      <c r="H53" s="2"/>
      <c r="I53" s="2"/>
      <c r="J53" s="394"/>
      <c r="K53" s="394"/>
      <c r="L53" s="394"/>
      <c r="M53" s="394"/>
      <c r="N53" s="394"/>
      <c r="O53" s="394"/>
      <c r="P53" s="394"/>
      <c r="Q53" s="394"/>
      <c r="R53" s="394"/>
      <c r="S53" s="394"/>
      <c r="T53" s="394"/>
      <c r="U53" s="394"/>
      <c r="V53" s="394"/>
      <c r="W53" s="394"/>
      <c r="X53" s="394"/>
      <c r="Y53" s="394"/>
      <c r="Z53" s="394"/>
    </row>
    <row r="54" customFormat="false" ht="18.75" hidden="false" customHeight="true" outlineLevel="0" collapsed="false">
      <c r="A54" s="324" t="s">
        <v>239</v>
      </c>
      <c r="B54" s="329"/>
      <c r="C54" s="329"/>
      <c r="D54" s="325"/>
      <c r="E54" s="326"/>
      <c r="F54" s="394"/>
      <c r="G54" s="394"/>
      <c r="H54" s="2"/>
      <c r="I54" s="2"/>
      <c r="J54" s="394"/>
      <c r="K54" s="394"/>
      <c r="L54" s="394"/>
      <c r="M54" s="394"/>
      <c r="N54" s="394"/>
      <c r="O54" s="394"/>
      <c r="P54" s="394"/>
      <c r="Q54" s="394"/>
      <c r="R54" s="394"/>
      <c r="S54" s="394"/>
      <c r="T54" s="394"/>
      <c r="U54" s="394"/>
      <c r="V54" s="394"/>
      <c r="W54" s="394"/>
      <c r="X54" s="394"/>
      <c r="Y54" s="394"/>
      <c r="Z54" s="394"/>
    </row>
    <row r="55" customFormat="false" ht="18.75" hidden="false" customHeight="true" outlineLevel="0" collapsed="false">
      <c r="A55" s="291"/>
      <c r="B55" s="327"/>
      <c r="C55" s="327"/>
      <c r="D55" s="329"/>
      <c r="E55" s="293"/>
      <c r="F55" s="394"/>
      <c r="G55" s="394"/>
      <c r="H55" s="414"/>
      <c r="I55" s="2"/>
      <c r="J55" s="394"/>
      <c r="K55" s="394"/>
      <c r="L55" s="394"/>
      <c r="M55" s="394"/>
      <c r="N55" s="394"/>
      <c r="O55" s="394"/>
      <c r="P55" s="394"/>
      <c r="Q55" s="394"/>
      <c r="R55" s="394"/>
      <c r="S55" s="394"/>
      <c r="T55" s="394"/>
      <c r="U55" s="394"/>
      <c r="V55" s="394"/>
      <c r="W55" s="394"/>
      <c r="X55" s="394"/>
      <c r="Y55" s="394"/>
      <c r="Z55" s="394"/>
    </row>
    <row r="56" customFormat="false" ht="18.75" hidden="false" customHeight="true" outlineLevel="0" collapsed="false">
      <c r="A56" s="248" t="s">
        <v>28</v>
      </c>
      <c r="B56" s="249" t="s">
        <v>33</v>
      </c>
      <c r="C56" s="249"/>
      <c r="D56" s="329"/>
      <c r="E56" s="293"/>
      <c r="F56" s="394"/>
      <c r="G56" s="394"/>
      <c r="H56" s="394"/>
      <c r="I56" s="2"/>
      <c r="J56" s="394"/>
      <c r="K56" s="394"/>
      <c r="L56" s="394"/>
      <c r="M56" s="394"/>
      <c r="N56" s="394"/>
      <c r="O56" s="394"/>
      <c r="P56" s="394"/>
      <c r="Q56" s="394"/>
      <c r="R56" s="394"/>
      <c r="S56" s="394"/>
      <c r="T56" s="394"/>
      <c r="U56" s="394"/>
      <c r="V56" s="394"/>
      <c r="W56" s="394"/>
      <c r="X56" s="394"/>
      <c r="Y56" s="394"/>
      <c r="Z56" s="394"/>
    </row>
    <row r="57" customFormat="false" ht="18.75" hidden="false" customHeight="true" outlineLevel="0" collapsed="false">
      <c r="A57" s="248"/>
      <c r="B57" s="250" t="n">
        <f aca="false">H30</f>
        <v>5000</v>
      </c>
      <c r="C57" s="250"/>
      <c r="D57" s="329"/>
      <c r="E57" s="293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394"/>
      <c r="V57" s="394"/>
      <c r="W57" s="394"/>
      <c r="X57" s="394"/>
      <c r="Y57" s="394"/>
      <c r="Z57" s="394"/>
    </row>
    <row r="58" customFormat="false" ht="18.75" hidden="false" customHeight="true" outlineLevel="0" collapsed="false">
      <c r="A58" s="251" t="n">
        <f aca="false">H29</f>
        <v>12</v>
      </c>
      <c r="B58" s="92" t="n">
        <f aca="false">H49</f>
        <v>-167.958333333333</v>
      </c>
      <c r="C58" s="92"/>
      <c r="D58" s="329"/>
      <c r="E58" s="293"/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394"/>
      <c r="S58" s="394"/>
      <c r="T58" s="394"/>
      <c r="U58" s="394"/>
      <c r="V58" s="394"/>
      <c r="W58" s="394"/>
      <c r="X58" s="394"/>
      <c r="Y58" s="394"/>
      <c r="Z58" s="394"/>
    </row>
    <row r="59" customFormat="false" ht="18.75" hidden="false" customHeight="true" outlineLevel="0" collapsed="false">
      <c r="A59" s="291"/>
      <c r="B59" s="329"/>
      <c r="C59" s="329"/>
      <c r="D59" s="329"/>
      <c r="E59" s="293"/>
      <c r="F59" s="394"/>
      <c r="G59" s="394"/>
      <c r="H59" s="394"/>
      <c r="I59" s="394"/>
      <c r="J59" s="394"/>
      <c r="K59" s="394"/>
      <c r="L59" s="394"/>
      <c r="M59" s="394"/>
      <c r="N59" s="394"/>
      <c r="O59" s="394"/>
      <c r="P59" s="394"/>
      <c r="Q59" s="394"/>
      <c r="R59" s="394"/>
      <c r="S59" s="394"/>
      <c r="T59" s="394"/>
      <c r="U59" s="394"/>
      <c r="V59" s="394"/>
      <c r="W59" s="394"/>
      <c r="X59" s="394"/>
      <c r="Y59" s="394"/>
      <c r="Z59" s="394"/>
    </row>
    <row r="60" customFormat="false" ht="18.75" hidden="false" customHeight="true" outlineLevel="0" collapsed="false">
      <c r="A60" s="342"/>
      <c r="B60" s="343"/>
      <c r="C60" s="343"/>
      <c r="D60" s="343"/>
      <c r="E60" s="344"/>
      <c r="F60" s="394"/>
      <c r="G60" s="394"/>
      <c r="H60" s="394"/>
      <c r="I60" s="394"/>
      <c r="J60" s="394"/>
      <c r="K60" s="394"/>
      <c r="L60" s="394"/>
      <c r="M60" s="394"/>
      <c r="N60" s="394"/>
      <c r="O60" s="394"/>
      <c r="P60" s="394"/>
      <c r="Q60" s="394"/>
      <c r="R60" s="394"/>
      <c r="S60" s="394"/>
      <c r="T60" s="394"/>
      <c r="U60" s="394"/>
      <c r="V60" s="394"/>
      <c r="W60" s="394"/>
      <c r="X60" s="394"/>
      <c r="Y60" s="394"/>
      <c r="Z60" s="394"/>
    </row>
    <row r="61" customFormat="false" ht="18.75" hidden="false" customHeight="true" outlineLevel="0" collapsed="false">
      <c r="A61" s="292"/>
      <c r="B61" s="292"/>
      <c r="C61" s="292"/>
      <c r="D61" s="292"/>
      <c r="E61" s="292"/>
      <c r="F61" s="394"/>
      <c r="G61" s="292"/>
      <c r="H61" s="292"/>
      <c r="I61" s="292"/>
      <c r="J61" s="292"/>
      <c r="K61" s="292"/>
      <c r="L61" s="394"/>
      <c r="M61" s="292"/>
      <c r="N61" s="292"/>
      <c r="O61" s="292"/>
      <c r="P61" s="292"/>
      <c r="Q61" s="292"/>
      <c r="R61" s="394"/>
      <c r="S61" s="394"/>
      <c r="T61" s="394"/>
      <c r="U61" s="394"/>
      <c r="V61" s="394"/>
      <c r="W61" s="394"/>
      <c r="X61" s="394"/>
      <c r="Y61" s="394"/>
      <c r="Z61" s="394"/>
    </row>
    <row r="62" customFormat="false" ht="18.75" hidden="false" customHeight="true" outlineLevel="0" collapsed="false">
      <c r="A62" s="415"/>
      <c r="B62" s="416"/>
      <c r="C62" s="416"/>
      <c r="D62" s="416"/>
      <c r="E62" s="417"/>
      <c r="F62" s="394"/>
      <c r="G62" s="415"/>
      <c r="H62" s="416"/>
      <c r="I62" s="416"/>
      <c r="J62" s="416"/>
      <c r="K62" s="417"/>
      <c r="L62" s="394"/>
      <c r="M62" s="415"/>
      <c r="N62" s="416"/>
      <c r="O62" s="416"/>
      <c r="P62" s="416"/>
      <c r="Q62" s="417"/>
      <c r="R62" s="394"/>
      <c r="S62" s="394"/>
      <c r="T62" s="394"/>
      <c r="U62" s="394"/>
      <c r="V62" s="394"/>
      <c r="W62" s="394"/>
      <c r="X62" s="394"/>
      <c r="Y62" s="394"/>
      <c r="Z62" s="394"/>
    </row>
    <row r="63" customFormat="false" ht="18.75" hidden="false" customHeight="true" outlineLevel="0" collapsed="false">
      <c r="A63" s="291" t="s">
        <v>46</v>
      </c>
      <c r="B63" s="292" t="n">
        <f aca="false">IF(B105=Z103,1,IF(B105=Z104,1,IF(B105=Z105,3,IF(B105=Z106,6,IF(B105=Z107,9,IF(B105=Z108,12,IF(B105=Z109,3,IF(B105=Z110,6,IF(B105=Z111,9,0)))))))))</f>
        <v>9</v>
      </c>
      <c r="C63" s="292"/>
      <c r="D63" s="292"/>
      <c r="E63" s="293"/>
      <c r="F63" s="394"/>
      <c r="G63" s="291" t="s">
        <v>46</v>
      </c>
      <c r="H63" s="292" t="n">
        <f aca="false">IF(H105=Y103,1,IF(H105=Y104,1,IF(H105=Y105,3,IF(H105=Y106,6,IF(H105=Y107,9,IF(H105=Y108,12,IF(H105=Y109,3,IF(H105=Y110,6,IF(H105=Y111,9,0)))))))))</f>
        <v>0</v>
      </c>
      <c r="I63" s="292"/>
      <c r="J63" s="292"/>
      <c r="K63" s="293"/>
      <c r="L63" s="394"/>
      <c r="M63" s="291" t="s">
        <v>46</v>
      </c>
      <c r="N63" s="292" t="n">
        <f aca="false">IF(N105=Y103,1,IF(N105=Y104,1,IF(N105=Y105,3,IF(N105=Y106,6,IF(N105=Y107,9,IF(N105=Y108,12,IF(N105=Y109,3,IF(N105=Y110,6,IF(N105=Y111,9,0)))))))))</f>
        <v>0</v>
      </c>
      <c r="O63" s="292"/>
      <c r="P63" s="292"/>
      <c r="Q63" s="293"/>
      <c r="R63" s="394"/>
      <c r="S63" s="394"/>
      <c r="T63" s="394"/>
      <c r="U63" s="394"/>
      <c r="V63" s="394"/>
      <c r="W63" s="394"/>
      <c r="X63" s="394"/>
      <c r="Y63" s="394"/>
      <c r="Z63" s="394"/>
    </row>
    <row r="64" customFormat="false" ht="18.75" hidden="false" customHeight="true" outlineLevel="0" collapsed="false">
      <c r="A64" s="291" t="s">
        <v>60</v>
      </c>
      <c r="B64" s="292" t="n">
        <f aca="false">IF(B105=Z103,H29-B63,IF(B105=Z104,H29-B63,IF(B105=Z105,H29-1,IF(B105=Z106,H29-1,IF(B105=Z107,H29-1,IF(B105=Z108,H29-1,IF(B105=Z109,H29-B63,IF(B105=Z110,H29-B63,IF(B105=Z111,H29-B63,0)))))))))</f>
        <v>3</v>
      </c>
      <c r="C64" s="292"/>
      <c r="D64" s="292"/>
      <c r="E64" s="293"/>
      <c r="F64" s="394"/>
      <c r="G64" s="291" t="s">
        <v>60</v>
      </c>
      <c r="H64" s="292" t="n">
        <f aca="false">IF(H105=Y103,H29-H63,IF(H105=Y104,H29-H63,IF(H105=Y105,H29-1,IF(H105=Y106,H29-1,IF(H105=Y107,H29-1,IF(H105=Y108,H29-1,IF(H105=Y109,H29-H63,IF(H105=Y110,H29-H63,IF(H105=Y111,H29-H63,0)))))))))</f>
        <v>0</v>
      </c>
      <c r="I64" s="292"/>
      <c r="J64" s="292"/>
      <c r="K64" s="293"/>
      <c r="L64" s="394"/>
      <c r="M64" s="291" t="s">
        <v>60</v>
      </c>
      <c r="N64" s="292" t="n">
        <f aca="false">IF(N105=Y103,H29-N63,IF(N105=Y104,H29-N63,IF(N105=Y105,H29-1,IF(N105=Y106,H29-1,IF(N105=Y107,H29-1,IF(N105=Y108,H29-1,IF(N105=Y109,H29-N63,IF(N105=Y110,H29-N63,IF(N105=Y111,H29-N63,0)))))))))</f>
        <v>0</v>
      </c>
      <c r="O64" s="292"/>
      <c r="P64" s="292"/>
      <c r="Q64" s="293"/>
      <c r="R64" s="394"/>
      <c r="S64" s="394"/>
      <c r="T64" s="394"/>
      <c r="U64" s="394"/>
      <c r="V64" s="394"/>
      <c r="W64" s="394"/>
      <c r="X64" s="394"/>
      <c r="Y64" s="394"/>
      <c r="Z64" s="394"/>
    </row>
    <row r="65" customFormat="false" ht="18.75" hidden="false" customHeight="true" outlineLevel="0" collapsed="false">
      <c r="A65" s="291"/>
      <c r="C65" s="292"/>
      <c r="D65" s="292"/>
      <c r="E65" s="293"/>
      <c r="F65" s="394"/>
      <c r="G65" s="291"/>
      <c r="H65" s="292"/>
      <c r="I65" s="292"/>
      <c r="J65" s="292"/>
      <c r="K65" s="293"/>
      <c r="L65" s="394"/>
      <c r="M65" s="291"/>
      <c r="N65" s="292"/>
      <c r="O65" s="292"/>
      <c r="P65" s="292"/>
      <c r="Q65" s="293"/>
      <c r="R65" s="394"/>
      <c r="S65" s="394"/>
      <c r="T65" s="394"/>
      <c r="U65" s="394"/>
      <c r="V65" s="394"/>
      <c r="W65" s="394"/>
      <c r="X65" s="394"/>
      <c r="Y65" s="394"/>
      <c r="Z65" s="394"/>
    </row>
    <row r="66" customFormat="false" ht="18.75" hidden="false" customHeight="true" outlineLevel="0" collapsed="false">
      <c r="A66" s="291"/>
      <c r="B66" s="292"/>
      <c r="C66" s="292"/>
      <c r="D66" s="292"/>
      <c r="E66" s="293"/>
      <c r="F66" s="394"/>
      <c r="G66" s="291"/>
      <c r="H66" s="292"/>
      <c r="I66" s="292"/>
      <c r="J66" s="292"/>
      <c r="K66" s="293"/>
      <c r="L66" s="394"/>
      <c r="M66" s="291"/>
      <c r="N66" s="292"/>
      <c r="O66" s="292"/>
      <c r="P66" s="292"/>
      <c r="Q66" s="293"/>
      <c r="R66" s="394"/>
      <c r="S66" s="394"/>
      <c r="T66" s="394"/>
      <c r="U66" s="394"/>
      <c r="V66" s="394"/>
      <c r="W66" s="394"/>
      <c r="X66" s="394"/>
      <c r="Y66" s="394"/>
      <c r="Z66" s="394"/>
    </row>
    <row r="67" customFormat="false" ht="18.75" hidden="false" customHeight="true" outlineLevel="0" collapsed="false">
      <c r="A67" s="291" t="s">
        <v>16</v>
      </c>
      <c r="B67" s="178" t="n">
        <f aca="false">G18</f>
        <v>57885</v>
      </c>
      <c r="C67" s="292"/>
      <c r="D67" s="292"/>
      <c r="E67" s="293"/>
      <c r="F67" s="394"/>
      <c r="G67" s="291" t="s">
        <v>16</v>
      </c>
      <c r="H67" s="178" t="n">
        <f aca="false">G18</f>
        <v>57885</v>
      </c>
      <c r="I67" s="292"/>
      <c r="J67" s="292"/>
      <c r="K67" s="293"/>
      <c r="L67" s="394"/>
      <c r="M67" s="291" t="s">
        <v>16</v>
      </c>
      <c r="N67" s="178" t="n">
        <f aca="false">G18</f>
        <v>57885</v>
      </c>
      <c r="O67" s="292"/>
      <c r="P67" s="292"/>
      <c r="Q67" s="293"/>
      <c r="R67" s="394"/>
      <c r="S67" s="394"/>
      <c r="T67" s="394"/>
      <c r="U67" s="394"/>
      <c r="V67" s="394"/>
      <c r="W67" s="394"/>
      <c r="X67" s="394"/>
      <c r="Y67" s="394"/>
      <c r="Z67" s="394"/>
    </row>
    <row r="68" customFormat="false" ht="18.75" hidden="false" customHeight="true" outlineLevel="0" collapsed="false">
      <c r="A68" s="418" t="s">
        <v>241</v>
      </c>
      <c r="B68" s="419" t="n">
        <v>0.07</v>
      </c>
      <c r="C68" s="292"/>
      <c r="D68" s="292"/>
      <c r="E68" s="293"/>
      <c r="F68" s="394"/>
      <c r="G68" s="418" t="s">
        <v>241</v>
      </c>
      <c r="H68" s="419" t="n">
        <v>0.07</v>
      </c>
      <c r="I68" s="292"/>
      <c r="J68" s="292"/>
      <c r="K68" s="293"/>
      <c r="L68" s="394"/>
      <c r="M68" s="418" t="s">
        <v>241</v>
      </c>
      <c r="N68" s="419" t="n">
        <v>0.07</v>
      </c>
      <c r="O68" s="292"/>
      <c r="P68" s="292"/>
      <c r="Q68" s="293"/>
      <c r="R68" s="394"/>
      <c r="S68" s="394"/>
      <c r="T68" s="394"/>
      <c r="U68" s="394"/>
      <c r="V68" s="394"/>
      <c r="W68" s="394"/>
      <c r="X68" s="394"/>
      <c r="Y68" s="394"/>
      <c r="Z68" s="394"/>
    </row>
    <row r="69" customFormat="false" ht="18.75" hidden="false" customHeight="true" outlineLevel="0" collapsed="false">
      <c r="A69" s="291" t="s">
        <v>242</v>
      </c>
      <c r="B69" s="352" t="n">
        <f aca="false">B68+(B68*0.25*(H29/12-1))</f>
        <v>0.07</v>
      </c>
      <c r="C69" s="292"/>
      <c r="D69" s="292"/>
      <c r="E69" s="293"/>
      <c r="F69" s="394"/>
      <c r="G69" s="291" t="s">
        <v>242</v>
      </c>
      <c r="H69" s="352" t="n">
        <f aca="false">H68+(H68*0.25*(H29/12-1))</f>
        <v>0.07</v>
      </c>
      <c r="I69" s="292"/>
      <c r="J69" s="292"/>
      <c r="K69" s="293"/>
      <c r="L69" s="394"/>
      <c r="M69" s="291" t="s">
        <v>242</v>
      </c>
      <c r="N69" s="352" t="n">
        <f aca="false">N68+(N68*0.25*(H29/12-1))</f>
        <v>0.07</v>
      </c>
      <c r="O69" s="292"/>
      <c r="P69" s="292"/>
      <c r="Q69" s="293"/>
      <c r="R69" s="394"/>
      <c r="S69" s="394"/>
      <c r="T69" s="394"/>
      <c r="U69" s="394"/>
      <c r="V69" s="394"/>
      <c r="W69" s="394"/>
      <c r="X69" s="394"/>
      <c r="Y69" s="394"/>
      <c r="Z69" s="394"/>
    </row>
    <row r="70" customFormat="false" ht="18.75" hidden="false" customHeight="true" outlineLevel="0" collapsed="false">
      <c r="A70" s="342" t="s">
        <v>65</v>
      </c>
      <c r="B70" s="82" t="n">
        <f aca="false">B67*B69</f>
        <v>4051.95</v>
      </c>
      <c r="C70" s="292" t="n">
        <v>10000</v>
      </c>
      <c r="D70" s="178" t="n">
        <f aca="false">B70-A149</f>
        <v>4051.95</v>
      </c>
      <c r="E70" s="293" t="n">
        <f aca="false">D70/12</f>
        <v>337.6625</v>
      </c>
      <c r="F70" s="394"/>
      <c r="G70" s="342" t="s">
        <v>65</v>
      </c>
      <c r="H70" s="82" t="n">
        <f aca="false">H67*H69</f>
        <v>4051.95</v>
      </c>
      <c r="I70" s="292"/>
      <c r="J70" s="178" t="n">
        <f aca="false">H70-G151</f>
        <v>4051.95</v>
      </c>
      <c r="K70" s="293"/>
      <c r="L70" s="394"/>
      <c r="M70" s="342" t="s">
        <v>65</v>
      </c>
      <c r="N70" s="82" t="n">
        <f aca="false">N67*N69</f>
        <v>4051.95</v>
      </c>
      <c r="O70" s="292"/>
      <c r="P70" s="178" t="n">
        <f aca="false">N70-M151</f>
        <v>4051.95</v>
      </c>
      <c r="Q70" s="293"/>
      <c r="R70" s="394"/>
      <c r="S70" s="394"/>
      <c r="T70" s="394"/>
      <c r="U70" s="394"/>
      <c r="V70" s="394"/>
      <c r="W70" s="394"/>
      <c r="X70" s="394"/>
      <c r="Y70" s="394"/>
      <c r="Z70" s="394"/>
    </row>
    <row r="71" customFormat="false" ht="18.75" hidden="false" customHeight="true" outlineLevel="0" collapsed="false">
      <c r="A71" s="418" t="s">
        <v>66</v>
      </c>
      <c r="B71" s="419" t="n">
        <v>0.01</v>
      </c>
      <c r="C71" s="292"/>
      <c r="D71" s="292"/>
      <c r="E71" s="293"/>
      <c r="F71" s="394"/>
      <c r="G71" s="418" t="s">
        <v>66</v>
      </c>
      <c r="H71" s="419" t="n">
        <v>0.005</v>
      </c>
      <c r="I71" s="292"/>
      <c r="J71" s="292"/>
      <c r="K71" s="293"/>
      <c r="L71" s="394"/>
      <c r="M71" s="418" t="s">
        <v>66</v>
      </c>
      <c r="N71" s="419" t="n">
        <v>0.005</v>
      </c>
      <c r="O71" s="292"/>
      <c r="P71" s="292"/>
      <c r="Q71" s="293"/>
      <c r="R71" s="394"/>
      <c r="S71" s="394"/>
      <c r="T71" s="394"/>
      <c r="U71" s="394"/>
      <c r="V71" s="394"/>
      <c r="W71" s="394"/>
      <c r="X71" s="394"/>
      <c r="Y71" s="394"/>
      <c r="Z71" s="394"/>
    </row>
    <row r="72" customFormat="false" ht="18.75" hidden="false" customHeight="true" outlineLevel="0" collapsed="false">
      <c r="A72" s="291" t="s">
        <v>67</v>
      </c>
      <c r="B72" s="352" t="n">
        <f aca="false">B71+(B71*0.5*(H29/12-1))</f>
        <v>0.01</v>
      </c>
      <c r="C72" s="292"/>
      <c r="D72" s="292"/>
      <c r="E72" s="293"/>
      <c r="F72" s="394"/>
      <c r="G72" s="291" t="s">
        <v>67</v>
      </c>
      <c r="H72" s="352" t="n">
        <f aca="false">H71+(H71*0.5*(H29/12-1))</f>
        <v>0.005</v>
      </c>
      <c r="I72" s="292"/>
      <c r="J72" s="292"/>
      <c r="K72" s="293"/>
      <c r="L72" s="394"/>
      <c r="M72" s="291" t="s">
        <v>67</v>
      </c>
      <c r="N72" s="352" t="n">
        <f aca="false">N71+(N71*0.5*(H29/12-1))</f>
        <v>0.005</v>
      </c>
      <c r="O72" s="292"/>
      <c r="P72" s="292"/>
      <c r="Q72" s="293"/>
      <c r="R72" s="394"/>
      <c r="S72" s="394"/>
      <c r="T72" s="394"/>
      <c r="U72" s="394"/>
      <c r="V72" s="394"/>
      <c r="W72" s="394"/>
      <c r="X72" s="394"/>
      <c r="Y72" s="394"/>
      <c r="Z72" s="394"/>
    </row>
    <row r="73" customFormat="false" ht="18.75" hidden="false" customHeight="true" outlineLevel="0" collapsed="false">
      <c r="A73" s="342" t="s">
        <v>68</v>
      </c>
      <c r="B73" s="82" t="n">
        <f aca="false">B67*B72</f>
        <v>578.85</v>
      </c>
      <c r="C73" s="292"/>
      <c r="D73" s="178"/>
      <c r="E73" s="293"/>
      <c r="F73" s="394"/>
      <c r="G73" s="342" t="s">
        <v>68</v>
      </c>
      <c r="H73" s="82" t="n">
        <f aca="false">H67*H72</f>
        <v>289.425</v>
      </c>
      <c r="I73" s="292"/>
      <c r="J73" s="178"/>
      <c r="K73" s="293"/>
      <c r="L73" s="394"/>
      <c r="M73" s="342" t="s">
        <v>68</v>
      </c>
      <c r="N73" s="82" t="n">
        <f aca="false">N67*N72</f>
        <v>289.425</v>
      </c>
      <c r="O73" s="292"/>
      <c r="P73" s="178"/>
      <c r="Q73" s="293"/>
      <c r="R73" s="394"/>
      <c r="S73" s="394"/>
      <c r="T73" s="394"/>
      <c r="U73" s="394"/>
      <c r="V73" s="394"/>
      <c r="W73" s="394"/>
      <c r="X73" s="394"/>
      <c r="Y73" s="394"/>
      <c r="Z73" s="394"/>
    </row>
    <row r="74" customFormat="false" ht="18.75" hidden="false" customHeight="true" outlineLevel="0" collapsed="false">
      <c r="A74" s="418" t="s">
        <v>69</v>
      </c>
      <c r="B74" s="419" t="n">
        <v>0.0075</v>
      </c>
      <c r="C74" s="292"/>
      <c r="D74" s="292"/>
      <c r="E74" s="293"/>
      <c r="F74" s="394"/>
      <c r="G74" s="418" t="s">
        <v>69</v>
      </c>
      <c r="H74" s="419" t="n">
        <v>0.0075</v>
      </c>
      <c r="I74" s="292"/>
      <c r="J74" s="292"/>
      <c r="K74" s="293"/>
      <c r="L74" s="394"/>
      <c r="M74" s="418" t="s">
        <v>69</v>
      </c>
      <c r="N74" s="419" t="n">
        <v>0.0075</v>
      </c>
      <c r="O74" s="292"/>
      <c r="P74" s="292"/>
      <c r="Q74" s="293"/>
      <c r="R74" s="394"/>
      <c r="S74" s="394"/>
      <c r="T74" s="394"/>
      <c r="U74" s="394"/>
      <c r="V74" s="394"/>
      <c r="W74" s="394"/>
      <c r="X74" s="394"/>
      <c r="Y74" s="394"/>
      <c r="Z74" s="394"/>
    </row>
    <row r="75" customFormat="false" ht="18.75" hidden="false" customHeight="true" outlineLevel="0" collapsed="false">
      <c r="A75" s="397" t="s">
        <v>70</v>
      </c>
      <c r="B75" s="420" t="n">
        <v>0.12</v>
      </c>
      <c r="C75" s="292"/>
      <c r="D75" s="292"/>
      <c r="E75" s="293"/>
      <c r="F75" s="394"/>
      <c r="G75" s="397" t="s">
        <v>70</v>
      </c>
      <c r="H75" s="420" t="n">
        <v>0.12</v>
      </c>
      <c r="I75" s="292"/>
      <c r="J75" s="292"/>
      <c r="K75" s="293"/>
      <c r="L75" s="394"/>
      <c r="M75" s="397" t="s">
        <v>70</v>
      </c>
      <c r="N75" s="420" t="n">
        <v>0.12</v>
      </c>
      <c r="O75" s="292"/>
      <c r="P75" s="292"/>
      <c r="Q75" s="293"/>
      <c r="R75" s="394"/>
      <c r="S75" s="394"/>
      <c r="T75" s="394"/>
      <c r="U75" s="394"/>
      <c r="V75" s="394"/>
      <c r="W75" s="394"/>
      <c r="X75" s="394"/>
      <c r="Y75" s="394"/>
      <c r="Z75" s="394"/>
    </row>
    <row r="76" customFormat="false" ht="18.75" hidden="false" customHeight="true" outlineLevel="0" collapsed="false">
      <c r="A76" s="342" t="s">
        <v>71</v>
      </c>
      <c r="B76" s="421" t="n">
        <f aca="false">B74*(1+B75)</f>
        <v>0.0084</v>
      </c>
      <c r="C76" s="292"/>
      <c r="D76" s="292"/>
      <c r="E76" s="293"/>
      <c r="F76" s="394"/>
      <c r="G76" s="342" t="s">
        <v>71</v>
      </c>
      <c r="H76" s="421" t="n">
        <f aca="false">H74*(1+H75)</f>
        <v>0.0084</v>
      </c>
      <c r="I76" s="292"/>
      <c r="J76" s="292"/>
      <c r="K76" s="293"/>
      <c r="L76" s="394"/>
      <c r="M76" s="342" t="s">
        <v>71</v>
      </c>
      <c r="N76" s="421" t="n">
        <f aca="false">N74*(1+N75)</f>
        <v>0.0084</v>
      </c>
      <c r="O76" s="292"/>
      <c r="P76" s="292"/>
      <c r="Q76" s="293"/>
      <c r="R76" s="394"/>
      <c r="S76" s="394"/>
      <c r="T76" s="394"/>
      <c r="U76" s="394"/>
      <c r="V76" s="394"/>
      <c r="W76" s="394"/>
      <c r="X76" s="394"/>
      <c r="Y76" s="394"/>
      <c r="Z76" s="394"/>
    </row>
    <row r="77" customFormat="false" ht="18.75" hidden="false" customHeight="true" outlineLevel="0" collapsed="false">
      <c r="A77" s="418" t="s">
        <v>72</v>
      </c>
      <c r="B77" s="105" t="n">
        <v>200</v>
      </c>
      <c r="C77" s="292"/>
      <c r="D77" s="292"/>
      <c r="E77" s="293"/>
      <c r="F77" s="394"/>
      <c r="G77" s="418" t="s">
        <v>72</v>
      </c>
      <c r="H77" s="105" t="n">
        <v>160</v>
      </c>
      <c r="I77" s="292"/>
      <c r="J77" s="292"/>
      <c r="K77" s="293"/>
      <c r="L77" s="394"/>
      <c r="M77" s="418" t="s">
        <v>72</v>
      </c>
      <c r="N77" s="105" t="n">
        <v>160</v>
      </c>
      <c r="O77" s="292"/>
      <c r="P77" s="292"/>
      <c r="Q77" s="293"/>
      <c r="R77" s="394"/>
      <c r="S77" s="394"/>
      <c r="T77" s="394"/>
      <c r="U77" s="394"/>
      <c r="V77" s="394"/>
      <c r="W77" s="394"/>
      <c r="X77" s="394"/>
      <c r="Y77" s="394"/>
      <c r="Z77" s="394"/>
    </row>
    <row r="78" customFormat="false" ht="18.75" hidden="false" customHeight="true" outlineLevel="0" collapsed="false">
      <c r="A78" s="397" t="s">
        <v>73</v>
      </c>
      <c r="B78" s="96" t="n">
        <v>5</v>
      </c>
      <c r="C78" s="292"/>
      <c r="D78" s="292"/>
      <c r="E78" s="293"/>
      <c r="F78" s="394"/>
      <c r="G78" s="397" t="s">
        <v>73</v>
      </c>
      <c r="H78" s="96" t="n">
        <v>4.5</v>
      </c>
      <c r="I78" s="292"/>
      <c r="J78" s="292"/>
      <c r="K78" s="293"/>
      <c r="L78" s="394"/>
      <c r="M78" s="397" t="s">
        <v>73</v>
      </c>
      <c r="N78" s="96" t="n">
        <v>4.5</v>
      </c>
      <c r="O78" s="292"/>
      <c r="P78" s="292"/>
      <c r="Q78" s="293"/>
      <c r="R78" s="394"/>
      <c r="S78" s="394"/>
      <c r="T78" s="394"/>
      <c r="U78" s="394"/>
      <c r="V78" s="394"/>
      <c r="W78" s="394"/>
      <c r="X78" s="394"/>
      <c r="Y78" s="394"/>
      <c r="Z78" s="394"/>
    </row>
    <row r="79" customFormat="false" ht="18.75" hidden="false" customHeight="true" outlineLevel="0" collapsed="false">
      <c r="A79" s="342" t="s">
        <v>74</v>
      </c>
      <c r="B79" s="82" t="n">
        <f aca="false">B78*H29</f>
        <v>60</v>
      </c>
      <c r="C79" s="292"/>
      <c r="D79" s="178" t="n">
        <f aca="false">B79+B77</f>
        <v>260</v>
      </c>
      <c r="E79" s="422" t="n">
        <f aca="false">D79+D85+D86</f>
        <v>660</v>
      </c>
      <c r="F79" s="394"/>
      <c r="G79" s="342" t="s">
        <v>74</v>
      </c>
      <c r="H79" s="82" t="n">
        <f aca="false">H78*H29</f>
        <v>54</v>
      </c>
      <c r="I79" s="292"/>
      <c r="J79" s="178" t="n">
        <f aca="false">H79+H77</f>
        <v>214</v>
      </c>
      <c r="K79" s="293"/>
      <c r="L79" s="394"/>
      <c r="M79" s="342" t="s">
        <v>74</v>
      </c>
      <c r="N79" s="82" t="n">
        <f aca="false">N78*H29</f>
        <v>54</v>
      </c>
      <c r="O79" s="292"/>
      <c r="P79" s="178" t="n">
        <f aca="false">N79+N77</f>
        <v>214</v>
      </c>
      <c r="Q79" s="293"/>
      <c r="R79" s="394"/>
      <c r="S79" s="394"/>
      <c r="T79" s="394"/>
      <c r="U79" s="394"/>
      <c r="V79" s="394"/>
      <c r="W79" s="394"/>
      <c r="X79" s="394"/>
      <c r="Y79" s="394"/>
      <c r="Z79" s="394"/>
    </row>
    <row r="80" customFormat="false" ht="18.75" hidden="false" customHeight="true" outlineLevel="0" collapsed="false">
      <c r="A80" s="418" t="s">
        <v>243</v>
      </c>
      <c r="B80" s="105" t="n">
        <v>165</v>
      </c>
      <c r="C80" s="292"/>
      <c r="D80" s="292"/>
      <c r="E80" s="422" t="n">
        <f aca="false">E79+D82</f>
        <v>703.333333333333</v>
      </c>
      <c r="F80" s="394"/>
      <c r="G80" s="418" t="s">
        <v>243</v>
      </c>
      <c r="H80" s="105" t="n">
        <v>150</v>
      </c>
      <c r="I80" s="292"/>
      <c r="J80" s="292"/>
      <c r="K80" s="293"/>
      <c r="L80" s="394"/>
      <c r="M80" s="423" t="s">
        <v>243</v>
      </c>
      <c r="N80" s="424" t="n">
        <v>0</v>
      </c>
      <c r="O80" s="292"/>
      <c r="P80" s="292"/>
      <c r="Q80" s="293"/>
      <c r="R80" s="394"/>
      <c r="S80" s="394"/>
      <c r="T80" s="394"/>
      <c r="U80" s="394"/>
      <c r="V80" s="394"/>
      <c r="W80" s="394"/>
      <c r="X80" s="394"/>
      <c r="Y80" s="394"/>
      <c r="Z80" s="394"/>
    </row>
    <row r="81" customFormat="false" ht="18.75" hidden="false" customHeight="true" outlineLevel="0" collapsed="false">
      <c r="A81" s="397" t="s">
        <v>244</v>
      </c>
      <c r="B81" s="96" t="n">
        <v>355</v>
      </c>
      <c r="C81" s="292"/>
      <c r="D81" s="292"/>
      <c r="E81" s="293" t="n">
        <f aca="false">E80/12</f>
        <v>58.6111111111111</v>
      </c>
      <c r="F81" s="394"/>
      <c r="G81" s="397" t="s">
        <v>244</v>
      </c>
      <c r="H81" s="96" t="n">
        <f aca="false">IF(G18&gt;40000, 325, 0)</f>
        <v>325</v>
      </c>
      <c r="I81" s="292"/>
      <c r="J81" s="292"/>
      <c r="K81" s="293"/>
      <c r="L81" s="394"/>
      <c r="M81" s="425" t="s">
        <v>244</v>
      </c>
      <c r="N81" s="426" t="n">
        <v>0</v>
      </c>
      <c r="O81" s="292"/>
      <c r="P81" s="292"/>
      <c r="Q81" s="293"/>
      <c r="R81" s="394"/>
      <c r="S81" s="394"/>
      <c r="T81" s="394"/>
      <c r="U81" s="394"/>
      <c r="V81" s="394"/>
      <c r="W81" s="394"/>
      <c r="X81" s="394"/>
      <c r="Y81" s="394"/>
      <c r="Z81" s="394"/>
    </row>
    <row r="82" customFormat="false" ht="18.75" hidden="false" customHeight="true" outlineLevel="0" collapsed="false">
      <c r="A82" s="342" t="s">
        <v>245</v>
      </c>
      <c r="B82" s="82" t="n">
        <f aca="false">((B80+B81)/12)*(H29-11)</f>
        <v>43.3333333333333</v>
      </c>
      <c r="C82" s="292"/>
      <c r="D82" s="178" t="n">
        <f aca="false">IF(A50="YES", 0, B82)</f>
        <v>43.3333333333333</v>
      </c>
      <c r="E82" s="293"/>
      <c r="F82" s="394"/>
      <c r="G82" s="342" t="s">
        <v>245</v>
      </c>
      <c r="H82" s="82" t="n">
        <f aca="false">((H80+H81)/12)*(H29-11)</f>
        <v>39.5833333333333</v>
      </c>
      <c r="I82" s="292"/>
      <c r="J82" s="178" t="n">
        <f aca="false">IF(A50="YES", 0, H82)</f>
        <v>39.5833333333333</v>
      </c>
      <c r="K82" s="293"/>
      <c r="L82" s="394"/>
      <c r="M82" s="427" t="s">
        <v>245</v>
      </c>
      <c r="N82" s="428" t="n">
        <f aca="false">((N80+N81)/12)*(H29-11)</f>
        <v>0</v>
      </c>
      <c r="O82" s="292"/>
      <c r="P82" s="178" t="n">
        <f aca="false">IF(A50="YES", 0, N82)</f>
        <v>0</v>
      </c>
      <c r="Q82" s="293"/>
      <c r="R82" s="394"/>
      <c r="S82" s="394"/>
      <c r="T82" s="394"/>
      <c r="U82" s="394"/>
      <c r="V82" s="394"/>
      <c r="W82" s="394"/>
      <c r="X82" s="394"/>
      <c r="Y82" s="394"/>
      <c r="Z82" s="394"/>
    </row>
    <row r="83" customFormat="false" ht="18.75" hidden="false" customHeight="true" outlineLevel="0" collapsed="false">
      <c r="A83" s="418" t="s">
        <v>246</v>
      </c>
      <c r="B83" s="105" t="n">
        <f aca="false">B108/(1-0.1)</f>
        <v>444.444444444444</v>
      </c>
      <c r="C83" s="292"/>
      <c r="D83" s="178" t="n">
        <f aca="false">B83</f>
        <v>444.444444444444</v>
      </c>
      <c r="E83" s="293" t="n">
        <f aca="false">D83/12</f>
        <v>37.037037037037</v>
      </c>
      <c r="F83" s="394"/>
      <c r="G83" s="418" t="s">
        <v>246</v>
      </c>
      <c r="H83" s="105" t="n">
        <f aca="false">H108</f>
        <v>1200</v>
      </c>
      <c r="I83" s="292"/>
      <c r="J83" s="178" t="n">
        <f aca="false">H83</f>
        <v>1200</v>
      </c>
      <c r="K83" s="293"/>
      <c r="L83" s="394"/>
      <c r="M83" s="418" t="s">
        <v>246</v>
      </c>
      <c r="N83" s="105" t="n">
        <f aca="false">N108</f>
        <v>1200</v>
      </c>
      <c r="O83" s="292"/>
      <c r="P83" s="178" t="n">
        <f aca="false">N83</f>
        <v>1200</v>
      </c>
      <c r="Q83" s="293"/>
      <c r="R83" s="394"/>
      <c r="S83" s="394"/>
      <c r="T83" s="394"/>
      <c r="U83" s="394"/>
      <c r="V83" s="394"/>
      <c r="W83" s="394"/>
      <c r="X83" s="394"/>
      <c r="Y83" s="394"/>
      <c r="Z83" s="394"/>
    </row>
    <row r="84" customFormat="false" ht="18.75" hidden="false" customHeight="true" outlineLevel="0" collapsed="false">
      <c r="A84" s="291" t="s">
        <v>247</v>
      </c>
      <c r="B84" s="20" t="n">
        <f aca="false">D108/(1-0.1)</f>
        <v>222.222222222222</v>
      </c>
      <c r="C84" s="292"/>
      <c r="D84" s="178" t="n">
        <f aca="false">B84</f>
        <v>222.222222222222</v>
      </c>
      <c r="E84" s="293"/>
      <c r="F84" s="394"/>
      <c r="G84" s="291" t="s">
        <v>248</v>
      </c>
      <c r="H84" s="20" t="n">
        <f aca="false">J108</f>
        <v>1500</v>
      </c>
      <c r="I84" s="292"/>
      <c r="J84" s="178" t="n">
        <f aca="false">H84</f>
        <v>1500</v>
      </c>
      <c r="K84" s="293"/>
      <c r="L84" s="394"/>
      <c r="M84" s="291" t="s">
        <v>248</v>
      </c>
      <c r="N84" s="20" t="n">
        <f aca="false">P108</f>
        <v>1500</v>
      </c>
      <c r="O84" s="292"/>
      <c r="P84" s="178" t="n">
        <f aca="false">N84</f>
        <v>1500</v>
      </c>
      <c r="Q84" s="293"/>
      <c r="R84" s="394"/>
      <c r="S84" s="394"/>
      <c r="T84" s="394"/>
      <c r="U84" s="394"/>
      <c r="V84" s="394"/>
      <c r="W84" s="394"/>
      <c r="X84" s="394"/>
      <c r="Y84" s="394"/>
      <c r="Z84" s="394"/>
    </row>
    <row r="85" customFormat="false" ht="18.75" hidden="false" customHeight="true" outlineLevel="0" collapsed="false">
      <c r="A85" s="397" t="s">
        <v>75</v>
      </c>
      <c r="B85" s="96" t="n">
        <v>200</v>
      </c>
      <c r="C85" s="292"/>
      <c r="D85" s="178" t="n">
        <f aca="false">B85</f>
        <v>200</v>
      </c>
      <c r="E85" s="293"/>
      <c r="F85" s="394"/>
      <c r="G85" s="397" t="s">
        <v>75</v>
      </c>
      <c r="H85" s="96" t="n">
        <v>100</v>
      </c>
      <c r="I85" s="292"/>
      <c r="J85" s="178" t="n">
        <f aca="false">H85</f>
        <v>100</v>
      </c>
      <c r="K85" s="293"/>
      <c r="L85" s="394"/>
      <c r="M85" s="397" t="s">
        <v>75</v>
      </c>
      <c r="N85" s="96" t="n">
        <v>100</v>
      </c>
      <c r="O85" s="292"/>
      <c r="P85" s="178" t="n">
        <f aca="false">N85</f>
        <v>100</v>
      </c>
      <c r="Q85" s="293"/>
      <c r="R85" s="394"/>
      <c r="S85" s="394"/>
      <c r="T85" s="394"/>
      <c r="U85" s="394"/>
      <c r="V85" s="394"/>
      <c r="W85" s="394"/>
      <c r="X85" s="394"/>
      <c r="Y85" s="394"/>
      <c r="Z85" s="394"/>
    </row>
    <row r="86" customFormat="false" ht="18.75" hidden="false" customHeight="true" outlineLevel="0" collapsed="false">
      <c r="A86" s="429" t="s">
        <v>76</v>
      </c>
      <c r="B86" s="106" t="n">
        <v>200</v>
      </c>
      <c r="C86" s="292"/>
      <c r="D86" s="178" t="n">
        <f aca="false">B86</f>
        <v>200</v>
      </c>
      <c r="E86" s="293"/>
      <c r="F86" s="394"/>
      <c r="G86" s="429" t="s">
        <v>76</v>
      </c>
      <c r="H86" s="106" t="n">
        <v>100</v>
      </c>
      <c r="I86" s="292"/>
      <c r="J86" s="178" t="n">
        <f aca="false">H86</f>
        <v>100</v>
      </c>
      <c r="K86" s="293"/>
      <c r="L86" s="394"/>
      <c r="M86" s="429" t="s">
        <v>76</v>
      </c>
      <c r="N86" s="106" t="n">
        <v>100</v>
      </c>
      <c r="O86" s="292"/>
      <c r="P86" s="178" t="n">
        <f aca="false">N86</f>
        <v>100</v>
      </c>
      <c r="Q86" s="293"/>
      <c r="R86" s="394"/>
      <c r="S86" s="394"/>
      <c r="T86" s="394"/>
      <c r="U86" s="394"/>
      <c r="V86" s="394"/>
      <c r="W86" s="394"/>
      <c r="X86" s="394"/>
      <c r="Y86" s="394"/>
      <c r="Z86" s="394"/>
    </row>
    <row r="87" customFormat="false" ht="18.75" hidden="false" customHeight="true" outlineLevel="0" collapsed="false">
      <c r="A87" s="430" t="s">
        <v>77</v>
      </c>
      <c r="B87" s="431" t="n">
        <f aca="false">SUM(D70:D86)</f>
        <v>5421.95</v>
      </c>
      <c r="C87" s="292"/>
      <c r="D87" s="292"/>
      <c r="E87" s="293"/>
      <c r="F87" s="394"/>
      <c r="G87" s="430" t="s">
        <v>77</v>
      </c>
      <c r="H87" s="431" t="n">
        <f aca="false">SUM(J70:J86)</f>
        <v>7205.53333333333</v>
      </c>
      <c r="I87" s="292"/>
      <c r="J87" s="292"/>
      <c r="K87" s="293"/>
      <c r="L87" s="394"/>
      <c r="M87" s="430" t="s">
        <v>77</v>
      </c>
      <c r="N87" s="431" t="n">
        <f aca="false">SUM(P70:P86)</f>
        <v>7165.95</v>
      </c>
      <c r="O87" s="292"/>
      <c r="P87" s="292"/>
      <c r="Q87" s="293"/>
      <c r="R87" s="394"/>
      <c r="S87" s="394"/>
      <c r="T87" s="394"/>
      <c r="U87" s="394"/>
      <c r="V87" s="394"/>
      <c r="W87" s="394"/>
      <c r="X87" s="394"/>
      <c r="Y87" s="394"/>
      <c r="Z87" s="394"/>
    </row>
    <row r="88" customFormat="false" ht="18.75" hidden="false" customHeight="true" outlineLevel="0" collapsed="false">
      <c r="A88" s="291" t="s">
        <v>78</v>
      </c>
      <c r="B88" s="20" t="n">
        <f aca="false">B87/H29</f>
        <v>451.829166666667</v>
      </c>
      <c r="C88" s="292"/>
      <c r="D88" s="292"/>
      <c r="E88" s="293"/>
      <c r="F88" s="394"/>
      <c r="G88" s="291" t="s">
        <v>78</v>
      </c>
      <c r="H88" s="20" t="n">
        <f aca="false">H87/H29</f>
        <v>600.461111111111</v>
      </c>
      <c r="I88" s="292"/>
      <c r="J88" s="292"/>
      <c r="K88" s="293"/>
      <c r="L88" s="394"/>
      <c r="M88" s="291" t="s">
        <v>78</v>
      </c>
      <c r="N88" s="20" t="n">
        <f aca="false">N87/H29</f>
        <v>597.1625</v>
      </c>
      <c r="O88" s="292"/>
      <c r="P88" s="292"/>
      <c r="Q88" s="293"/>
      <c r="R88" s="394"/>
      <c r="S88" s="394"/>
      <c r="T88" s="394"/>
      <c r="U88" s="394"/>
      <c r="V88" s="394"/>
      <c r="W88" s="394"/>
      <c r="X88" s="394"/>
      <c r="Y88" s="394"/>
      <c r="Z88" s="394"/>
    </row>
    <row r="89" customFormat="false" ht="18.75" hidden="false" customHeight="true" outlineLevel="0" collapsed="false">
      <c r="A89" s="432" t="s">
        <v>79</v>
      </c>
      <c r="B89" s="77" t="n">
        <f aca="false">H50</f>
        <v>-217.958333333333</v>
      </c>
      <c r="C89" s="292"/>
      <c r="D89" s="292"/>
      <c r="E89" s="293"/>
      <c r="F89" s="394"/>
      <c r="G89" s="432" t="s">
        <v>79</v>
      </c>
      <c r="H89" s="77" t="n">
        <f aca="false">H46</f>
        <v>0</v>
      </c>
      <c r="I89" s="292"/>
      <c r="J89" s="292"/>
      <c r="K89" s="293"/>
      <c r="L89" s="394"/>
      <c r="M89" s="432" t="s">
        <v>79</v>
      </c>
      <c r="N89" s="77" t="n">
        <f aca="false">H46</f>
        <v>0</v>
      </c>
      <c r="O89" s="292"/>
      <c r="P89" s="292"/>
      <c r="Q89" s="293"/>
      <c r="R89" s="394"/>
      <c r="S89" s="394"/>
      <c r="T89" s="394"/>
      <c r="U89" s="394"/>
      <c r="V89" s="394"/>
      <c r="W89" s="394"/>
      <c r="X89" s="394"/>
      <c r="Y89" s="394"/>
      <c r="Z89" s="394"/>
    </row>
    <row r="90" customFormat="false" ht="18.75" hidden="false" customHeight="true" outlineLevel="0" collapsed="false">
      <c r="A90" s="291"/>
      <c r="B90" s="178"/>
      <c r="C90" s="292"/>
      <c r="D90" s="292"/>
      <c r="E90" s="293"/>
      <c r="F90" s="394"/>
      <c r="G90" s="291"/>
      <c r="H90" s="178"/>
      <c r="I90" s="292"/>
      <c r="J90" s="292"/>
      <c r="K90" s="293"/>
      <c r="L90" s="394"/>
      <c r="M90" s="291"/>
      <c r="N90" s="178"/>
      <c r="O90" s="292"/>
      <c r="P90" s="292"/>
      <c r="Q90" s="293"/>
      <c r="R90" s="394"/>
      <c r="S90" s="394"/>
      <c r="T90" s="394"/>
      <c r="U90" s="394"/>
      <c r="V90" s="394"/>
      <c r="W90" s="394"/>
      <c r="X90" s="394"/>
      <c r="Y90" s="394"/>
      <c r="Z90" s="394"/>
    </row>
    <row r="91" customFormat="false" ht="18.75" hidden="false" customHeight="true" outlineLevel="0" collapsed="false">
      <c r="A91" s="415" t="s">
        <v>88</v>
      </c>
      <c r="B91" s="50" t="n">
        <f aca="false">((B89*H29)+B87)*1.2</f>
        <v>3367.74</v>
      </c>
      <c r="C91" s="292"/>
      <c r="D91" s="292"/>
      <c r="E91" s="293"/>
      <c r="F91" s="394"/>
      <c r="G91" s="415" t="s">
        <v>88</v>
      </c>
      <c r="H91" s="50" t="n">
        <f aca="false">((H89*H29)+H87)*1.2</f>
        <v>8646.64</v>
      </c>
      <c r="I91" s="292"/>
      <c r="J91" s="292"/>
      <c r="K91" s="293"/>
      <c r="L91" s="394"/>
      <c r="M91" s="415" t="s">
        <v>88</v>
      </c>
      <c r="N91" s="50" t="n">
        <f aca="false">((N89*H29)+N87)</f>
        <v>7165.95</v>
      </c>
      <c r="O91" s="292"/>
      <c r="P91" s="292"/>
      <c r="Q91" s="293"/>
      <c r="R91" s="394"/>
      <c r="S91" s="394"/>
      <c r="T91" s="394"/>
      <c r="U91" s="394"/>
      <c r="V91" s="394"/>
      <c r="W91" s="394"/>
      <c r="X91" s="394"/>
      <c r="Y91" s="394"/>
      <c r="Z91" s="394"/>
    </row>
    <row r="92" customFormat="false" ht="18.75" hidden="false" customHeight="true" outlineLevel="0" collapsed="false">
      <c r="A92" s="291" t="s">
        <v>89</v>
      </c>
      <c r="B92" s="20" t="n">
        <f aca="false">(((B89*H29)+B87)/(1-B76))*B76</f>
        <v>23.7738805970149</v>
      </c>
      <c r="C92" s="292"/>
      <c r="D92" s="292"/>
      <c r="E92" s="433"/>
      <c r="F92" s="394"/>
      <c r="G92" s="291" t="s">
        <v>89</v>
      </c>
      <c r="H92" s="20" t="n">
        <f aca="false">(((H89*H29)+H87)/(1-H76))*H76</f>
        <v>61.0392093586123</v>
      </c>
      <c r="I92" s="292"/>
      <c r="J92" s="292"/>
      <c r="K92" s="293"/>
      <c r="L92" s="394"/>
      <c r="M92" s="291" t="s">
        <v>89</v>
      </c>
      <c r="N92" s="20" t="n">
        <f aca="false">(N91/(1-N76))*N76</f>
        <v>60.7038926986688</v>
      </c>
      <c r="O92" s="292"/>
      <c r="P92" s="292"/>
      <c r="Q92" s="293"/>
      <c r="R92" s="394"/>
      <c r="S92" s="394"/>
      <c r="T92" s="394"/>
      <c r="U92" s="394"/>
      <c r="V92" s="394"/>
      <c r="W92" s="394"/>
      <c r="X92" s="394"/>
      <c r="Y92" s="394"/>
      <c r="Z92" s="394"/>
    </row>
    <row r="93" customFormat="false" ht="18.75" hidden="false" customHeight="true" outlineLevel="0" collapsed="false">
      <c r="A93" s="342" t="s">
        <v>90</v>
      </c>
      <c r="B93" s="82" t="n">
        <f aca="false">IF(B116="YES",((B91+B92)-E120),(B91+B92))</f>
        <v>-608.486119402985</v>
      </c>
      <c r="C93" s="292"/>
      <c r="D93" s="292"/>
      <c r="E93" s="293"/>
      <c r="F93" s="394"/>
      <c r="G93" s="342" t="s">
        <v>90</v>
      </c>
      <c r="H93" s="82" t="n">
        <f aca="false">IF(H116="YES",((H91+H92)-K120),(H91+H92))</f>
        <v>10707.6792093586</v>
      </c>
      <c r="I93" s="292"/>
      <c r="J93" s="292"/>
      <c r="K93" s="293"/>
      <c r="L93" s="394"/>
      <c r="M93" s="342" t="s">
        <v>90</v>
      </c>
      <c r="N93" s="82" t="n">
        <f aca="false">IF(N116="YES",((N91+N92)-K120),(N91+N92))</f>
        <v>9226.65389269867</v>
      </c>
      <c r="O93" s="292"/>
      <c r="P93" s="292"/>
      <c r="Q93" s="293"/>
      <c r="R93" s="394"/>
      <c r="S93" s="394"/>
      <c r="T93" s="394"/>
      <c r="U93" s="394"/>
      <c r="V93" s="394"/>
      <c r="W93" s="394"/>
      <c r="X93" s="394"/>
      <c r="Y93" s="394"/>
      <c r="Z93" s="394"/>
    </row>
    <row r="94" customFormat="false" ht="18.75" hidden="false" customHeight="true" outlineLevel="0" collapsed="false">
      <c r="A94" s="291"/>
      <c r="B94" s="178"/>
      <c r="C94" s="292"/>
      <c r="D94" s="292"/>
      <c r="E94" s="293"/>
      <c r="F94" s="394"/>
      <c r="G94" s="291"/>
      <c r="H94" s="178"/>
      <c r="I94" s="292"/>
      <c r="J94" s="292"/>
      <c r="K94" s="293"/>
      <c r="L94" s="394"/>
      <c r="M94" s="291"/>
      <c r="N94" s="178"/>
      <c r="O94" s="292"/>
      <c r="P94" s="292"/>
      <c r="Q94" s="293"/>
      <c r="R94" s="394"/>
      <c r="S94" s="394"/>
      <c r="T94" s="394"/>
      <c r="U94" s="394"/>
      <c r="V94" s="394"/>
      <c r="W94" s="394"/>
      <c r="X94" s="394"/>
      <c r="Y94" s="394"/>
      <c r="Z94" s="394"/>
    </row>
    <row r="95" customFormat="false" ht="18.75" hidden="false" customHeight="true" outlineLevel="0" collapsed="false">
      <c r="A95" s="430" t="s">
        <v>91</v>
      </c>
      <c r="B95" s="431" t="n">
        <f aca="false">IF(B105=Z104,(((H41*A32)+(H41*A32)*(B111/100))/(B64)),(((H41*A32)+(H41*A32)*(B111/100))/(B63+B64)))*1.2</f>
        <v>78</v>
      </c>
      <c r="C95" s="292"/>
      <c r="D95" s="292"/>
      <c r="E95" s="293"/>
      <c r="F95" s="394"/>
      <c r="G95" s="430" t="s">
        <v>91</v>
      </c>
      <c r="H95" s="431" t="e">
        <f aca="false">(((H44*B35)+((H44*B35)*H111))/(H63+H64))*1.2</f>
        <v>#DIV/0!</v>
      </c>
      <c r="I95" s="292"/>
      <c r="J95" s="292"/>
      <c r="K95" s="293"/>
      <c r="L95" s="394"/>
      <c r="M95" s="430" t="s">
        <v>91</v>
      </c>
      <c r="N95" s="431" t="e">
        <f aca="false">((H44*B35)+((H44*B35)*N111))/(N63+N64)</f>
        <v>#DIV/0!</v>
      </c>
      <c r="O95" s="292"/>
      <c r="P95" s="292"/>
      <c r="Q95" s="293"/>
      <c r="R95" s="394"/>
      <c r="S95" s="394"/>
      <c r="T95" s="394"/>
      <c r="U95" s="394"/>
      <c r="V95" s="394"/>
      <c r="W95" s="394"/>
      <c r="X95" s="394"/>
      <c r="Y95" s="394"/>
      <c r="Z95" s="394"/>
    </row>
    <row r="96" customFormat="false" ht="18.75" hidden="false" customHeight="true" outlineLevel="0" collapsed="false">
      <c r="A96" s="434" t="s">
        <v>92</v>
      </c>
      <c r="B96" s="435" t="n">
        <f aca="false">IF(B105=Z104, (B93-D111)/(B64), B93/(B63+B64))</f>
        <v>-50.7071766169154</v>
      </c>
      <c r="C96" s="292"/>
      <c r="D96" s="292"/>
      <c r="E96" s="293"/>
      <c r="F96" s="394"/>
      <c r="G96" s="434" t="s">
        <v>92</v>
      </c>
      <c r="H96" s="435" t="e">
        <f aca="false">IF(H105=Y104, (H93-J111)/(H64), H93/(H63+H64))</f>
        <v>#DIV/0!</v>
      </c>
      <c r="I96" s="292"/>
      <c r="J96" s="292"/>
      <c r="K96" s="293"/>
      <c r="L96" s="394"/>
      <c r="M96" s="434" t="s">
        <v>92</v>
      </c>
      <c r="N96" s="435" t="e">
        <f aca="false">IF(N105=Y104, (N93-P111)/(N64), N93/(N63+N64))</f>
        <v>#DIV/0!</v>
      </c>
      <c r="O96" s="292"/>
      <c r="P96" s="292"/>
      <c r="Q96" s="293"/>
      <c r="R96" s="394"/>
      <c r="S96" s="394"/>
      <c r="T96" s="394"/>
      <c r="U96" s="394"/>
      <c r="V96" s="394"/>
      <c r="W96" s="394"/>
      <c r="X96" s="394"/>
      <c r="Y96" s="394"/>
      <c r="Z96" s="394"/>
    </row>
    <row r="97" customFormat="false" ht="18.75" hidden="false" customHeight="true" outlineLevel="0" collapsed="false">
      <c r="A97" s="436" t="s">
        <v>93</v>
      </c>
      <c r="B97" s="437" t="n">
        <f aca="false">IF(A111="YES", B96+B95, B96)</f>
        <v>27.2928233830846</v>
      </c>
      <c r="C97" s="292"/>
      <c r="D97" s="438"/>
      <c r="E97" s="293"/>
      <c r="F97" s="394"/>
      <c r="G97" s="436" t="s">
        <v>93</v>
      </c>
      <c r="H97" s="437" t="e">
        <f aca="false">IF(G111="YES", H96+H95, H96)</f>
        <v>#DIV/0!</v>
      </c>
      <c r="I97" s="292"/>
      <c r="J97" s="292"/>
      <c r="K97" s="293"/>
      <c r="L97" s="394"/>
      <c r="M97" s="436" t="s">
        <v>93</v>
      </c>
      <c r="N97" s="437" t="e">
        <f aca="false">IF(M111="YES", N96+N95, N96)</f>
        <v>#DIV/0!</v>
      </c>
      <c r="O97" s="292"/>
      <c r="P97" s="292"/>
      <c r="Q97" s="293"/>
      <c r="R97" s="394"/>
      <c r="S97" s="394"/>
      <c r="T97" s="394"/>
      <c r="U97" s="394"/>
      <c r="V97" s="394"/>
      <c r="W97" s="394"/>
      <c r="X97" s="394"/>
      <c r="Y97" s="394"/>
      <c r="Z97" s="394"/>
    </row>
    <row r="98" customFormat="false" ht="18.75" hidden="false" customHeight="true" outlineLevel="0" collapsed="false">
      <c r="A98" s="342"/>
      <c r="B98" s="343"/>
      <c r="C98" s="343"/>
      <c r="D98" s="343"/>
      <c r="E98" s="344"/>
      <c r="F98" s="394"/>
      <c r="G98" s="342"/>
      <c r="H98" s="343"/>
      <c r="I98" s="343"/>
      <c r="J98" s="343"/>
      <c r="K98" s="344"/>
      <c r="L98" s="394"/>
      <c r="M98" s="342"/>
      <c r="N98" s="343"/>
      <c r="O98" s="343"/>
      <c r="P98" s="343"/>
      <c r="Q98" s="344"/>
      <c r="R98" s="394"/>
      <c r="S98" s="394"/>
      <c r="T98" s="394"/>
      <c r="U98" s="394"/>
      <c r="V98" s="394"/>
      <c r="W98" s="394"/>
      <c r="X98" s="394"/>
      <c r="Y98" s="394"/>
      <c r="Z98" s="394"/>
    </row>
    <row r="99" customFormat="false" ht="18.75" hidden="false" customHeight="true" outlineLevel="0" collapsed="false">
      <c r="A99" s="292"/>
      <c r="B99" s="292"/>
      <c r="C99" s="292"/>
      <c r="D99" s="292"/>
      <c r="E99" s="292"/>
      <c r="F99" s="394"/>
      <c r="G99" s="292"/>
      <c r="H99" s="292"/>
      <c r="I99" s="292"/>
      <c r="J99" s="292"/>
      <c r="K99" s="292"/>
      <c r="L99" s="394"/>
      <c r="M99" s="292"/>
      <c r="N99" s="292"/>
      <c r="O99" s="292"/>
      <c r="P99" s="292"/>
      <c r="Q99" s="292"/>
      <c r="R99" s="394"/>
      <c r="S99" s="394"/>
      <c r="T99" s="394"/>
      <c r="U99" s="394"/>
      <c r="V99" s="394"/>
      <c r="W99" s="394"/>
      <c r="X99" s="394"/>
      <c r="Y99" s="394"/>
      <c r="Z99" s="394"/>
    </row>
    <row r="100" customFormat="false" ht="48.75" hidden="false" customHeight="true" outlineLevel="0" collapsed="false">
      <c r="A100" s="208" t="s">
        <v>249</v>
      </c>
      <c r="B100" s="208"/>
      <c r="C100" s="208"/>
      <c r="D100" s="208"/>
      <c r="E100" s="208"/>
      <c r="F100" s="394"/>
      <c r="G100" s="208" t="s">
        <v>250</v>
      </c>
      <c r="H100" s="208"/>
      <c r="I100" s="208"/>
      <c r="J100" s="208"/>
      <c r="K100" s="208"/>
      <c r="L100" s="394"/>
      <c r="M100" s="208" t="s">
        <v>251</v>
      </c>
      <c r="N100" s="208"/>
      <c r="O100" s="208"/>
      <c r="P100" s="208"/>
      <c r="Q100" s="208"/>
      <c r="R100" s="394"/>
      <c r="S100" s="394"/>
      <c r="T100" s="394"/>
      <c r="U100" s="394"/>
      <c r="V100" s="394"/>
      <c r="W100" s="394"/>
      <c r="X100" s="394"/>
      <c r="Y100" s="394"/>
      <c r="Z100" s="394"/>
    </row>
    <row r="101" customFormat="false" ht="18.75" hidden="false" customHeight="true" outlineLevel="0" collapsed="false">
      <c r="A101" s="291"/>
      <c r="B101" s="292"/>
      <c r="C101" s="292"/>
      <c r="D101" s="292"/>
      <c r="E101" s="293"/>
      <c r="F101" s="394"/>
      <c r="G101" s="291"/>
      <c r="H101" s="292"/>
      <c r="I101" s="292"/>
      <c r="J101" s="292"/>
      <c r="K101" s="293"/>
      <c r="L101" s="394"/>
      <c r="M101" s="291"/>
      <c r="N101" s="292"/>
      <c r="O101" s="292"/>
      <c r="P101" s="292"/>
      <c r="Q101" s="293"/>
      <c r="R101" s="394"/>
      <c r="S101" s="394"/>
      <c r="T101" s="394"/>
      <c r="U101" s="394"/>
      <c r="V101" s="394"/>
      <c r="W101" s="394"/>
      <c r="X101" s="394"/>
      <c r="Y101" s="394"/>
      <c r="Z101" s="394"/>
    </row>
    <row r="102" customFormat="false" ht="18.75" hidden="false" customHeight="true" outlineLevel="0" collapsed="false">
      <c r="A102" s="211" t="s">
        <v>26</v>
      </c>
      <c r="B102" s="211"/>
      <c r="C102" s="211"/>
      <c r="D102" s="211"/>
      <c r="E102" s="211"/>
      <c r="F102" s="394"/>
      <c r="G102" s="211" t="s">
        <v>26</v>
      </c>
      <c r="H102" s="211"/>
      <c r="I102" s="211"/>
      <c r="J102" s="211"/>
      <c r="K102" s="211"/>
      <c r="L102" s="394"/>
      <c r="M102" s="211" t="s">
        <v>26</v>
      </c>
      <c r="N102" s="211"/>
      <c r="O102" s="211"/>
      <c r="P102" s="211"/>
      <c r="Q102" s="211"/>
      <c r="R102" s="394"/>
      <c r="S102" s="394"/>
      <c r="T102" s="394"/>
      <c r="U102" s="394"/>
      <c r="V102" s="394"/>
      <c r="W102" s="394"/>
      <c r="X102" s="394"/>
      <c r="Y102" s="394"/>
      <c r="Z102" s="394"/>
    </row>
    <row r="103" customFormat="false" ht="18.75" hidden="false" customHeight="true" outlineLevel="0" collapsed="false">
      <c r="A103" s="291"/>
      <c r="B103" s="292"/>
      <c r="C103" s="292"/>
      <c r="D103" s="292"/>
      <c r="E103" s="293"/>
      <c r="F103" s="394"/>
      <c r="G103" s="291"/>
      <c r="H103" s="292"/>
      <c r="I103" s="292"/>
      <c r="J103" s="292"/>
      <c r="K103" s="293"/>
      <c r="L103" s="394"/>
      <c r="M103" s="291"/>
      <c r="N103" s="292"/>
      <c r="O103" s="292"/>
      <c r="P103" s="292"/>
      <c r="Q103" s="293"/>
      <c r="R103" s="394"/>
      <c r="S103" s="394"/>
      <c r="T103" s="394"/>
      <c r="U103" s="394"/>
      <c r="V103" s="394"/>
      <c r="W103" s="394"/>
      <c r="X103" s="394"/>
      <c r="Y103" s="394"/>
      <c r="Z103" s="394" t="s">
        <v>100</v>
      </c>
    </row>
    <row r="104" customFormat="false" ht="18.75" hidden="false" customHeight="true" outlineLevel="0" collapsed="false">
      <c r="A104" s="291" t="s">
        <v>98</v>
      </c>
      <c r="B104" s="292" t="s">
        <v>23</v>
      </c>
      <c r="C104" s="292"/>
      <c r="D104" s="292" t="s">
        <v>252</v>
      </c>
      <c r="E104" s="293"/>
      <c r="F104" s="394"/>
      <c r="G104" s="291" t="s">
        <v>98</v>
      </c>
      <c r="H104" s="292" t="s">
        <v>23</v>
      </c>
      <c r="I104" s="292"/>
      <c r="J104" s="292" t="s">
        <v>252</v>
      </c>
      <c r="K104" s="293"/>
      <c r="L104" s="394"/>
      <c r="M104" s="291" t="s">
        <v>98</v>
      </c>
      <c r="N104" s="292" t="s">
        <v>23</v>
      </c>
      <c r="O104" s="292"/>
      <c r="P104" s="292" t="s">
        <v>252</v>
      </c>
      <c r="Q104" s="293"/>
      <c r="R104" s="394"/>
      <c r="S104" s="394"/>
      <c r="T104" s="394"/>
      <c r="U104" s="394"/>
      <c r="V104" s="394"/>
      <c r="W104" s="394"/>
      <c r="X104" s="394"/>
      <c r="Y104" s="394"/>
      <c r="Z104" s="394" t="s">
        <v>253</v>
      </c>
    </row>
    <row r="105" customFormat="false" ht="18.75" hidden="false" customHeight="true" outlineLevel="0" collapsed="false">
      <c r="A105" s="350"/>
      <c r="B105" s="286" t="s">
        <v>315</v>
      </c>
      <c r="C105" s="286"/>
      <c r="D105" s="287" t="n">
        <v>1000</v>
      </c>
      <c r="E105" s="287"/>
      <c r="F105" s="394"/>
      <c r="G105" s="350" t="s">
        <v>254</v>
      </c>
      <c r="H105" s="286" t="s">
        <v>255</v>
      </c>
      <c r="I105" s="286"/>
      <c r="J105" s="287" t="n">
        <v>5000</v>
      </c>
      <c r="K105" s="287"/>
      <c r="L105" s="394"/>
      <c r="M105" s="350" t="s">
        <v>254</v>
      </c>
      <c r="N105" s="286" t="s">
        <v>256</v>
      </c>
      <c r="O105" s="286"/>
      <c r="P105" s="287" t="n">
        <v>0</v>
      </c>
      <c r="Q105" s="287"/>
      <c r="R105" s="394"/>
      <c r="S105" s="394"/>
      <c r="T105" s="394"/>
      <c r="U105" s="394"/>
      <c r="V105" s="394"/>
      <c r="W105" s="394"/>
      <c r="X105" s="394"/>
      <c r="Y105" s="394"/>
      <c r="Z105" s="394" t="s">
        <v>257</v>
      </c>
    </row>
    <row r="106" customFormat="false" ht="18.75" hidden="false" customHeight="true" outlineLevel="0" collapsed="false">
      <c r="A106" s="291"/>
      <c r="B106" s="292"/>
      <c r="C106" s="292"/>
      <c r="D106" s="292"/>
      <c r="E106" s="293"/>
      <c r="F106" s="394"/>
      <c r="G106" s="291"/>
      <c r="H106" s="292"/>
      <c r="I106" s="292"/>
      <c r="J106" s="292"/>
      <c r="K106" s="293"/>
      <c r="L106" s="394"/>
      <c r="M106" s="291"/>
      <c r="N106" s="292"/>
      <c r="O106" s="292"/>
      <c r="P106" s="292"/>
      <c r="Q106" s="293"/>
      <c r="R106" s="394"/>
      <c r="S106" s="394"/>
      <c r="T106" s="394"/>
      <c r="U106" s="394"/>
      <c r="V106" s="394"/>
      <c r="W106" s="394"/>
      <c r="X106" s="394"/>
      <c r="Y106" s="394"/>
      <c r="Z106" s="394" t="s">
        <v>258</v>
      </c>
    </row>
    <row r="107" customFormat="false" ht="18.75" hidden="false" customHeight="true" outlineLevel="0" collapsed="false">
      <c r="A107" s="291" t="s">
        <v>259</v>
      </c>
      <c r="B107" s="292" t="s">
        <v>260</v>
      </c>
      <c r="C107" s="292"/>
      <c r="D107" s="292" t="s">
        <v>261</v>
      </c>
      <c r="E107" s="293"/>
      <c r="F107" s="394"/>
      <c r="G107" s="291" t="s">
        <v>259</v>
      </c>
      <c r="H107" s="292" t="s">
        <v>260</v>
      </c>
      <c r="I107" s="292"/>
      <c r="J107" s="292" t="s">
        <v>261</v>
      </c>
      <c r="K107" s="293"/>
      <c r="L107" s="394"/>
      <c r="M107" s="291" t="s">
        <v>259</v>
      </c>
      <c r="N107" s="292" t="s">
        <v>260</v>
      </c>
      <c r="O107" s="292"/>
      <c r="P107" s="292" t="s">
        <v>261</v>
      </c>
      <c r="Q107" s="293"/>
      <c r="R107" s="394"/>
      <c r="S107" s="394"/>
      <c r="T107" s="394"/>
      <c r="U107" s="394"/>
      <c r="V107" s="394"/>
      <c r="W107" s="394"/>
      <c r="X107" s="394"/>
      <c r="Y107" s="394"/>
      <c r="Z107" s="394" t="s">
        <v>262</v>
      </c>
    </row>
    <row r="108" customFormat="false" ht="18.75" hidden="false" customHeight="true" outlineLevel="0" collapsed="false">
      <c r="A108" s="288" t="n">
        <v>239.99</v>
      </c>
      <c r="B108" s="72" t="n">
        <v>400</v>
      </c>
      <c r="C108" s="72"/>
      <c r="D108" s="72" t="n">
        <v>200</v>
      </c>
      <c r="E108" s="72"/>
      <c r="F108" s="394"/>
      <c r="G108" s="288" t="n">
        <f aca="false">199.99*1.2</f>
        <v>239.988</v>
      </c>
      <c r="H108" s="72" t="n">
        <v>1200</v>
      </c>
      <c r="I108" s="72"/>
      <c r="J108" s="72" t="n">
        <v>1500</v>
      </c>
      <c r="K108" s="72"/>
      <c r="L108" s="394"/>
      <c r="M108" s="288" t="n">
        <v>199.99</v>
      </c>
      <c r="N108" s="72" t="n">
        <v>1200</v>
      </c>
      <c r="O108" s="72"/>
      <c r="P108" s="72" t="n">
        <v>1500</v>
      </c>
      <c r="Q108" s="72"/>
      <c r="R108" s="394"/>
      <c r="S108" s="394"/>
      <c r="T108" s="394"/>
      <c r="U108" s="394"/>
      <c r="V108" s="394"/>
      <c r="W108" s="394"/>
      <c r="X108" s="394"/>
      <c r="Y108" s="394"/>
      <c r="Z108" s="394" t="s">
        <v>256</v>
      </c>
    </row>
    <row r="109" customFormat="false" ht="18.75" hidden="false" customHeight="true" outlineLevel="0" collapsed="false">
      <c r="A109" s="291"/>
      <c r="B109" s="292"/>
      <c r="C109" s="292"/>
      <c r="D109" s="292"/>
      <c r="E109" s="293"/>
      <c r="F109" s="394"/>
      <c r="G109" s="291"/>
      <c r="H109" s="292"/>
      <c r="I109" s="292"/>
      <c r="J109" s="292"/>
      <c r="K109" s="293"/>
      <c r="L109" s="394"/>
      <c r="M109" s="291"/>
      <c r="N109" s="292"/>
      <c r="O109" s="292"/>
      <c r="P109" s="292"/>
      <c r="Q109" s="293"/>
      <c r="R109" s="394"/>
      <c r="S109" s="394"/>
      <c r="T109" s="394"/>
      <c r="U109" s="394"/>
      <c r="V109" s="394"/>
      <c r="W109" s="394"/>
      <c r="X109" s="394"/>
      <c r="Y109" s="394"/>
      <c r="Z109" s="394" t="s">
        <v>255</v>
      </c>
    </row>
    <row r="110" customFormat="false" ht="18.75" hidden="false" customHeight="true" outlineLevel="0" collapsed="false">
      <c r="A110" s="350" t="s">
        <v>22</v>
      </c>
      <c r="B110" s="394" t="s">
        <v>101</v>
      </c>
      <c r="C110" s="292"/>
      <c r="D110" s="292" t="s">
        <v>112</v>
      </c>
      <c r="E110" s="293"/>
      <c r="F110" s="394"/>
      <c r="G110" s="350" t="s">
        <v>22</v>
      </c>
      <c r="H110" s="394" t="s">
        <v>101</v>
      </c>
      <c r="I110" s="292"/>
      <c r="J110" s="292" t="s">
        <v>112</v>
      </c>
      <c r="K110" s="293"/>
      <c r="L110" s="394"/>
      <c r="M110" s="350" t="s">
        <v>22</v>
      </c>
      <c r="N110" s="394" t="s">
        <v>101</v>
      </c>
      <c r="O110" s="292"/>
      <c r="P110" s="292" t="s">
        <v>112</v>
      </c>
      <c r="Q110" s="293"/>
      <c r="R110" s="394"/>
      <c r="S110" s="394"/>
      <c r="T110" s="394"/>
      <c r="U110" s="394"/>
      <c r="V110" s="394"/>
      <c r="W110" s="394"/>
      <c r="X110" s="394"/>
      <c r="Y110" s="394"/>
      <c r="Z110" s="394" t="s">
        <v>263</v>
      </c>
    </row>
    <row r="111" customFormat="false" ht="18.75" hidden="false" customHeight="true" outlineLevel="0" collapsed="false">
      <c r="A111" s="408" t="s">
        <v>9</v>
      </c>
      <c r="B111" s="286" t="n">
        <v>30</v>
      </c>
      <c r="C111" s="286"/>
      <c r="D111" s="72" t="s">
        <v>264</v>
      </c>
      <c r="E111" s="72"/>
      <c r="F111" s="394"/>
      <c r="G111" s="408" t="s">
        <v>9</v>
      </c>
      <c r="H111" s="289" t="n">
        <v>0.2</v>
      </c>
      <c r="I111" s="289"/>
      <c r="J111" s="72" t="n">
        <v>5000</v>
      </c>
      <c r="K111" s="72"/>
      <c r="L111" s="394"/>
      <c r="M111" s="408" t="s">
        <v>9</v>
      </c>
      <c r="N111" s="289" t="n">
        <v>0.2</v>
      </c>
      <c r="O111" s="289"/>
      <c r="P111" s="72" t="n">
        <v>5000</v>
      </c>
      <c r="Q111" s="72"/>
      <c r="R111" s="394"/>
      <c r="S111" s="394"/>
      <c r="T111" s="394"/>
      <c r="U111" s="394"/>
      <c r="V111" s="394"/>
      <c r="W111" s="394"/>
      <c r="X111" s="394"/>
      <c r="Y111" s="394"/>
      <c r="Z111" s="394" t="s">
        <v>265</v>
      </c>
    </row>
    <row r="112" customFormat="false" ht="18.75" hidden="false" customHeight="true" outlineLevel="0" collapsed="false">
      <c r="A112" s="291"/>
      <c r="B112" s="292"/>
      <c r="C112" s="292"/>
      <c r="D112" s="292" t="s">
        <v>4</v>
      </c>
      <c r="E112" s="293"/>
      <c r="F112" s="394"/>
      <c r="G112" s="291"/>
      <c r="H112" s="292"/>
      <c r="I112" s="292"/>
      <c r="J112" s="292"/>
      <c r="K112" s="293"/>
      <c r="L112" s="394"/>
      <c r="M112" s="291"/>
      <c r="N112" s="292"/>
      <c r="O112" s="292"/>
      <c r="P112" s="292"/>
      <c r="Q112" s="293"/>
      <c r="R112" s="394"/>
      <c r="S112" s="394"/>
      <c r="T112" s="394"/>
      <c r="U112" s="394"/>
      <c r="V112" s="394"/>
      <c r="W112" s="394"/>
      <c r="X112" s="394"/>
      <c r="Y112" s="394"/>
      <c r="Z112" s="394"/>
    </row>
    <row r="113" customFormat="false" ht="18.75" hidden="false" customHeight="true" outlineLevel="0" collapsed="false">
      <c r="A113" s="291"/>
      <c r="B113" s="292"/>
      <c r="C113" s="292"/>
      <c r="D113" s="292"/>
      <c r="E113" s="293"/>
      <c r="F113" s="394"/>
      <c r="G113" s="291"/>
      <c r="H113" s="292"/>
      <c r="I113" s="292"/>
      <c r="J113" s="292"/>
      <c r="K113" s="293"/>
      <c r="L113" s="394"/>
      <c r="M113" s="291"/>
      <c r="N113" s="292" t="s">
        <v>266</v>
      </c>
      <c r="O113" s="408" t="s">
        <v>9</v>
      </c>
      <c r="P113" s="292"/>
      <c r="Q113" s="293"/>
      <c r="R113" s="394"/>
      <c r="S113" s="394"/>
      <c r="T113" s="394"/>
      <c r="U113" s="394"/>
      <c r="V113" s="394"/>
      <c r="W113" s="394"/>
      <c r="X113" s="394"/>
      <c r="Y113" s="394"/>
      <c r="Z113" s="394"/>
    </row>
    <row r="114" customFormat="false" ht="18.75" hidden="false" customHeight="true" outlineLevel="0" collapsed="false">
      <c r="A114" s="211" t="s">
        <v>267</v>
      </c>
      <c r="B114" s="211"/>
      <c r="C114" s="211"/>
      <c r="D114" s="211"/>
      <c r="E114" s="211"/>
      <c r="F114" s="394"/>
      <c r="G114" s="211" t="s">
        <v>267</v>
      </c>
      <c r="H114" s="211"/>
      <c r="I114" s="211"/>
      <c r="J114" s="211"/>
      <c r="K114" s="211"/>
      <c r="L114" s="394"/>
      <c r="M114" s="211" t="s">
        <v>267</v>
      </c>
      <c r="N114" s="211"/>
      <c r="O114" s="211"/>
      <c r="P114" s="211"/>
      <c r="Q114" s="211"/>
      <c r="R114" s="394"/>
      <c r="S114" s="394"/>
      <c r="T114" s="394"/>
      <c r="U114" s="394"/>
      <c r="V114" s="394"/>
      <c r="W114" s="394"/>
      <c r="X114" s="394"/>
      <c r="Y114" s="394"/>
      <c r="Z114" s="394"/>
    </row>
    <row r="115" customFormat="false" ht="18.75" hidden="false" customHeight="true" outlineLevel="0" collapsed="false">
      <c r="A115" s="291"/>
      <c r="B115" s="292"/>
      <c r="C115" s="292"/>
      <c r="D115" s="292"/>
      <c r="E115" s="293"/>
      <c r="F115" s="394"/>
      <c r="G115" s="291"/>
      <c r="H115" s="292"/>
      <c r="I115" s="292"/>
      <c r="J115" s="292"/>
      <c r="K115" s="293"/>
      <c r="L115" s="394"/>
      <c r="M115" s="291"/>
      <c r="N115" s="292"/>
      <c r="O115" s="292"/>
      <c r="P115" s="292"/>
      <c r="Q115" s="293"/>
      <c r="R115" s="394"/>
      <c r="S115" s="394"/>
      <c r="T115" s="394"/>
      <c r="U115" s="394"/>
      <c r="V115" s="394"/>
      <c r="W115" s="394"/>
      <c r="X115" s="394"/>
      <c r="Y115" s="394"/>
      <c r="Z115" s="394"/>
    </row>
    <row r="116" customFormat="false" ht="18.75" hidden="false" customHeight="true" outlineLevel="0" collapsed="false">
      <c r="A116" s="291" t="s">
        <v>268</v>
      </c>
      <c r="B116" s="408" t="s">
        <v>9</v>
      </c>
      <c r="C116" s="292"/>
      <c r="D116" s="292"/>
      <c r="E116" s="293"/>
      <c r="F116" s="394"/>
      <c r="G116" s="291" t="s">
        <v>268</v>
      </c>
      <c r="H116" s="408" t="s">
        <v>9</v>
      </c>
      <c r="I116" s="292"/>
      <c r="J116" s="292"/>
      <c r="K116" s="293"/>
      <c r="L116" s="394"/>
      <c r="M116" s="291" t="s">
        <v>268</v>
      </c>
      <c r="N116" s="408" t="s">
        <v>9</v>
      </c>
      <c r="O116" s="292"/>
      <c r="P116" s="292"/>
      <c r="Q116" s="293"/>
      <c r="R116" s="394"/>
      <c r="S116" s="394"/>
      <c r="T116" s="394"/>
      <c r="U116" s="394"/>
      <c r="V116" s="394"/>
      <c r="W116" s="394"/>
      <c r="X116" s="394"/>
      <c r="Y116" s="394"/>
      <c r="Z116" s="394"/>
    </row>
    <row r="117" customFormat="false" ht="18.75" hidden="false" customHeight="true" outlineLevel="0" collapsed="false">
      <c r="A117" s="291"/>
      <c r="B117" s="292"/>
      <c r="C117" s="292"/>
      <c r="D117" s="292"/>
      <c r="E117" s="293"/>
      <c r="F117" s="394"/>
      <c r="G117" s="291"/>
      <c r="H117" s="292"/>
      <c r="I117" s="292"/>
      <c r="J117" s="292"/>
      <c r="K117" s="293"/>
      <c r="L117" s="394"/>
      <c r="M117" s="291"/>
      <c r="N117" s="292"/>
      <c r="O117" s="292"/>
      <c r="P117" s="292"/>
      <c r="Q117" s="293"/>
      <c r="R117" s="394"/>
      <c r="S117" s="394"/>
      <c r="T117" s="394"/>
      <c r="U117" s="394"/>
      <c r="V117" s="394"/>
      <c r="W117" s="394"/>
      <c r="X117" s="394"/>
      <c r="Y117" s="394"/>
      <c r="Z117" s="394"/>
    </row>
    <row r="118" customFormat="false" ht="18.75" hidden="false" customHeight="true" outlineLevel="0" collapsed="false">
      <c r="A118" s="291" t="s">
        <v>146</v>
      </c>
      <c r="B118" s="292"/>
      <c r="C118" s="292"/>
      <c r="D118" s="288" t="n">
        <v>10000</v>
      </c>
      <c r="E118" s="72" t="n">
        <v>6000</v>
      </c>
      <c r="F118" s="394"/>
      <c r="G118" s="291" t="s">
        <v>146</v>
      </c>
      <c r="H118" s="292"/>
      <c r="I118" s="292"/>
      <c r="J118" s="288" t="n">
        <v>10000</v>
      </c>
      <c r="K118" s="72" t="n">
        <v>5000</v>
      </c>
      <c r="L118" s="394"/>
      <c r="M118" s="291" t="s">
        <v>146</v>
      </c>
      <c r="N118" s="292"/>
      <c r="O118" s="292"/>
      <c r="P118" s="288" t="n">
        <v>10000</v>
      </c>
      <c r="Q118" s="72" t="n">
        <v>5000</v>
      </c>
      <c r="R118" s="394"/>
      <c r="S118" s="394"/>
      <c r="T118" s="394"/>
      <c r="U118" s="394"/>
      <c r="V118" s="394"/>
      <c r="W118" s="394"/>
      <c r="X118" s="394"/>
      <c r="Y118" s="394"/>
      <c r="Z118" s="394"/>
    </row>
    <row r="119" customFormat="false" ht="18.75" hidden="false" customHeight="true" outlineLevel="0" collapsed="false">
      <c r="A119" s="291" t="s">
        <v>147</v>
      </c>
      <c r="B119" s="292"/>
      <c r="C119" s="292"/>
      <c r="D119" s="200" t="n">
        <f aca="false">E119</f>
        <v>2000</v>
      </c>
      <c r="E119" s="72" t="n">
        <v>2000</v>
      </c>
      <c r="F119" s="394"/>
      <c r="G119" s="291" t="s">
        <v>147</v>
      </c>
      <c r="H119" s="292"/>
      <c r="I119" s="292"/>
      <c r="J119" s="200" t="n">
        <f aca="false">K119</f>
        <v>7000</v>
      </c>
      <c r="K119" s="72" t="n">
        <v>7000</v>
      </c>
      <c r="L119" s="394"/>
      <c r="M119" s="291" t="s">
        <v>147</v>
      </c>
      <c r="N119" s="292"/>
      <c r="O119" s="292"/>
      <c r="P119" s="200" t="n">
        <f aca="false">Q119</f>
        <v>7000</v>
      </c>
      <c r="Q119" s="72" t="n">
        <v>7000</v>
      </c>
      <c r="R119" s="394"/>
      <c r="S119" s="394"/>
      <c r="T119" s="394"/>
      <c r="U119" s="394"/>
      <c r="V119" s="394"/>
      <c r="W119" s="394"/>
      <c r="X119" s="394"/>
      <c r="Y119" s="394"/>
      <c r="Z119" s="394"/>
    </row>
    <row r="120" customFormat="false" ht="18.75" hidden="false" customHeight="true" outlineLevel="0" collapsed="false">
      <c r="A120" s="291" t="s">
        <v>148</v>
      </c>
      <c r="B120" s="292"/>
      <c r="C120" s="292"/>
      <c r="D120" s="200" t="n">
        <f aca="false">D118-D119</f>
        <v>8000</v>
      </c>
      <c r="E120" s="163" t="n">
        <f aca="false">E118-E119</f>
        <v>4000</v>
      </c>
      <c r="F120" s="394"/>
      <c r="G120" s="291" t="s">
        <v>148</v>
      </c>
      <c r="H120" s="292"/>
      <c r="I120" s="292"/>
      <c r="J120" s="200" t="n">
        <f aca="false">J118-J119</f>
        <v>3000</v>
      </c>
      <c r="K120" s="163" t="n">
        <f aca="false">K118-K119</f>
        <v>-2000</v>
      </c>
      <c r="L120" s="394"/>
      <c r="M120" s="291" t="s">
        <v>148</v>
      </c>
      <c r="N120" s="292"/>
      <c r="O120" s="292"/>
      <c r="P120" s="200" t="n">
        <f aca="false">P118-P119</f>
        <v>3000</v>
      </c>
      <c r="Q120" s="163" t="n">
        <f aca="false">Q118-Q119</f>
        <v>-2000</v>
      </c>
      <c r="R120" s="394"/>
      <c r="S120" s="394"/>
      <c r="T120" s="394"/>
      <c r="U120" s="394"/>
      <c r="V120" s="394"/>
      <c r="W120" s="394"/>
      <c r="X120" s="394"/>
      <c r="Y120" s="394"/>
      <c r="Z120" s="394"/>
    </row>
    <row r="121" customFormat="false" ht="18.75" hidden="false" customHeight="true" outlineLevel="0" collapsed="false">
      <c r="A121" s="291" t="s">
        <v>149</v>
      </c>
      <c r="B121" s="292"/>
      <c r="C121" s="292"/>
      <c r="D121" s="200" t="n">
        <f aca="false">D120-E120</f>
        <v>4000</v>
      </c>
      <c r="E121" s="293"/>
      <c r="F121" s="394"/>
      <c r="G121" s="291" t="s">
        <v>149</v>
      </c>
      <c r="H121" s="292"/>
      <c r="I121" s="292"/>
      <c r="J121" s="200" t="n">
        <f aca="false">J120-K120</f>
        <v>5000</v>
      </c>
      <c r="K121" s="293"/>
      <c r="L121" s="394"/>
      <c r="M121" s="291" t="s">
        <v>149</v>
      </c>
      <c r="N121" s="292"/>
      <c r="O121" s="292"/>
      <c r="P121" s="200" t="n">
        <f aca="false">P120-Q120</f>
        <v>5000</v>
      </c>
      <c r="Q121" s="293"/>
      <c r="R121" s="394"/>
      <c r="S121" s="394"/>
      <c r="T121" s="394"/>
      <c r="U121" s="394"/>
      <c r="V121" s="394"/>
      <c r="W121" s="394"/>
      <c r="X121" s="394"/>
      <c r="Y121" s="394"/>
      <c r="Z121" s="394"/>
    </row>
    <row r="122" customFormat="false" ht="18.75" hidden="false" customHeight="true" outlineLevel="0" collapsed="false">
      <c r="A122" s="291"/>
      <c r="B122" s="292"/>
      <c r="C122" s="292"/>
      <c r="D122" s="292"/>
      <c r="E122" s="293"/>
      <c r="F122" s="394"/>
      <c r="G122" s="291"/>
      <c r="H122" s="292"/>
      <c r="I122" s="292"/>
      <c r="J122" s="292"/>
      <c r="K122" s="293"/>
      <c r="L122" s="394"/>
      <c r="M122" s="291"/>
      <c r="N122" s="292"/>
      <c r="O122" s="292"/>
      <c r="P122" s="292"/>
      <c r="Q122" s="293"/>
      <c r="R122" s="394"/>
      <c r="S122" s="394"/>
      <c r="T122" s="394"/>
      <c r="U122" s="394"/>
      <c r="V122" s="394"/>
      <c r="W122" s="394"/>
      <c r="X122" s="394"/>
      <c r="Y122" s="394"/>
      <c r="Z122" s="394"/>
    </row>
    <row r="123" customFormat="false" ht="18.75" hidden="false" customHeight="true" outlineLevel="0" collapsed="false">
      <c r="A123" s="415" t="s">
        <v>108</v>
      </c>
      <c r="B123" s="416"/>
      <c r="C123" s="416"/>
      <c r="D123" s="416"/>
      <c r="E123" s="50" t="n">
        <f aca="false">D105</f>
        <v>1000</v>
      </c>
      <c r="F123" s="394"/>
      <c r="G123" s="415" t="s">
        <v>108</v>
      </c>
      <c r="H123" s="416"/>
      <c r="I123" s="416"/>
      <c r="J123" s="416"/>
      <c r="K123" s="50" t="n">
        <f aca="false">J105</f>
        <v>5000</v>
      </c>
      <c r="L123" s="394"/>
      <c r="M123" s="415" t="s">
        <v>108</v>
      </c>
      <c r="N123" s="416"/>
      <c r="O123" s="416"/>
      <c r="P123" s="416"/>
      <c r="Q123" s="50" t="n">
        <f aca="false">P105</f>
        <v>0</v>
      </c>
      <c r="R123" s="394"/>
      <c r="S123" s="394"/>
      <c r="T123" s="394"/>
      <c r="U123" s="394"/>
      <c r="V123" s="394"/>
      <c r="W123" s="394"/>
      <c r="X123" s="394"/>
      <c r="Y123" s="394"/>
      <c r="Z123" s="394"/>
    </row>
    <row r="124" customFormat="false" ht="18.75" hidden="false" customHeight="true" outlineLevel="0" collapsed="false">
      <c r="A124" s="291" t="s">
        <v>152</v>
      </c>
      <c r="B124" s="292"/>
      <c r="C124" s="292"/>
      <c r="D124" s="292"/>
      <c r="E124" s="20" t="n">
        <f aca="false">A108</f>
        <v>239.99</v>
      </c>
      <c r="F124" s="394"/>
      <c r="G124" s="291" t="s">
        <v>152</v>
      </c>
      <c r="H124" s="292"/>
      <c r="I124" s="292"/>
      <c r="J124" s="292"/>
      <c r="K124" s="20" t="n">
        <f aca="false">G108</f>
        <v>239.988</v>
      </c>
      <c r="L124" s="394"/>
      <c r="M124" s="291" t="s">
        <v>152</v>
      </c>
      <c r="N124" s="292"/>
      <c r="O124" s="292"/>
      <c r="P124" s="292"/>
      <c r="Q124" s="20" t="n">
        <f aca="false">M108</f>
        <v>199.99</v>
      </c>
      <c r="R124" s="394"/>
      <c r="S124" s="394"/>
      <c r="T124" s="394"/>
      <c r="U124" s="394"/>
      <c r="V124" s="394"/>
      <c r="W124" s="394"/>
      <c r="X124" s="394"/>
      <c r="Y124" s="394"/>
      <c r="Z124" s="394"/>
    </row>
    <row r="125" customFormat="false" ht="18.75" hidden="false" customHeight="true" outlineLevel="0" collapsed="false">
      <c r="A125" s="439" t="s">
        <v>269</v>
      </c>
      <c r="B125" s="343"/>
      <c r="C125" s="343"/>
      <c r="D125" s="343"/>
      <c r="E125" s="82" t="n">
        <f aca="false">(E124+E123)-E120</f>
        <v>-2760.01</v>
      </c>
      <c r="F125" s="394"/>
      <c r="G125" s="439" t="s">
        <v>269</v>
      </c>
      <c r="H125" s="343"/>
      <c r="I125" s="343"/>
      <c r="J125" s="343"/>
      <c r="K125" s="82" t="n">
        <f aca="false">(K124+K123)-K120</f>
        <v>7239.988</v>
      </c>
      <c r="L125" s="394"/>
      <c r="M125" s="439" t="s">
        <v>269</v>
      </c>
      <c r="N125" s="343"/>
      <c r="O125" s="343"/>
      <c r="P125" s="343"/>
      <c r="Q125" s="82" t="n">
        <f aca="false">(Q124+Q123)-Q120</f>
        <v>2199.99</v>
      </c>
      <c r="R125" s="394"/>
      <c r="S125" s="394"/>
      <c r="T125" s="394"/>
      <c r="U125" s="394"/>
      <c r="V125" s="394"/>
      <c r="W125" s="394"/>
      <c r="X125" s="394"/>
      <c r="Y125" s="394"/>
      <c r="Z125" s="394"/>
    </row>
    <row r="126" customFormat="false" ht="18.75" hidden="false" customHeight="true" outlineLevel="0" collapsed="false">
      <c r="A126" s="291"/>
      <c r="B126" s="292"/>
      <c r="C126" s="292"/>
      <c r="D126" s="292"/>
      <c r="E126" s="293"/>
      <c r="F126" s="394"/>
      <c r="G126" s="291"/>
      <c r="H126" s="292"/>
      <c r="I126" s="292"/>
      <c r="J126" s="292"/>
      <c r="K126" s="293"/>
      <c r="L126" s="394"/>
      <c r="M126" s="291"/>
      <c r="N126" s="292"/>
      <c r="O126" s="292"/>
      <c r="P126" s="292"/>
      <c r="Q126" s="293"/>
      <c r="R126" s="394"/>
      <c r="S126" s="394"/>
      <c r="T126" s="394"/>
      <c r="U126" s="394"/>
      <c r="V126" s="394"/>
      <c r="W126" s="394"/>
      <c r="X126" s="394"/>
      <c r="Y126" s="394"/>
      <c r="Z126" s="394"/>
    </row>
    <row r="127" customFormat="false" ht="18.75" hidden="false" customHeight="true" outlineLevel="0" collapsed="false">
      <c r="A127" s="291"/>
      <c r="B127" s="292"/>
      <c r="C127" s="292"/>
      <c r="D127" s="292"/>
      <c r="E127" s="293"/>
      <c r="F127" s="394"/>
      <c r="G127" s="291"/>
      <c r="H127" s="292"/>
      <c r="I127" s="292"/>
      <c r="J127" s="292"/>
      <c r="K127" s="293"/>
      <c r="L127" s="394"/>
      <c r="M127" s="291"/>
      <c r="N127" s="292"/>
      <c r="O127" s="292"/>
      <c r="P127" s="292"/>
      <c r="Q127" s="293"/>
      <c r="R127" s="394"/>
      <c r="S127" s="394"/>
      <c r="T127" s="394"/>
      <c r="U127" s="394"/>
      <c r="V127" s="394"/>
      <c r="W127" s="394"/>
      <c r="X127" s="394"/>
      <c r="Y127" s="394"/>
      <c r="Z127" s="394"/>
    </row>
    <row r="128" customFormat="false" ht="18.75" hidden="false" customHeight="true" outlineLevel="0" collapsed="false">
      <c r="A128" s="211" t="s">
        <v>270</v>
      </c>
      <c r="B128" s="211"/>
      <c r="C128" s="211"/>
      <c r="D128" s="211"/>
      <c r="E128" s="211"/>
      <c r="F128" s="394"/>
      <c r="G128" s="211" t="s">
        <v>270</v>
      </c>
      <c r="H128" s="211"/>
      <c r="I128" s="211"/>
      <c r="J128" s="211"/>
      <c r="K128" s="211"/>
      <c r="L128" s="394"/>
      <c r="M128" s="211" t="s">
        <v>270</v>
      </c>
      <c r="N128" s="211"/>
      <c r="O128" s="211"/>
      <c r="P128" s="211"/>
      <c r="Q128" s="211"/>
      <c r="R128" s="394"/>
      <c r="S128" s="394"/>
      <c r="T128" s="394"/>
      <c r="U128" s="394"/>
      <c r="V128" s="394"/>
      <c r="W128" s="394"/>
      <c r="X128" s="394"/>
      <c r="Y128" s="394"/>
      <c r="Z128" s="394"/>
    </row>
    <row r="129" customFormat="false" ht="18.75" hidden="false" customHeight="true" outlineLevel="0" collapsed="false">
      <c r="A129" s="291"/>
      <c r="B129" s="292"/>
      <c r="C129" s="292"/>
      <c r="D129" s="292"/>
      <c r="E129" s="293"/>
      <c r="F129" s="394"/>
      <c r="G129" s="291"/>
      <c r="H129" s="292"/>
      <c r="I129" s="292"/>
      <c r="J129" s="292"/>
      <c r="K129" s="293"/>
      <c r="L129" s="394"/>
      <c r="M129" s="291"/>
      <c r="N129" s="292"/>
      <c r="O129" s="292"/>
      <c r="P129" s="292"/>
      <c r="Q129" s="293"/>
      <c r="R129" s="394"/>
      <c r="S129" s="394"/>
      <c r="T129" s="394"/>
      <c r="U129" s="394"/>
      <c r="V129" s="394"/>
      <c r="W129" s="394"/>
      <c r="X129" s="394"/>
      <c r="Y129" s="394"/>
      <c r="Z129" s="394"/>
    </row>
    <row r="130" customFormat="false" ht="18.75" hidden="false" customHeight="true" outlineLevel="0" collapsed="false">
      <c r="A130" s="294" t="s">
        <v>98</v>
      </c>
      <c r="B130" s="295" t="n">
        <v>0</v>
      </c>
      <c r="C130" s="296"/>
      <c r="D130" s="295" t="s">
        <v>33</v>
      </c>
      <c r="E130" s="297"/>
      <c r="F130" s="394"/>
      <c r="G130" s="291" t="s">
        <v>29</v>
      </c>
      <c r="H130" s="168" t="n">
        <v>0</v>
      </c>
      <c r="I130" s="168"/>
      <c r="J130" s="292"/>
      <c r="K130" s="293"/>
      <c r="L130" s="394"/>
      <c r="M130" s="291" t="s">
        <v>29</v>
      </c>
      <c r="N130" s="168" t="n">
        <v>0</v>
      </c>
      <c r="O130" s="168"/>
      <c r="P130" s="292"/>
      <c r="Q130" s="293"/>
      <c r="R130" s="394"/>
      <c r="S130" s="394"/>
      <c r="T130" s="394"/>
      <c r="U130" s="394"/>
      <c r="V130" s="394"/>
      <c r="W130" s="394"/>
      <c r="X130" s="394"/>
      <c r="Y130" s="394"/>
      <c r="Z130" s="394"/>
    </row>
    <row r="131" customFormat="false" ht="18.75" hidden="false" customHeight="true" outlineLevel="0" collapsed="false">
      <c r="A131" s="298" t="s">
        <v>254</v>
      </c>
      <c r="B131" s="299" t="n">
        <f aca="false">A167</f>
        <v>12</v>
      </c>
      <c r="C131" s="300"/>
      <c r="D131" s="299" t="n">
        <f aca="false">B166</f>
        <v>5000</v>
      </c>
      <c r="E131" s="297"/>
      <c r="F131" s="394"/>
      <c r="G131" s="291"/>
      <c r="H131" s="292"/>
      <c r="I131" s="292"/>
      <c r="J131" s="292"/>
      <c r="K131" s="293"/>
      <c r="L131" s="394"/>
      <c r="M131" s="291"/>
      <c r="N131" s="292"/>
      <c r="O131" s="292"/>
      <c r="P131" s="292"/>
      <c r="Q131" s="293"/>
      <c r="R131" s="394"/>
      <c r="S131" s="394"/>
      <c r="T131" s="394"/>
      <c r="U131" s="394"/>
      <c r="V131" s="394"/>
      <c r="W131" s="394"/>
      <c r="X131" s="394"/>
      <c r="Y131" s="394"/>
      <c r="Z131" s="394"/>
    </row>
    <row r="132" customFormat="false" ht="18.75" hidden="false" customHeight="true" outlineLevel="0" collapsed="false">
      <c r="A132" s="294"/>
      <c r="B132" s="295"/>
      <c r="C132" s="295"/>
      <c r="D132" s="295"/>
      <c r="E132" s="297"/>
      <c r="F132" s="394"/>
      <c r="G132" s="291" t="s">
        <v>28</v>
      </c>
      <c r="H132" s="292" t="s">
        <v>33</v>
      </c>
      <c r="I132" s="292"/>
      <c r="J132" s="292" t="s">
        <v>60</v>
      </c>
      <c r="K132" s="293"/>
      <c r="L132" s="394"/>
      <c r="M132" s="291" t="s">
        <v>28</v>
      </c>
      <c r="N132" s="292" t="s">
        <v>33</v>
      </c>
      <c r="O132" s="292"/>
      <c r="P132" s="292" t="s">
        <v>60</v>
      </c>
      <c r="Q132" s="293"/>
      <c r="R132" s="394"/>
      <c r="S132" s="394"/>
      <c r="T132" s="394"/>
      <c r="U132" s="394"/>
      <c r="V132" s="394"/>
      <c r="W132" s="394"/>
      <c r="X132" s="394"/>
      <c r="Y132" s="394"/>
      <c r="Z132" s="394"/>
    </row>
    <row r="133" customFormat="false" ht="18.75" hidden="false" customHeight="true" outlineLevel="0" collapsed="false">
      <c r="A133" s="294" t="s">
        <v>92</v>
      </c>
      <c r="B133" s="295" t="s">
        <v>271</v>
      </c>
      <c r="C133" s="296"/>
      <c r="D133" s="295" t="s">
        <v>272</v>
      </c>
      <c r="E133" s="297"/>
      <c r="F133" s="394"/>
      <c r="G133" s="222" t="n">
        <f aca="false">G158</f>
        <v>12</v>
      </c>
      <c r="H133" s="174" t="n">
        <f aca="false">B157</f>
        <v>0</v>
      </c>
      <c r="I133" s="306"/>
      <c r="J133" s="174" t="n">
        <f aca="false">B64</f>
        <v>3</v>
      </c>
      <c r="K133" s="293"/>
      <c r="L133" s="394"/>
      <c r="M133" s="222" t="n">
        <f aca="false">M161</f>
        <v>12</v>
      </c>
      <c r="N133" s="174" t="n">
        <f aca="false">B157</f>
        <v>0</v>
      </c>
      <c r="O133" s="306"/>
      <c r="P133" s="174" t="n">
        <f aca="false">B64</f>
        <v>3</v>
      </c>
      <c r="Q133" s="293"/>
      <c r="R133" s="394"/>
      <c r="S133" s="394"/>
      <c r="T133" s="394"/>
      <c r="U133" s="394"/>
      <c r="V133" s="394"/>
      <c r="W133" s="394"/>
      <c r="X133" s="394"/>
      <c r="Y133" s="394"/>
      <c r="Z133" s="394"/>
    </row>
    <row r="134" customFormat="false" ht="18.75" hidden="false" customHeight="true" outlineLevel="0" collapsed="false">
      <c r="A134" s="298" t="n">
        <f aca="false">B96</f>
        <v>-50.7071766169154</v>
      </c>
      <c r="B134" s="296" t="n">
        <f aca="false">IF(A111="YES", B95, 0)</f>
        <v>78</v>
      </c>
      <c r="C134" s="300"/>
      <c r="D134" s="296" t="n">
        <f aca="false">B97</f>
        <v>27.2928233830846</v>
      </c>
      <c r="E134" s="297"/>
      <c r="F134" s="394"/>
      <c r="G134" s="291"/>
      <c r="H134" s="292"/>
      <c r="I134" s="292"/>
      <c r="J134" s="292"/>
      <c r="K134" s="293"/>
      <c r="L134" s="394"/>
      <c r="M134" s="291"/>
      <c r="N134" s="292"/>
      <c r="O134" s="292"/>
      <c r="P134" s="292"/>
      <c r="Q134" s="293"/>
      <c r="R134" s="394"/>
      <c r="S134" s="394"/>
      <c r="T134" s="394"/>
      <c r="U134" s="394"/>
      <c r="V134" s="394"/>
      <c r="W134" s="394"/>
      <c r="X134" s="394"/>
      <c r="Y134" s="394"/>
      <c r="Z134" s="394"/>
    </row>
    <row r="135" customFormat="false" ht="18.75" hidden="false" customHeight="true" outlineLevel="0" collapsed="false">
      <c r="A135" s="291"/>
      <c r="B135" s="292"/>
      <c r="C135" s="292"/>
      <c r="D135" s="292"/>
      <c r="E135" s="293"/>
      <c r="F135" s="394"/>
      <c r="G135" s="440" t="s">
        <v>273</v>
      </c>
      <c r="H135" s="441" t="s">
        <v>274</v>
      </c>
      <c r="I135" s="441"/>
      <c r="J135" s="441" t="s">
        <v>275</v>
      </c>
      <c r="K135" s="293"/>
      <c r="L135" s="394"/>
      <c r="M135" s="440" t="s">
        <v>276</v>
      </c>
      <c r="N135" s="441" t="s">
        <v>227</v>
      </c>
      <c r="O135" s="441"/>
      <c r="P135" s="441" t="s">
        <v>93</v>
      </c>
      <c r="Q135" s="293"/>
      <c r="R135" s="394"/>
      <c r="S135" s="394"/>
      <c r="T135" s="394"/>
      <c r="U135" s="394"/>
      <c r="V135" s="394"/>
      <c r="W135" s="394"/>
      <c r="X135" s="394"/>
      <c r="Y135" s="394"/>
      <c r="Z135" s="394"/>
    </row>
    <row r="136" customFormat="false" ht="18.75" hidden="false" customHeight="true" outlineLevel="0" collapsed="false">
      <c r="A136" s="304" t="s">
        <v>23</v>
      </c>
      <c r="B136" s="305" t="s">
        <v>277</v>
      </c>
      <c r="C136" s="306"/>
      <c r="D136" s="305" t="s">
        <v>278</v>
      </c>
      <c r="E136" s="293"/>
      <c r="F136" s="394"/>
      <c r="G136" s="307" t="e">
        <f aca="false">H96</f>
        <v>#DIV/0!</v>
      </c>
      <c r="H136" s="442" t="e">
        <f aca="false">IF(G111="YES", H95*H63, 0)</f>
        <v>#DIV/0!</v>
      </c>
      <c r="I136" s="442"/>
      <c r="J136" s="308" t="e">
        <f aca="false">H97</f>
        <v>#DIV/0!</v>
      </c>
      <c r="K136" s="293"/>
      <c r="L136" s="394"/>
      <c r="M136" s="307" t="e">
        <f aca="false">N96</f>
        <v>#DIV/0!</v>
      </c>
      <c r="N136" s="442" t="e">
        <f aca="false">IF(M111="YES", N95*N63, 0)</f>
        <v>#DIV/0!</v>
      </c>
      <c r="O136" s="442"/>
      <c r="P136" s="442" t="e">
        <f aca="false">N97</f>
        <v>#DIV/0!</v>
      </c>
      <c r="Q136" s="293"/>
      <c r="R136" s="394"/>
      <c r="S136" s="394"/>
      <c r="T136" s="394"/>
      <c r="U136" s="394"/>
      <c r="V136" s="394"/>
      <c r="W136" s="394"/>
      <c r="X136" s="394"/>
      <c r="Y136" s="394"/>
      <c r="Z136" s="394"/>
    </row>
    <row r="137" customFormat="false" ht="18.75" hidden="false" customHeight="true" outlineLevel="0" collapsed="false">
      <c r="A137" s="309" t="str">
        <f aca="false">B105</f>
        <v>Terminal pause with 9 down</v>
      </c>
      <c r="B137" s="201" t="n">
        <f aca="false">B96*B63</f>
        <v>-456.364589552238</v>
      </c>
      <c r="C137" s="292"/>
      <c r="D137" s="201" t="n">
        <f aca="false">IF(A111="YES", B95*B63, 0)</f>
        <v>702</v>
      </c>
      <c r="E137" s="293"/>
      <c r="F137" s="394"/>
      <c r="G137" s="291"/>
      <c r="H137" s="292"/>
      <c r="I137" s="292"/>
      <c r="J137" s="292"/>
      <c r="K137" s="293"/>
      <c r="L137" s="394"/>
      <c r="M137" s="291"/>
      <c r="N137" s="292"/>
      <c r="O137" s="292"/>
      <c r="P137" s="292"/>
      <c r="Q137" s="293"/>
      <c r="R137" s="394"/>
      <c r="S137" s="394"/>
      <c r="T137" s="394"/>
      <c r="U137" s="394"/>
      <c r="V137" s="394"/>
      <c r="W137" s="394"/>
      <c r="X137" s="394"/>
      <c r="Y137" s="394"/>
      <c r="Z137" s="394"/>
    </row>
    <row r="138" customFormat="false" ht="18.75" hidden="false" customHeight="true" outlineLevel="0" collapsed="false">
      <c r="A138" s="291"/>
      <c r="B138" s="292"/>
      <c r="C138" s="292"/>
      <c r="D138" s="292"/>
      <c r="E138" s="293"/>
      <c r="F138" s="394"/>
      <c r="G138" s="291" t="s">
        <v>279</v>
      </c>
      <c r="H138" s="292" t="s">
        <v>280</v>
      </c>
      <c r="I138" s="292"/>
      <c r="J138" s="292" t="s">
        <v>281</v>
      </c>
      <c r="K138" s="293"/>
      <c r="L138" s="394"/>
      <c r="M138" s="291" t="s">
        <v>282</v>
      </c>
      <c r="N138" s="292" t="s">
        <v>216</v>
      </c>
      <c r="O138" s="292"/>
      <c r="P138" s="292" t="s">
        <v>220</v>
      </c>
      <c r="Q138" s="293"/>
      <c r="R138" s="394"/>
      <c r="S138" s="394"/>
      <c r="T138" s="394"/>
      <c r="U138" s="394"/>
      <c r="V138" s="394"/>
      <c r="W138" s="394"/>
      <c r="X138" s="394"/>
      <c r="Y138" s="394"/>
      <c r="Z138" s="394"/>
    </row>
    <row r="139" customFormat="false" ht="18.75" hidden="false" customHeight="true" outlineLevel="0" collapsed="false">
      <c r="A139" s="123" t="s">
        <v>283</v>
      </c>
      <c r="B139" s="200" t="s">
        <v>284</v>
      </c>
      <c r="C139" s="310"/>
      <c r="D139" s="240" t="s">
        <v>177</v>
      </c>
      <c r="E139" s="293"/>
      <c r="F139" s="394"/>
      <c r="G139" s="69" t="e">
        <f aca="false">H96*H63</f>
        <v>#DIV/0!</v>
      </c>
      <c r="H139" s="201" t="e">
        <f aca="false">IF(G111="YES", H95*H63, 0)</f>
        <v>#DIV/0!</v>
      </c>
      <c r="I139" s="310"/>
      <c r="J139" s="201" t="e">
        <f aca="false">H97*H63</f>
        <v>#DIV/0!</v>
      </c>
      <c r="K139" s="293"/>
      <c r="L139" s="394"/>
      <c r="M139" s="69" t="e">
        <f aca="false">N96*N63</f>
        <v>#DIV/0!</v>
      </c>
      <c r="N139" s="201" t="e">
        <f aca="false">IF(M111="YES", N95*N63, 0)</f>
        <v>#DIV/0!</v>
      </c>
      <c r="O139" s="310"/>
      <c r="P139" s="232" t="e">
        <f aca="false">N97*N63</f>
        <v>#DIV/0!</v>
      </c>
      <c r="Q139" s="293"/>
      <c r="R139" s="394"/>
      <c r="S139" s="394"/>
      <c r="T139" s="394"/>
      <c r="U139" s="394"/>
      <c r="V139" s="394"/>
      <c r="W139" s="394"/>
      <c r="X139" s="394"/>
      <c r="Y139" s="394"/>
      <c r="Z139" s="394"/>
    </row>
    <row r="140" customFormat="false" ht="18.75" hidden="false" customHeight="true" outlineLevel="0" collapsed="false">
      <c r="A140" s="70" t="n">
        <f aca="false">B97*B63</f>
        <v>245.635410447762</v>
      </c>
      <c r="B140" s="201" t="n">
        <f aca="false">E120</f>
        <v>4000</v>
      </c>
      <c r="C140" s="292"/>
      <c r="D140" s="311" t="n">
        <f aca="false">B64</f>
        <v>3</v>
      </c>
      <c r="E140" s="293"/>
      <c r="F140" s="394"/>
      <c r="G140" s="291"/>
      <c r="H140" s="292"/>
      <c r="I140" s="292"/>
      <c r="J140" s="292"/>
      <c r="K140" s="293"/>
      <c r="L140" s="394"/>
      <c r="M140" s="291"/>
      <c r="N140" s="292"/>
      <c r="O140" s="292"/>
      <c r="P140" s="292"/>
      <c r="Q140" s="293"/>
      <c r="R140" s="394"/>
      <c r="S140" s="394"/>
      <c r="T140" s="394"/>
      <c r="U140" s="394"/>
      <c r="V140" s="394"/>
      <c r="W140" s="394"/>
      <c r="X140" s="394"/>
      <c r="Y140" s="394"/>
      <c r="Z140" s="394"/>
    </row>
    <row r="141" customFormat="false" ht="18.75" hidden="false" customHeight="true" outlineLevel="0" collapsed="false">
      <c r="A141" s="70"/>
      <c r="B141" s="312"/>
      <c r="C141" s="292"/>
      <c r="D141" s="292"/>
      <c r="E141" s="293"/>
      <c r="F141" s="394"/>
      <c r="G141" s="291" t="s">
        <v>285</v>
      </c>
      <c r="H141" s="292" t="s">
        <v>286</v>
      </c>
      <c r="I141" s="292"/>
      <c r="J141" s="292" t="s">
        <v>287</v>
      </c>
      <c r="K141" s="293"/>
      <c r="L141" s="394"/>
      <c r="M141" s="291" t="s">
        <v>229</v>
      </c>
      <c r="N141" s="292" t="s">
        <v>230</v>
      </c>
      <c r="O141" s="292"/>
      <c r="P141" s="292" t="s">
        <v>235</v>
      </c>
      <c r="Q141" s="293"/>
      <c r="R141" s="394"/>
      <c r="S141" s="394"/>
      <c r="T141" s="394"/>
      <c r="U141" s="394"/>
      <c r="V141" s="394"/>
      <c r="W141" s="394"/>
      <c r="X141" s="394"/>
      <c r="Y141" s="394"/>
      <c r="Z141" s="394"/>
    </row>
    <row r="142" customFormat="false" ht="18.75" hidden="false" customHeight="true" outlineLevel="0" collapsed="false">
      <c r="A142" s="78" t="s">
        <v>92</v>
      </c>
      <c r="B142" s="313" t="s">
        <v>271</v>
      </c>
      <c r="C142" s="292"/>
      <c r="D142" s="292" t="s">
        <v>272</v>
      </c>
      <c r="E142" s="293"/>
      <c r="F142" s="394"/>
      <c r="G142" s="70" t="n">
        <f aca="false">E15*0.000006</f>
        <v>0.35115</v>
      </c>
      <c r="H142" s="201" t="n">
        <f aca="false">IF(G111="YES", E15*0.000002, 0)</f>
        <v>0.11705</v>
      </c>
      <c r="I142" s="201"/>
      <c r="J142" s="201" t="n">
        <f aca="false">G142+H142</f>
        <v>0.4682</v>
      </c>
      <c r="K142" s="177"/>
      <c r="L142" s="394"/>
      <c r="M142" s="70" t="n">
        <f aca="false">E15*0.000006</f>
        <v>0.35115</v>
      </c>
      <c r="N142" s="201" t="n">
        <f aca="false">IF(M111="YES", E15*0.000002, 0)</f>
        <v>0.11705</v>
      </c>
      <c r="O142" s="201"/>
      <c r="P142" s="201" t="n">
        <f aca="false">M142+N142</f>
        <v>0.4682</v>
      </c>
      <c r="Q142" s="177"/>
      <c r="R142" s="394"/>
      <c r="S142" s="394"/>
      <c r="T142" s="394"/>
      <c r="U142" s="394"/>
      <c r="V142" s="394"/>
      <c r="W142" s="394"/>
      <c r="X142" s="394"/>
      <c r="Y142" s="394"/>
      <c r="Z142" s="394"/>
    </row>
    <row r="143" customFormat="false" ht="18.75" hidden="false" customHeight="true" outlineLevel="0" collapsed="false">
      <c r="A143" s="70" t="n">
        <f aca="false">B96</f>
        <v>-50.7071766169154</v>
      </c>
      <c r="B143" s="201" t="n">
        <f aca="false">IF(A111="YES", B95, 0)</f>
        <v>78</v>
      </c>
      <c r="C143" s="292"/>
      <c r="D143" s="201" t="n">
        <f aca="false">B97</f>
        <v>27.2928233830846</v>
      </c>
      <c r="E143" s="293"/>
      <c r="F143" s="394"/>
      <c r="G143" s="291"/>
      <c r="H143" s="292"/>
      <c r="I143" s="292"/>
      <c r="J143" s="292"/>
      <c r="K143" s="293"/>
      <c r="L143" s="394"/>
      <c r="M143" s="291"/>
      <c r="N143" s="292"/>
      <c r="O143" s="292"/>
      <c r="P143" s="292"/>
      <c r="Q143" s="293"/>
      <c r="R143" s="394"/>
      <c r="S143" s="394"/>
      <c r="T143" s="394"/>
      <c r="U143" s="394"/>
      <c r="V143" s="394"/>
      <c r="W143" s="394"/>
      <c r="X143" s="394"/>
      <c r="Y143" s="394"/>
      <c r="Z143" s="394"/>
    </row>
    <row r="144" customFormat="false" ht="18.75" hidden="false" customHeight="true" outlineLevel="0" collapsed="false">
      <c r="A144" s="291"/>
      <c r="B144" s="292"/>
      <c r="C144" s="292"/>
      <c r="D144" s="292"/>
      <c r="E144" s="293"/>
      <c r="F144" s="394"/>
      <c r="G144" s="291" t="s">
        <v>288</v>
      </c>
      <c r="H144" s="292" t="s">
        <v>289</v>
      </c>
      <c r="I144" s="292"/>
      <c r="J144" s="292" t="s">
        <v>290</v>
      </c>
      <c r="K144" s="293"/>
      <c r="L144" s="394"/>
      <c r="M144" s="291" t="s">
        <v>111</v>
      </c>
      <c r="N144" s="292" t="s">
        <v>289</v>
      </c>
      <c r="O144" s="292"/>
      <c r="P144" s="292" t="s">
        <v>290</v>
      </c>
      <c r="Q144" s="293"/>
      <c r="R144" s="394"/>
      <c r="S144" s="394"/>
      <c r="T144" s="394"/>
      <c r="U144" s="394"/>
      <c r="V144" s="394"/>
      <c r="W144" s="394"/>
      <c r="X144" s="394"/>
      <c r="Y144" s="394"/>
      <c r="Z144" s="394"/>
    </row>
    <row r="145" customFormat="false" ht="18.75" hidden="false" customHeight="true" outlineLevel="0" collapsed="false">
      <c r="A145" s="314" t="s">
        <v>180</v>
      </c>
      <c r="B145" s="315" t="s">
        <v>291</v>
      </c>
      <c r="C145" s="201"/>
      <c r="D145" s="315" t="s">
        <v>182</v>
      </c>
      <c r="E145" s="177"/>
      <c r="F145" s="394"/>
      <c r="G145" s="70" t="n">
        <f aca="false">G108</f>
        <v>239.988</v>
      </c>
      <c r="H145" s="201" t="n">
        <f aca="false">H73/1.2</f>
        <v>241.1875</v>
      </c>
      <c r="I145" s="201"/>
      <c r="J145" s="201" t="n">
        <f aca="false">H108*0.9</f>
        <v>1080</v>
      </c>
      <c r="K145" s="177"/>
      <c r="L145" s="394"/>
      <c r="M145" s="70" t="n">
        <f aca="false">M108</f>
        <v>199.99</v>
      </c>
      <c r="N145" s="201" t="n">
        <f aca="false">N73/1.2</f>
        <v>241.1875</v>
      </c>
      <c r="O145" s="201"/>
      <c r="P145" s="201" t="n">
        <f aca="false">N108*0.9</f>
        <v>1080</v>
      </c>
      <c r="Q145" s="177"/>
      <c r="R145" s="394"/>
      <c r="S145" s="394"/>
      <c r="T145" s="394"/>
      <c r="U145" s="394"/>
      <c r="V145" s="394"/>
      <c r="W145" s="394"/>
      <c r="X145" s="394"/>
      <c r="Y145" s="394"/>
      <c r="Z145" s="394"/>
    </row>
    <row r="146" customFormat="false" ht="18.75" hidden="false" customHeight="true" outlineLevel="0" collapsed="false">
      <c r="A146" s="316" t="n">
        <f aca="false">(G18*0.000006)*1.2*100</f>
        <v>41.6772</v>
      </c>
      <c r="B146" s="317" t="n">
        <f aca="false">G18*0.000002 *1.2*100</f>
        <v>13.8924</v>
      </c>
      <c r="C146" s="292"/>
      <c r="D146" s="317" t="n">
        <f aca="false">A146+B146</f>
        <v>55.5696</v>
      </c>
      <c r="E146" s="293"/>
      <c r="F146" s="394"/>
      <c r="G146" s="291"/>
      <c r="H146" s="292"/>
      <c r="I146" s="292"/>
      <c r="J146" s="292"/>
      <c r="K146" s="293"/>
      <c r="L146" s="394"/>
      <c r="M146" s="291"/>
      <c r="N146" s="292"/>
      <c r="O146" s="292"/>
      <c r="P146" s="292"/>
      <c r="Q146" s="293"/>
      <c r="R146" s="394"/>
      <c r="S146" s="394"/>
      <c r="T146" s="394"/>
      <c r="U146" s="394"/>
      <c r="V146" s="394"/>
      <c r="W146" s="394"/>
      <c r="X146" s="394"/>
      <c r="Y146" s="394"/>
      <c r="Z146" s="394"/>
    </row>
    <row r="147" customFormat="false" ht="18.75" hidden="false" customHeight="true" outlineLevel="0" collapsed="false">
      <c r="A147" s="316"/>
      <c r="B147" s="317"/>
      <c r="C147" s="292"/>
      <c r="D147" s="317"/>
      <c r="E147" s="293"/>
      <c r="F147" s="394"/>
      <c r="G147" s="291" t="s">
        <v>292</v>
      </c>
      <c r="H147" s="292" t="s">
        <v>293</v>
      </c>
      <c r="I147" s="292"/>
      <c r="J147" s="292" t="s">
        <v>294</v>
      </c>
      <c r="K147" s="293"/>
      <c r="L147" s="394"/>
      <c r="M147" s="291" t="s">
        <v>292</v>
      </c>
      <c r="N147" s="292" t="s">
        <v>293</v>
      </c>
      <c r="O147" s="292"/>
      <c r="P147" s="292" t="s">
        <v>294</v>
      </c>
      <c r="Q147" s="293"/>
      <c r="R147" s="394"/>
      <c r="S147" s="394"/>
      <c r="T147" s="394"/>
      <c r="U147" s="394"/>
      <c r="V147" s="394"/>
      <c r="W147" s="394"/>
      <c r="X147" s="394"/>
      <c r="Y147" s="394"/>
      <c r="Z147" s="394"/>
    </row>
    <row r="148" customFormat="false" ht="18.75" hidden="false" customHeight="true" outlineLevel="0" collapsed="false">
      <c r="A148" s="314" t="s">
        <v>295</v>
      </c>
      <c r="B148" s="315" t="s">
        <v>152</v>
      </c>
      <c r="C148" s="201"/>
      <c r="D148" s="315" t="s">
        <v>246</v>
      </c>
      <c r="E148" s="293"/>
      <c r="F148" s="394"/>
      <c r="G148" s="70" t="n">
        <f aca="false">IF(G111="YES", ((A41*H111)*0.1)*(G133), 0)</f>
        <v>1440</v>
      </c>
      <c r="H148" s="201" t="n">
        <f aca="false">G108-100</f>
        <v>139.988</v>
      </c>
      <c r="I148" s="201"/>
      <c r="J148" s="201" t="n">
        <f aca="false">(H145+J145+G148+H148)-H151</f>
        <v>2901.1755</v>
      </c>
      <c r="K148" s="177"/>
      <c r="L148" s="394"/>
      <c r="M148" s="70" t="n">
        <f aca="false">IF(M111="YES", ((A41*N111)*0.1)*(M133), 0)</f>
        <v>1440</v>
      </c>
      <c r="N148" s="201" t="n">
        <f aca="false">M108-100</f>
        <v>99.99</v>
      </c>
      <c r="O148" s="201"/>
      <c r="P148" s="201" t="n">
        <f aca="false">(N145+P145+M148+N148)-N151</f>
        <v>2861.1775</v>
      </c>
      <c r="Q148" s="177"/>
      <c r="R148" s="394"/>
      <c r="S148" s="394"/>
      <c r="T148" s="394"/>
      <c r="U148" s="394"/>
      <c r="V148" s="394"/>
      <c r="W148" s="394"/>
      <c r="X148" s="394"/>
      <c r="Y148" s="394"/>
      <c r="Z148" s="394"/>
    </row>
    <row r="149" customFormat="false" ht="18.75" hidden="false" customHeight="true" outlineLevel="0" collapsed="false">
      <c r="A149" s="70" t="n">
        <v>0</v>
      </c>
      <c r="B149" s="201" t="n">
        <f aca="false">E124</f>
        <v>239.99</v>
      </c>
      <c r="C149" s="292"/>
      <c r="D149" s="152" t="n">
        <f aca="false">B108</f>
        <v>400</v>
      </c>
      <c r="E149" s="293"/>
      <c r="F149" s="394"/>
      <c r="G149" s="291"/>
      <c r="H149" s="292"/>
      <c r="I149" s="292"/>
      <c r="J149" s="292"/>
      <c r="K149" s="293"/>
      <c r="L149" s="394"/>
      <c r="M149" s="291"/>
      <c r="N149" s="292"/>
      <c r="O149" s="292"/>
      <c r="P149" s="292"/>
      <c r="Q149" s="293"/>
      <c r="R149" s="394"/>
      <c r="S149" s="394"/>
      <c r="T149" s="394"/>
      <c r="U149" s="394"/>
      <c r="V149" s="394"/>
      <c r="W149" s="394"/>
      <c r="X149" s="394"/>
      <c r="Y149" s="394"/>
      <c r="Z149" s="394"/>
    </row>
    <row r="150" customFormat="false" ht="18.75" hidden="false" customHeight="true" outlineLevel="0" collapsed="false">
      <c r="A150" s="70"/>
      <c r="B150" s="201"/>
      <c r="C150" s="292"/>
      <c r="D150" s="201"/>
      <c r="E150" s="293"/>
      <c r="F150" s="394"/>
      <c r="G150" s="291" t="s">
        <v>296</v>
      </c>
      <c r="H150" s="292" t="s">
        <v>297</v>
      </c>
      <c r="I150" s="292"/>
      <c r="J150" s="292"/>
      <c r="K150" s="293"/>
      <c r="L150" s="394"/>
      <c r="M150" s="291" t="s">
        <v>296</v>
      </c>
      <c r="N150" s="292" t="s">
        <v>297</v>
      </c>
      <c r="O150" s="292"/>
      <c r="P150" s="292"/>
      <c r="Q150" s="293"/>
      <c r="R150" s="394"/>
      <c r="S150" s="394"/>
      <c r="T150" s="394"/>
      <c r="U150" s="394"/>
      <c r="V150" s="394"/>
      <c r="W150" s="394"/>
      <c r="X150" s="394"/>
      <c r="Y150" s="394"/>
      <c r="Z150" s="394"/>
    </row>
    <row r="151" customFormat="false" ht="18.75" hidden="false" customHeight="true" outlineLevel="0" collapsed="false">
      <c r="A151" s="318" t="s">
        <v>298</v>
      </c>
      <c r="B151" s="319"/>
      <c r="C151" s="320"/>
      <c r="D151" s="319"/>
      <c r="E151" s="321"/>
      <c r="F151" s="394"/>
      <c r="G151" s="70" t="n">
        <f aca="false">IF((1200-H108) &lt;= 0, 0, (1200-H108))</f>
        <v>0</v>
      </c>
      <c r="H151" s="201" t="n">
        <f aca="false">(H145+J145+G148+H148)*(G151/H70)</f>
        <v>0</v>
      </c>
      <c r="I151" s="292"/>
      <c r="J151" s="292"/>
      <c r="K151" s="293"/>
      <c r="L151" s="394"/>
      <c r="M151" s="70" t="n">
        <f aca="false">IF((1200-N108) &lt;= 0, 0, (1200-N108))</f>
        <v>0</v>
      </c>
      <c r="N151" s="201" t="n">
        <f aca="false">(N145+P145+M148+N148)*(M151/N70)</f>
        <v>0</v>
      </c>
      <c r="O151" s="292"/>
      <c r="P151" s="292"/>
      <c r="Q151" s="293"/>
      <c r="R151" s="394"/>
      <c r="S151" s="394"/>
      <c r="T151" s="394"/>
      <c r="U151" s="394"/>
      <c r="V151" s="394"/>
      <c r="W151" s="394"/>
      <c r="X151" s="394"/>
      <c r="Y151" s="394"/>
      <c r="Z151" s="394"/>
    </row>
    <row r="152" customFormat="false" ht="18.75" hidden="false" customHeight="true" outlineLevel="0" collapsed="false">
      <c r="A152" s="316"/>
      <c r="B152" s="317"/>
      <c r="C152" s="292"/>
      <c r="D152" s="317"/>
      <c r="E152" s="293"/>
      <c r="F152" s="394"/>
      <c r="G152" s="291"/>
      <c r="H152" s="292"/>
      <c r="I152" s="292"/>
      <c r="J152" s="292"/>
      <c r="K152" s="293"/>
      <c r="L152" s="394"/>
      <c r="M152" s="70"/>
      <c r="N152" s="201"/>
      <c r="O152" s="292"/>
      <c r="P152" s="292"/>
      <c r="Q152" s="293"/>
      <c r="R152" s="394"/>
      <c r="S152" s="394"/>
      <c r="T152" s="394"/>
      <c r="U152" s="394"/>
      <c r="V152" s="394"/>
      <c r="W152" s="394"/>
      <c r="X152" s="394"/>
      <c r="Y152" s="394"/>
      <c r="Z152" s="394"/>
    </row>
    <row r="153" customFormat="false" ht="18.75" hidden="false" customHeight="true" outlineLevel="0" collapsed="false">
      <c r="A153" s="291" t="s">
        <v>299</v>
      </c>
      <c r="B153" s="292" t="s">
        <v>300</v>
      </c>
      <c r="C153" s="292"/>
      <c r="D153" s="292" t="s">
        <v>301</v>
      </c>
      <c r="E153" s="293"/>
      <c r="F153" s="394"/>
      <c r="G153" s="291"/>
      <c r="H153" s="292"/>
      <c r="I153" s="292"/>
      <c r="J153" s="292"/>
      <c r="K153" s="293"/>
      <c r="L153" s="394"/>
      <c r="M153" s="78" t="s">
        <v>302</v>
      </c>
      <c r="N153" s="200" t="s">
        <v>303</v>
      </c>
      <c r="O153" s="292"/>
      <c r="P153" s="292"/>
      <c r="Q153" s="293"/>
      <c r="R153" s="394"/>
      <c r="S153" s="394"/>
      <c r="T153" s="394"/>
      <c r="U153" s="394"/>
      <c r="V153" s="394"/>
      <c r="W153" s="394"/>
      <c r="X153" s="394"/>
      <c r="Y153" s="394"/>
      <c r="Z153" s="394"/>
    </row>
    <row r="154" customFormat="false" ht="18.75" hidden="false" customHeight="true" outlineLevel="0" collapsed="false">
      <c r="A154" s="70" t="n">
        <f aca="false">B73</f>
        <v>578.85</v>
      </c>
      <c r="B154" s="201" t="n">
        <f aca="false">B108</f>
        <v>400</v>
      </c>
      <c r="C154" s="201"/>
      <c r="D154" s="201" t="n">
        <f aca="false">IF(A111="YES", (A44/100*B111)*B131, 0)*0.1</f>
        <v>18</v>
      </c>
      <c r="E154" s="177"/>
      <c r="F154" s="394"/>
      <c r="G154" s="324" t="s">
        <v>304</v>
      </c>
      <c r="H154" s="292"/>
      <c r="I154" s="292"/>
      <c r="J154" s="325"/>
      <c r="K154" s="326"/>
      <c r="L154" s="394"/>
      <c r="M154" s="322" t="n">
        <f aca="false">H40</f>
        <v>9647.5</v>
      </c>
      <c r="N154" s="323" t="n">
        <v>0.99</v>
      </c>
      <c r="O154" s="323"/>
      <c r="P154" s="292"/>
      <c r="Q154" s="293"/>
      <c r="R154" s="394"/>
      <c r="S154" s="394"/>
      <c r="T154" s="394"/>
      <c r="U154" s="394"/>
      <c r="V154" s="394"/>
      <c r="W154" s="394"/>
      <c r="X154" s="394"/>
      <c r="Y154" s="394"/>
      <c r="Z154" s="394"/>
    </row>
    <row r="155" customFormat="false" ht="18.75" hidden="false" customHeight="true" outlineLevel="0" collapsed="false">
      <c r="A155" s="291"/>
      <c r="B155" s="292"/>
      <c r="C155" s="292"/>
      <c r="D155" s="292"/>
      <c r="E155" s="293"/>
      <c r="F155" s="394"/>
      <c r="G155" s="291"/>
      <c r="H155" s="327"/>
      <c r="I155" s="327"/>
      <c r="J155" s="292"/>
      <c r="K155" s="293"/>
      <c r="L155" s="394"/>
      <c r="M155" s="291"/>
      <c r="N155" s="292"/>
      <c r="O155" s="292"/>
      <c r="P155" s="292"/>
      <c r="Q155" s="293"/>
      <c r="R155" s="394"/>
      <c r="S155" s="394"/>
      <c r="T155" s="394"/>
      <c r="U155" s="394"/>
      <c r="V155" s="394"/>
      <c r="W155" s="394"/>
      <c r="X155" s="394"/>
      <c r="Y155" s="394"/>
      <c r="Z155" s="394"/>
    </row>
    <row r="156" customFormat="false" ht="18.75" hidden="false" customHeight="true" outlineLevel="0" collapsed="false">
      <c r="A156" s="291" t="s">
        <v>305</v>
      </c>
      <c r="B156" s="292" t="s">
        <v>297</v>
      </c>
      <c r="C156" s="292"/>
      <c r="D156" s="292" t="s">
        <v>294</v>
      </c>
      <c r="E156" s="293"/>
      <c r="F156" s="394"/>
      <c r="G156" s="248" t="s">
        <v>28</v>
      </c>
      <c r="H156" s="249" t="s">
        <v>33</v>
      </c>
      <c r="I156" s="249"/>
      <c r="J156" s="292"/>
      <c r="K156" s="293"/>
      <c r="L156" s="394"/>
      <c r="M156" s="291"/>
      <c r="N156" s="292"/>
      <c r="O156" s="292"/>
      <c r="P156" s="292"/>
      <c r="Q156" s="293"/>
      <c r="R156" s="394"/>
      <c r="S156" s="394"/>
      <c r="T156" s="394"/>
      <c r="U156" s="394"/>
      <c r="V156" s="394"/>
      <c r="W156" s="394"/>
      <c r="X156" s="394"/>
      <c r="Y156" s="394"/>
      <c r="Z156" s="394"/>
    </row>
    <row r="157" customFormat="false" ht="18.75" hidden="false" customHeight="true" outlineLevel="0" collapsed="false">
      <c r="A157" s="70" t="n">
        <f aca="false">(E124/1.2)-100</f>
        <v>99.9916666666667</v>
      </c>
      <c r="B157" s="201" t="n">
        <f aca="false">(A154+B154+D154+A157)*(A149/B70)</f>
        <v>0</v>
      </c>
      <c r="C157" s="201"/>
      <c r="D157" s="201" t="n">
        <f aca="false">(A154+B154+D154+A157)-B157</f>
        <v>1096.84166666667</v>
      </c>
      <c r="E157" s="177"/>
      <c r="F157" s="394"/>
      <c r="G157" s="248"/>
      <c r="H157" s="250" t="n">
        <f aca="false">B57</f>
        <v>5000</v>
      </c>
      <c r="I157" s="250"/>
      <c r="J157" s="292"/>
      <c r="K157" s="293"/>
      <c r="L157" s="394"/>
      <c r="M157" s="324" t="s">
        <v>304</v>
      </c>
      <c r="N157" s="292"/>
      <c r="O157" s="292"/>
      <c r="P157" s="325"/>
      <c r="Q157" s="326"/>
      <c r="R157" s="394"/>
      <c r="S157" s="394"/>
      <c r="T157" s="394"/>
      <c r="U157" s="394"/>
      <c r="V157" s="394"/>
      <c r="W157" s="394"/>
      <c r="X157" s="394"/>
      <c r="Y157" s="394"/>
      <c r="Z157" s="394"/>
    </row>
    <row r="158" customFormat="false" ht="18.75" hidden="false" customHeight="true" outlineLevel="0" collapsed="false">
      <c r="A158" s="291"/>
      <c r="B158" s="292"/>
      <c r="C158" s="292"/>
      <c r="D158" s="292"/>
      <c r="E158" s="293"/>
      <c r="F158" s="394"/>
      <c r="G158" s="251" t="n">
        <f aca="false">A58</f>
        <v>12</v>
      </c>
      <c r="H158" s="92" t="e">
        <f aca="false">H97</f>
        <v>#DIV/0!</v>
      </c>
      <c r="I158" s="92"/>
      <c r="J158" s="292"/>
      <c r="K158" s="293"/>
      <c r="L158" s="394"/>
      <c r="M158" s="291"/>
      <c r="N158" s="327"/>
      <c r="O158" s="327"/>
      <c r="P158" s="292"/>
      <c r="Q158" s="293"/>
      <c r="R158" s="394"/>
      <c r="S158" s="394"/>
      <c r="T158" s="394"/>
      <c r="U158" s="394"/>
      <c r="V158" s="394"/>
      <c r="W158" s="394"/>
      <c r="X158" s="394"/>
      <c r="Y158" s="394"/>
      <c r="Z158" s="394"/>
    </row>
    <row r="159" customFormat="false" ht="18.75" hidden="false" customHeight="true" outlineLevel="0" collapsed="false">
      <c r="A159" s="291" t="s">
        <v>306</v>
      </c>
      <c r="B159" s="292"/>
      <c r="C159" s="292"/>
      <c r="D159" s="292"/>
      <c r="E159" s="293"/>
      <c r="F159" s="394"/>
      <c r="G159" s="291"/>
      <c r="H159" s="292"/>
      <c r="I159" s="292"/>
      <c r="J159" s="292"/>
      <c r="K159" s="293"/>
      <c r="L159" s="394"/>
      <c r="M159" s="248" t="s">
        <v>28</v>
      </c>
      <c r="N159" s="249" t="s">
        <v>33</v>
      </c>
      <c r="O159" s="249"/>
      <c r="P159" s="292"/>
      <c r="Q159" s="293"/>
      <c r="R159" s="394"/>
      <c r="S159" s="394"/>
      <c r="T159" s="394"/>
      <c r="U159" s="394"/>
      <c r="V159" s="394"/>
      <c r="W159" s="394"/>
      <c r="X159" s="394"/>
      <c r="Y159" s="394"/>
      <c r="Z159" s="394"/>
    </row>
    <row r="160" customFormat="false" ht="18.75" hidden="false" customHeight="true" outlineLevel="0" collapsed="false">
      <c r="A160" s="70" t="n">
        <f aca="false">D108</f>
        <v>200</v>
      </c>
      <c r="B160" s="201"/>
      <c r="C160" s="292"/>
      <c r="D160" s="292"/>
      <c r="E160" s="293"/>
      <c r="F160" s="394"/>
      <c r="G160" s="291"/>
      <c r="H160" s="292"/>
      <c r="I160" s="292"/>
      <c r="J160" s="292"/>
      <c r="K160" s="293"/>
      <c r="L160" s="394"/>
      <c r="M160" s="248"/>
      <c r="N160" s="250" t="n">
        <f aca="false">B57</f>
        <v>5000</v>
      </c>
      <c r="O160" s="250"/>
      <c r="P160" s="292"/>
      <c r="Q160" s="293"/>
      <c r="R160" s="394"/>
      <c r="S160" s="394"/>
      <c r="T160" s="394"/>
      <c r="U160" s="394"/>
      <c r="V160" s="394"/>
      <c r="W160" s="394"/>
      <c r="X160" s="394"/>
      <c r="Y160" s="394"/>
      <c r="Z160" s="394"/>
    </row>
    <row r="161" customFormat="false" ht="18.75" hidden="false" customHeight="true" outlineLevel="0" collapsed="false">
      <c r="A161" s="291"/>
      <c r="B161" s="292"/>
      <c r="C161" s="292"/>
      <c r="D161" s="292"/>
      <c r="E161" s="293"/>
      <c r="F161" s="394"/>
      <c r="G161" s="291"/>
      <c r="H161" s="292"/>
      <c r="I161" s="292"/>
      <c r="J161" s="292"/>
      <c r="K161" s="293"/>
      <c r="L161" s="394"/>
      <c r="M161" s="251" t="n">
        <f aca="false">A58</f>
        <v>12</v>
      </c>
      <c r="N161" s="92" t="e">
        <f aca="false">N97</f>
        <v>#DIV/0!</v>
      </c>
      <c r="O161" s="92"/>
      <c r="P161" s="292"/>
      <c r="Q161" s="293"/>
      <c r="R161" s="394"/>
      <c r="S161" s="394"/>
      <c r="T161" s="394"/>
      <c r="U161" s="394"/>
      <c r="V161" s="394"/>
      <c r="W161" s="394"/>
      <c r="X161" s="394"/>
      <c r="Y161" s="394"/>
      <c r="Z161" s="394"/>
    </row>
    <row r="162" customFormat="false" ht="18.75" hidden="false" customHeight="true" outlineLevel="0" collapsed="false">
      <c r="A162" s="291"/>
      <c r="B162" s="292"/>
      <c r="C162" s="292"/>
      <c r="D162" s="292"/>
      <c r="E162" s="293"/>
      <c r="F162" s="394"/>
      <c r="G162" s="291"/>
      <c r="H162" s="292"/>
      <c r="I162" s="292"/>
      <c r="J162" s="292"/>
      <c r="K162" s="293"/>
      <c r="L162" s="394"/>
      <c r="M162" s="291"/>
      <c r="N162" s="292"/>
      <c r="O162" s="292"/>
      <c r="P162" s="292"/>
      <c r="Q162" s="293"/>
      <c r="R162" s="394"/>
      <c r="S162" s="394"/>
      <c r="T162" s="394"/>
      <c r="U162" s="394"/>
      <c r="V162" s="394"/>
      <c r="W162" s="394"/>
      <c r="X162" s="394"/>
      <c r="Y162" s="394"/>
      <c r="Z162" s="394"/>
    </row>
    <row r="163" customFormat="false" ht="18.75" hidden="false" customHeight="true" outlineLevel="0" collapsed="false">
      <c r="A163" s="324" t="s">
        <v>304</v>
      </c>
      <c r="B163" s="292"/>
      <c r="C163" s="292"/>
      <c r="D163" s="325"/>
      <c r="E163" s="326"/>
      <c r="F163" s="394"/>
      <c r="G163" s="342"/>
      <c r="H163" s="343"/>
      <c r="I163" s="343"/>
      <c r="J163" s="343"/>
      <c r="K163" s="344"/>
      <c r="L163" s="394"/>
      <c r="M163" s="291"/>
      <c r="N163" s="292"/>
      <c r="O163" s="292"/>
      <c r="P163" s="292"/>
      <c r="Q163" s="293"/>
      <c r="R163" s="394"/>
      <c r="S163" s="394"/>
      <c r="T163" s="394"/>
      <c r="U163" s="394"/>
      <c r="V163" s="394"/>
      <c r="W163" s="394"/>
      <c r="X163" s="394"/>
      <c r="Y163" s="394"/>
      <c r="Z163" s="394"/>
    </row>
    <row r="164" customFormat="false" ht="18.75" hidden="false" customHeight="true" outlineLevel="0" collapsed="false">
      <c r="A164" s="291"/>
      <c r="B164" s="327"/>
      <c r="C164" s="327"/>
      <c r="D164" s="292"/>
      <c r="E164" s="293"/>
      <c r="F164" s="394"/>
      <c r="G164" s="394"/>
      <c r="H164" s="394"/>
      <c r="I164" s="394"/>
      <c r="J164" s="394"/>
      <c r="K164" s="394"/>
      <c r="L164" s="394"/>
      <c r="M164" s="291"/>
      <c r="N164" s="292"/>
      <c r="O164" s="292"/>
      <c r="P164" s="292"/>
      <c r="Q164" s="293"/>
      <c r="R164" s="394"/>
      <c r="S164" s="394"/>
      <c r="T164" s="394"/>
      <c r="U164" s="394"/>
      <c r="V164" s="394"/>
      <c r="W164" s="394"/>
      <c r="X164" s="394"/>
      <c r="Y164" s="394"/>
      <c r="Z164" s="394"/>
    </row>
    <row r="165" customFormat="false" ht="18.75" hidden="false" customHeight="true" outlineLevel="0" collapsed="false">
      <c r="A165" s="248" t="s">
        <v>28</v>
      </c>
      <c r="B165" s="249" t="s">
        <v>33</v>
      </c>
      <c r="C165" s="249"/>
      <c r="D165" s="292"/>
      <c r="E165" s="293"/>
      <c r="F165" s="394"/>
      <c r="G165" s="394"/>
      <c r="H165" s="394"/>
      <c r="I165" s="394"/>
      <c r="J165" s="394"/>
      <c r="K165" s="394"/>
      <c r="L165" s="394"/>
      <c r="M165" s="291"/>
      <c r="N165" s="292"/>
      <c r="O165" s="292"/>
      <c r="P165" s="292"/>
      <c r="Q165" s="293"/>
      <c r="R165" s="394"/>
      <c r="S165" s="394"/>
      <c r="T165" s="394"/>
      <c r="U165" s="394"/>
      <c r="V165" s="394"/>
      <c r="W165" s="394"/>
      <c r="X165" s="394"/>
      <c r="Y165" s="394"/>
      <c r="Z165" s="394"/>
    </row>
    <row r="166" customFormat="false" ht="18.75" hidden="false" customHeight="true" outlineLevel="0" collapsed="false">
      <c r="A166" s="248"/>
      <c r="B166" s="250" t="n">
        <f aca="false">B57</f>
        <v>5000</v>
      </c>
      <c r="C166" s="250"/>
      <c r="D166" s="292"/>
      <c r="E166" s="293"/>
      <c r="F166" s="394"/>
      <c r="G166" s="394"/>
      <c r="H166" s="394"/>
      <c r="I166" s="394"/>
      <c r="J166" s="394"/>
      <c r="K166" s="394"/>
      <c r="L166" s="394"/>
      <c r="M166" s="291"/>
      <c r="N166" s="292"/>
      <c r="O166" s="292"/>
      <c r="P166" s="292"/>
      <c r="Q166" s="293"/>
      <c r="R166" s="394"/>
      <c r="S166" s="394"/>
      <c r="T166" s="394"/>
      <c r="U166" s="394"/>
      <c r="V166" s="394"/>
      <c r="W166" s="394"/>
      <c r="X166" s="394"/>
      <c r="Y166" s="394"/>
      <c r="Z166" s="394"/>
    </row>
    <row r="167" customFormat="false" ht="18.75" hidden="false" customHeight="true" outlineLevel="0" collapsed="false">
      <c r="A167" s="251" t="n">
        <f aca="false">A58</f>
        <v>12</v>
      </c>
      <c r="B167" s="92" t="n">
        <f aca="false">B97</f>
        <v>27.2928233830846</v>
      </c>
      <c r="C167" s="92"/>
      <c r="D167" s="292"/>
      <c r="E167" s="293"/>
      <c r="F167" s="394"/>
      <c r="G167" s="394"/>
      <c r="H167" s="394"/>
      <c r="I167" s="394"/>
      <c r="J167" s="394"/>
      <c r="K167" s="394"/>
      <c r="L167" s="394"/>
      <c r="M167" s="291"/>
      <c r="N167" s="292"/>
      <c r="O167" s="292"/>
      <c r="P167" s="292"/>
      <c r="Q167" s="293"/>
      <c r="R167" s="394"/>
      <c r="S167" s="394"/>
      <c r="T167" s="394"/>
      <c r="U167" s="394"/>
      <c r="V167" s="394"/>
      <c r="W167" s="394"/>
      <c r="X167" s="394"/>
      <c r="Y167" s="394"/>
      <c r="Z167" s="394"/>
    </row>
    <row r="168" customFormat="false" ht="18.75" hidden="false" customHeight="true" outlineLevel="0" collapsed="false">
      <c r="A168" s="291"/>
      <c r="B168" s="292"/>
      <c r="C168" s="292"/>
      <c r="D168" s="292"/>
      <c r="E168" s="293"/>
      <c r="F168" s="394"/>
      <c r="G168" s="394"/>
      <c r="H168" s="394"/>
      <c r="I168" s="394"/>
      <c r="J168" s="394"/>
      <c r="K168" s="394"/>
      <c r="L168" s="394"/>
      <c r="M168" s="342"/>
      <c r="N168" s="343"/>
      <c r="O168" s="343"/>
      <c r="P168" s="343"/>
      <c r="Q168" s="344"/>
      <c r="R168" s="394"/>
      <c r="S168" s="394"/>
      <c r="T168" s="394"/>
      <c r="U168" s="394"/>
      <c r="V168" s="394"/>
      <c r="W168" s="394"/>
      <c r="X168" s="394"/>
      <c r="Y168" s="394"/>
      <c r="Z168" s="394"/>
    </row>
    <row r="169" customFormat="false" ht="18.75" hidden="false" customHeight="true" outlineLevel="0" collapsed="false">
      <c r="A169" s="291"/>
      <c r="B169" s="292"/>
      <c r="C169" s="292"/>
      <c r="D169" s="292"/>
      <c r="E169" s="293"/>
      <c r="F169" s="394"/>
      <c r="G169" s="394"/>
      <c r="H169" s="394"/>
      <c r="I169" s="394"/>
      <c r="J169" s="394"/>
      <c r="K169" s="394"/>
      <c r="L169" s="394"/>
      <c r="M169" s="394"/>
      <c r="N169" s="394"/>
      <c r="O169" s="394"/>
      <c r="P169" s="394"/>
      <c r="Q169" s="394"/>
      <c r="R169" s="394"/>
      <c r="S169" s="394"/>
      <c r="T169" s="394"/>
      <c r="U169" s="394"/>
      <c r="V169" s="394"/>
      <c r="W169" s="394"/>
      <c r="X169" s="394"/>
      <c r="Y169" s="394"/>
      <c r="Z169" s="394"/>
    </row>
    <row r="170" customFormat="false" ht="18.75" hidden="false" customHeight="true" outlineLevel="0" collapsed="false">
      <c r="A170" s="291"/>
      <c r="B170" s="292"/>
      <c r="C170" s="292"/>
      <c r="D170" s="292"/>
      <c r="E170" s="293"/>
      <c r="F170" s="394"/>
      <c r="G170" s="394"/>
      <c r="H170" s="394"/>
      <c r="I170" s="394"/>
      <c r="J170" s="394"/>
      <c r="K170" s="394"/>
      <c r="L170" s="394"/>
      <c r="M170" s="394"/>
      <c r="N170" s="394"/>
      <c r="O170" s="394"/>
      <c r="P170" s="394"/>
      <c r="Q170" s="394"/>
      <c r="R170" s="394"/>
      <c r="S170" s="394"/>
      <c r="T170" s="394"/>
      <c r="U170" s="394"/>
      <c r="V170" s="394"/>
      <c r="W170" s="394"/>
      <c r="X170" s="394"/>
      <c r="Y170" s="394"/>
      <c r="Z170" s="394"/>
    </row>
    <row r="171" customFormat="false" ht="18.75" hidden="false" customHeight="true" outlineLevel="0" collapsed="false">
      <c r="A171" s="328" t="s">
        <v>270</v>
      </c>
      <c r="B171" s="328"/>
      <c r="C171" s="328"/>
      <c r="D171" s="328"/>
      <c r="E171" s="328"/>
      <c r="F171" s="394"/>
      <c r="G171" s="394"/>
      <c r="H171" s="394"/>
      <c r="I171" s="394"/>
      <c r="J171" s="394"/>
      <c r="K171" s="394"/>
      <c r="L171" s="394"/>
      <c r="M171" s="394"/>
      <c r="N171" s="394"/>
      <c r="O171" s="394"/>
      <c r="P171" s="394"/>
      <c r="Q171" s="394"/>
      <c r="R171" s="394"/>
      <c r="S171" s="394"/>
      <c r="T171" s="394"/>
      <c r="U171" s="394"/>
      <c r="V171" s="394"/>
      <c r="W171" s="394"/>
      <c r="X171" s="394"/>
      <c r="Y171" s="394"/>
      <c r="Z171" s="394"/>
    </row>
    <row r="172" customFormat="false" ht="18.75" hidden="false" customHeight="true" outlineLevel="0" collapsed="false">
      <c r="A172" s="291"/>
      <c r="B172" s="329"/>
      <c r="C172" s="329"/>
      <c r="D172" s="329"/>
      <c r="E172" s="293"/>
      <c r="F172" s="394"/>
      <c r="G172" s="394"/>
      <c r="H172" s="394"/>
      <c r="I172" s="394"/>
      <c r="J172" s="394"/>
      <c r="K172" s="394"/>
      <c r="L172" s="394"/>
      <c r="M172" s="394"/>
      <c r="N172" s="394"/>
      <c r="O172" s="394"/>
      <c r="P172" s="394"/>
      <c r="Q172" s="394"/>
      <c r="R172" s="394"/>
      <c r="S172" s="394"/>
      <c r="T172" s="394"/>
      <c r="U172" s="394"/>
      <c r="V172" s="394"/>
      <c r="W172" s="394"/>
      <c r="X172" s="394"/>
      <c r="Y172" s="394"/>
      <c r="Z172" s="394"/>
    </row>
    <row r="173" customFormat="false" ht="18.75" hidden="false" customHeight="true" outlineLevel="0" collapsed="false">
      <c r="A173" s="294" t="s">
        <v>98</v>
      </c>
      <c r="B173" s="330" t="s">
        <v>174</v>
      </c>
      <c r="C173" s="331"/>
      <c r="D173" s="330" t="s">
        <v>33</v>
      </c>
      <c r="E173" s="297"/>
      <c r="F173" s="394"/>
      <c r="G173" s="394"/>
      <c r="H173" s="394"/>
      <c r="I173" s="394"/>
      <c r="J173" s="394"/>
      <c r="K173" s="394"/>
      <c r="L173" s="394"/>
      <c r="M173" s="394"/>
      <c r="N173" s="394"/>
      <c r="O173" s="394"/>
      <c r="P173" s="394"/>
      <c r="Q173" s="394"/>
      <c r="R173" s="394"/>
      <c r="S173" s="394"/>
      <c r="T173" s="394"/>
      <c r="U173" s="394"/>
      <c r="V173" s="394"/>
      <c r="W173" s="394"/>
      <c r="X173" s="394"/>
      <c r="Y173" s="394"/>
      <c r="Z173" s="394"/>
    </row>
    <row r="174" customFormat="false" ht="18.75" hidden="false" customHeight="true" outlineLevel="0" collapsed="false">
      <c r="A174" s="298" t="s">
        <v>254</v>
      </c>
      <c r="B174" s="332" t="n">
        <f aca="false">A167</f>
        <v>12</v>
      </c>
      <c r="C174" s="333"/>
      <c r="D174" s="331" t="n">
        <f aca="false">B166</f>
        <v>5000</v>
      </c>
      <c r="E174" s="297"/>
      <c r="F174" s="394"/>
      <c r="G174" s="394"/>
      <c r="H174" s="394"/>
      <c r="I174" s="394"/>
      <c r="J174" s="394"/>
      <c r="K174" s="394"/>
      <c r="L174" s="394"/>
      <c r="M174" s="394"/>
      <c r="N174" s="394"/>
      <c r="O174" s="394"/>
      <c r="P174" s="394"/>
      <c r="Q174" s="394"/>
      <c r="R174" s="394"/>
      <c r="S174" s="394"/>
      <c r="T174" s="394"/>
      <c r="U174" s="394"/>
      <c r="V174" s="394"/>
      <c r="W174" s="394"/>
      <c r="X174" s="394"/>
      <c r="Y174" s="394"/>
      <c r="Z174" s="394"/>
    </row>
    <row r="175" customFormat="false" ht="18.75" hidden="false" customHeight="true" outlineLevel="0" collapsed="false">
      <c r="A175" s="294"/>
      <c r="B175" s="330"/>
      <c r="C175" s="330"/>
      <c r="D175" s="330"/>
      <c r="E175" s="297"/>
      <c r="F175" s="394"/>
      <c r="G175" s="394"/>
      <c r="H175" s="394"/>
      <c r="I175" s="394"/>
      <c r="J175" s="394"/>
      <c r="K175" s="394"/>
      <c r="L175" s="394"/>
      <c r="M175" s="394"/>
      <c r="N175" s="394"/>
      <c r="O175" s="394"/>
      <c r="P175" s="394"/>
      <c r="Q175" s="394"/>
      <c r="R175" s="394"/>
      <c r="S175" s="394"/>
      <c r="T175" s="394"/>
      <c r="U175" s="394"/>
      <c r="V175" s="394"/>
      <c r="W175" s="394"/>
      <c r="X175" s="394"/>
      <c r="Y175" s="394"/>
      <c r="Z175" s="394"/>
    </row>
    <row r="176" customFormat="false" ht="18.75" hidden="false" customHeight="true" outlineLevel="0" collapsed="false">
      <c r="A176" s="294" t="s">
        <v>92</v>
      </c>
      <c r="B176" s="330" t="s">
        <v>271</v>
      </c>
      <c r="C176" s="331"/>
      <c r="D176" s="330" t="s">
        <v>272</v>
      </c>
      <c r="E176" s="297"/>
      <c r="F176" s="394"/>
      <c r="G176" s="394"/>
      <c r="H176" s="394"/>
      <c r="I176" s="394"/>
      <c r="J176" s="394"/>
      <c r="K176" s="394"/>
      <c r="L176" s="394"/>
      <c r="M176" s="394"/>
      <c r="N176" s="394"/>
      <c r="O176" s="394"/>
      <c r="P176" s="394"/>
      <c r="Q176" s="394"/>
      <c r="R176" s="394"/>
      <c r="S176" s="394"/>
      <c r="T176" s="394"/>
      <c r="U176" s="394"/>
      <c r="V176" s="394"/>
      <c r="W176" s="394"/>
      <c r="X176" s="394"/>
      <c r="Y176" s="394"/>
      <c r="Z176" s="394"/>
    </row>
    <row r="177" customFormat="false" ht="18.75" hidden="false" customHeight="true" outlineLevel="0" collapsed="false">
      <c r="A177" s="298" t="n">
        <f aca="false">B96</f>
        <v>-50.7071766169154</v>
      </c>
      <c r="B177" s="331" t="n">
        <f aca="false">IF(A111="YES", B95, 0)</f>
        <v>78</v>
      </c>
      <c r="C177" s="333"/>
      <c r="D177" s="331" t="n">
        <f aca="false">A177+B177</f>
        <v>27.2928233830846</v>
      </c>
      <c r="E177" s="297"/>
      <c r="F177" s="394"/>
      <c r="G177" s="394"/>
      <c r="H177" s="394"/>
      <c r="I177" s="394"/>
      <c r="J177" s="394"/>
      <c r="K177" s="394"/>
      <c r="L177" s="394"/>
      <c r="M177" s="394"/>
      <c r="N177" s="394"/>
      <c r="O177" s="394"/>
      <c r="P177" s="394"/>
      <c r="Q177" s="394"/>
      <c r="R177" s="394"/>
      <c r="S177" s="394"/>
      <c r="T177" s="394"/>
      <c r="U177" s="394"/>
      <c r="V177" s="394"/>
      <c r="W177" s="394"/>
      <c r="X177" s="394"/>
      <c r="Y177" s="394"/>
      <c r="Z177" s="394"/>
    </row>
    <row r="178" customFormat="false" ht="18.75" hidden="false" customHeight="true" outlineLevel="0" collapsed="false">
      <c r="A178" s="291"/>
      <c r="B178" s="329"/>
      <c r="C178" s="329"/>
      <c r="D178" s="329"/>
      <c r="E178" s="293"/>
      <c r="F178" s="394"/>
      <c r="G178" s="394"/>
      <c r="H178" s="394"/>
      <c r="I178" s="394"/>
      <c r="J178" s="394"/>
      <c r="K178" s="394"/>
      <c r="L178" s="394"/>
      <c r="M178" s="394"/>
      <c r="N178" s="394"/>
      <c r="O178" s="394"/>
      <c r="P178" s="394"/>
      <c r="Q178" s="394"/>
      <c r="R178" s="394"/>
      <c r="S178" s="394"/>
      <c r="T178" s="394"/>
      <c r="U178" s="394"/>
      <c r="V178" s="394"/>
      <c r="W178" s="394"/>
      <c r="X178" s="394"/>
      <c r="Y178" s="394"/>
      <c r="Z178" s="394"/>
    </row>
    <row r="179" customFormat="false" ht="18.75" hidden="false" customHeight="true" outlineLevel="0" collapsed="false">
      <c r="A179" s="304" t="s">
        <v>23</v>
      </c>
      <c r="B179" s="335" t="s">
        <v>277</v>
      </c>
      <c r="C179" s="223"/>
      <c r="D179" s="335" t="s">
        <v>278</v>
      </c>
      <c r="E179" s="293"/>
      <c r="F179" s="394"/>
      <c r="G179" s="394"/>
      <c r="H179" s="394"/>
      <c r="I179" s="394"/>
      <c r="J179" s="394"/>
      <c r="K179" s="394"/>
      <c r="L179" s="394"/>
      <c r="M179" s="394"/>
      <c r="N179" s="394"/>
      <c r="O179" s="394"/>
      <c r="P179" s="394"/>
      <c r="Q179" s="394"/>
      <c r="R179" s="394"/>
      <c r="S179" s="394"/>
      <c r="T179" s="394"/>
      <c r="U179" s="394"/>
      <c r="V179" s="394"/>
      <c r="W179" s="394"/>
      <c r="X179" s="394"/>
      <c r="Y179" s="394"/>
      <c r="Z179" s="394"/>
    </row>
    <row r="180" customFormat="false" ht="18.75" hidden="false" customHeight="true" outlineLevel="0" collapsed="false">
      <c r="A180" s="309" t="str">
        <f aca="false">B105</f>
        <v>Terminal pause with 9 down</v>
      </c>
      <c r="B180" s="37" t="n">
        <f aca="false">B96*B63</f>
        <v>-456.364589552238</v>
      </c>
      <c r="C180" s="329"/>
      <c r="D180" s="37" t="n">
        <f aca="false">IF(A111="YES", B95*B63, 0)</f>
        <v>702</v>
      </c>
      <c r="E180" s="293"/>
      <c r="F180" s="394"/>
      <c r="G180" s="394"/>
      <c r="H180" s="394"/>
      <c r="I180" s="394"/>
      <c r="J180" s="394"/>
      <c r="K180" s="394"/>
      <c r="L180" s="394"/>
      <c r="M180" s="394"/>
      <c r="N180" s="394"/>
      <c r="O180" s="394"/>
      <c r="P180" s="394"/>
      <c r="Q180" s="394"/>
      <c r="R180" s="394"/>
      <c r="S180" s="394"/>
      <c r="T180" s="394"/>
      <c r="U180" s="394"/>
      <c r="V180" s="394"/>
      <c r="W180" s="394"/>
      <c r="X180" s="394"/>
      <c r="Y180" s="394"/>
      <c r="Z180" s="394"/>
    </row>
    <row r="181" customFormat="false" ht="18.75" hidden="false" customHeight="true" outlineLevel="0" collapsed="false">
      <c r="A181" s="291"/>
      <c r="B181" s="329"/>
      <c r="C181" s="329"/>
      <c r="D181" s="329"/>
      <c r="E181" s="293"/>
      <c r="F181" s="394"/>
      <c r="G181" s="394"/>
      <c r="H181" s="394"/>
      <c r="I181" s="394"/>
      <c r="J181" s="394"/>
      <c r="K181" s="394"/>
      <c r="L181" s="394"/>
      <c r="M181" s="394"/>
      <c r="N181" s="394"/>
      <c r="O181" s="394"/>
      <c r="P181" s="394"/>
      <c r="Q181" s="394"/>
      <c r="R181" s="394"/>
      <c r="S181" s="394"/>
      <c r="T181" s="394"/>
      <c r="U181" s="394"/>
      <c r="V181" s="394"/>
      <c r="W181" s="394"/>
      <c r="X181" s="394"/>
      <c r="Y181" s="394"/>
      <c r="Z181" s="394"/>
    </row>
    <row r="182" customFormat="false" ht="18.75" hidden="false" customHeight="true" outlineLevel="0" collapsed="false">
      <c r="A182" s="123" t="s">
        <v>283</v>
      </c>
      <c r="B182" s="38" t="s">
        <v>284</v>
      </c>
      <c r="C182" s="336"/>
      <c r="D182" s="233" t="s">
        <v>177</v>
      </c>
      <c r="E182" s="293"/>
      <c r="F182" s="394"/>
      <c r="G182" s="394"/>
      <c r="H182" s="394"/>
      <c r="I182" s="394"/>
      <c r="J182" s="394"/>
      <c r="K182" s="394"/>
      <c r="L182" s="394"/>
      <c r="M182" s="394"/>
      <c r="N182" s="394"/>
      <c r="O182" s="394"/>
      <c r="P182" s="394"/>
      <c r="Q182" s="394"/>
      <c r="R182" s="394"/>
      <c r="S182" s="394"/>
      <c r="T182" s="394"/>
      <c r="U182" s="394"/>
      <c r="V182" s="394"/>
      <c r="W182" s="394"/>
      <c r="X182" s="394"/>
      <c r="Y182" s="394"/>
      <c r="Z182" s="394"/>
    </row>
    <row r="183" customFormat="false" ht="18.75" hidden="false" customHeight="true" outlineLevel="0" collapsed="false">
      <c r="A183" s="70" t="n">
        <f aca="false">B97*B63</f>
        <v>245.635410447762</v>
      </c>
      <c r="B183" s="37" t="n">
        <f aca="false">E120</f>
        <v>4000</v>
      </c>
      <c r="C183" s="329"/>
      <c r="D183" s="337" t="n">
        <f aca="false">B64</f>
        <v>3</v>
      </c>
      <c r="E183" s="293"/>
      <c r="F183" s="394"/>
      <c r="G183" s="394"/>
      <c r="H183" s="394"/>
      <c r="I183" s="394"/>
      <c r="J183" s="394"/>
      <c r="K183" s="394"/>
      <c r="L183" s="394"/>
      <c r="M183" s="394"/>
      <c r="N183" s="394"/>
      <c r="O183" s="394"/>
      <c r="P183" s="394"/>
      <c r="Q183" s="394"/>
      <c r="R183" s="394"/>
      <c r="S183" s="394"/>
      <c r="T183" s="394"/>
      <c r="U183" s="394"/>
      <c r="V183" s="394"/>
      <c r="W183" s="394"/>
      <c r="X183" s="394"/>
      <c r="Y183" s="394"/>
      <c r="Z183" s="394"/>
    </row>
    <row r="184" customFormat="false" ht="18.75" hidden="false" customHeight="true" outlineLevel="0" collapsed="false">
      <c r="A184" s="70"/>
      <c r="B184" s="338"/>
      <c r="C184" s="329"/>
      <c r="D184" s="329"/>
      <c r="E184" s="293"/>
      <c r="F184" s="394"/>
      <c r="G184" s="394"/>
      <c r="H184" s="394"/>
      <c r="I184" s="394"/>
      <c r="J184" s="394"/>
      <c r="K184" s="394"/>
      <c r="L184" s="394"/>
      <c r="M184" s="394"/>
      <c r="N184" s="394"/>
      <c r="O184" s="394"/>
      <c r="P184" s="394"/>
      <c r="Q184" s="394"/>
      <c r="R184" s="394"/>
      <c r="S184" s="394"/>
      <c r="T184" s="394"/>
      <c r="U184" s="394"/>
      <c r="V184" s="394"/>
      <c r="W184" s="394"/>
      <c r="X184" s="394"/>
      <c r="Y184" s="394"/>
      <c r="Z184" s="394"/>
    </row>
    <row r="185" customFormat="false" ht="18.75" hidden="false" customHeight="true" outlineLevel="0" collapsed="false">
      <c r="A185" s="78" t="s">
        <v>92</v>
      </c>
      <c r="B185" s="339" t="s">
        <v>271</v>
      </c>
      <c r="C185" s="329"/>
      <c r="D185" s="329" t="s">
        <v>272</v>
      </c>
      <c r="E185" s="293"/>
      <c r="F185" s="394"/>
      <c r="G185" s="394"/>
      <c r="H185" s="394"/>
      <c r="I185" s="394"/>
      <c r="J185" s="394"/>
      <c r="K185" s="394"/>
      <c r="L185" s="394"/>
      <c r="M185" s="394"/>
      <c r="N185" s="394"/>
      <c r="O185" s="394"/>
      <c r="P185" s="394"/>
      <c r="Q185" s="394"/>
      <c r="R185" s="394"/>
      <c r="S185" s="394"/>
      <c r="T185" s="394"/>
      <c r="U185" s="394"/>
      <c r="V185" s="394"/>
      <c r="W185" s="394"/>
      <c r="X185" s="394"/>
      <c r="Y185" s="394"/>
      <c r="Z185" s="394"/>
    </row>
    <row r="186" customFormat="false" ht="18.75" hidden="false" customHeight="true" outlineLevel="0" collapsed="false">
      <c r="A186" s="70" t="n">
        <f aca="false">B96</f>
        <v>-50.7071766169154</v>
      </c>
      <c r="B186" s="37" t="n">
        <f aca="false">IF(A111="YES", B95, 0)</f>
        <v>78</v>
      </c>
      <c r="C186" s="329"/>
      <c r="D186" s="37" t="n">
        <f aca="false">B97</f>
        <v>27.2928233830846</v>
      </c>
      <c r="E186" s="293"/>
      <c r="F186" s="394"/>
      <c r="G186" s="394"/>
      <c r="H186" s="394"/>
      <c r="I186" s="394"/>
      <c r="J186" s="394"/>
      <c r="K186" s="394"/>
      <c r="L186" s="394"/>
      <c r="M186" s="394"/>
      <c r="N186" s="394"/>
      <c r="O186" s="394"/>
      <c r="P186" s="394"/>
      <c r="Q186" s="394"/>
      <c r="R186" s="394"/>
      <c r="S186" s="394"/>
      <c r="T186" s="394"/>
      <c r="U186" s="394"/>
      <c r="V186" s="394"/>
      <c r="W186" s="394"/>
      <c r="X186" s="394"/>
      <c r="Y186" s="394"/>
      <c r="Z186" s="394"/>
    </row>
    <row r="187" customFormat="false" ht="18.75" hidden="false" customHeight="true" outlineLevel="0" collapsed="false">
      <c r="A187" s="291"/>
      <c r="B187" s="329"/>
      <c r="C187" s="329"/>
      <c r="D187" s="329"/>
      <c r="E187" s="293"/>
      <c r="F187" s="394"/>
      <c r="G187" s="394"/>
      <c r="H187" s="394"/>
      <c r="I187" s="394"/>
      <c r="J187" s="394"/>
      <c r="K187" s="394"/>
      <c r="L187" s="394"/>
      <c r="M187" s="394"/>
      <c r="N187" s="394"/>
      <c r="O187" s="394"/>
      <c r="P187" s="394"/>
      <c r="Q187" s="394"/>
      <c r="R187" s="394"/>
      <c r="S187" s="394"/>
      <c r="T187" s="394"/>
      <c r="U187" s="394"/>
      <c r="V187" s="394"/>
      <c r="W187" s="394"/>
      <c r="X187" s="394"/>
      <c r="Y187" s="394"/>
      <c r="Z187" s="394"/>
    </row>
    <row r="188" customFormat="false" ht="18.75" hidden="false" customHeight="true" outlineLevel="0" collapsed="false">
      <c r="A188" s="314" t="s">
        <v>180</v>
      </c>
      <c r="B188" s="340" t="s">
        <v>291</v>
      </c>
      <c r="C188" s="37"/>
      <c r="D188" s="340" t="s">
        <v>182</v>
      </c>
      <c r="E188" s="177"/>
      <c r="F188" s="394"/>
      <c r="G188" s="394"/>
      <c r="H188" s="394"/>
      <c r="I188" s="394"/>
      <c r="J188" s="394"/>
      <c r="K188" s="394"/>
      <c r="L188" s="394"/>
      <c r="M188" s="394"/>
      <c r="N188" s="394"/>
      <c r="O188" s="394"/>
      <c r="P188" s="394"/>
      <c r="Q188" s="394"/>
      <c r="R188" s="394"/>
      <c r="S188" s="394"/>
      <c r="T188" s="394"/>
      <c r="U188" s="394"/>
      <c r="V188" s="394"/>
      <c r="W188" s="394"/>
      <c r="X188" s="394"/>
      <c r="Y188" s="394"/>
      <c r="Z188" s="394"/>
    </row>
    <row r="189" customFormat="false" ht="18.75" hidden="false" customHeight="true" outlineLevel="0" collapsed="false">
      <c r="A189" s="316" t="n">
        <f aca="false">(G18*0.000006)*1.2*100</f>
        <v>41.6772</v>
      </c>
      <c r="B189" s="341" t="n">
        <f aca="false">G18*0.000002 *1.2*100</f>
        <v>13.8924</v>
      </c>
      <c r="C189" s="329"/>
      <c r="D189" s="341" t="n">
        <f aca="false">A189+B189</f>
        <v>55.5696</v>
      </c>
      <c r="E189" s="293"/>
      <c r="F189" s="394"/>
      <c r="G189" s="394"/>
      <c r="H189" s="394"/>
      <c r="I189" s="394"/>
      <c r="J189" s="394"/>
      <c r="K189" s="394"/>
      <c r="L189" s="394"/>
      <c r="M189" s="394"/>
      <c r="N189" s="394"/>
      <c r="O189" s="394"/>
      <c r="P189" s="394"/>
      <c r="Q189" s="394"/>
      <c r="R189" s="394"/>
      <c r="S189" s="394"/>
      <c r="T189" s="394"/>
      <c r="U189" s="394"/>
      <c r="V189" s="394"/>
      <c r="W189" s="394"/>
      <c r="X189" s="394"/>
      <c r="Y189" s="394"/>
      <c r="Z189" s="394"/>
    </row>
    <row r="190" customFormat="false" ht="18.75" hidden="false" customHeight="true" outlineLevel="0" collapsed="false">
      <c r="A190" s="316"/>
      <c r="B190" s="341"/>
      <c r="C190" s="329"/>
      <c r="D190" s="341"/>
      <c r="E190" s="293"/>
      <c r="F190" s="394"/>
      <c r="G190" s="394"/>
      <c r="H190" s="394"/>
      <c r="I190" s="394"/>
      <c r="J190" s="394"/>
      <c r="K190" s="394"/>
      <c r="L190" s="394"/>
      <c r="M190" s="394"/>
      <c r="N190" s="394"/>
      <c r="O190" s="394"/>
      <c r="P190" s="394"/>
      <c r="Q190" s="394"/>
      <c r="R190" s="394"/>
      <c r="S190" s="394"/>
      <c r="T190" s="394"/>
      <c r="U190" s="394"/>
      <c r="V190" s="394"/>
      <c r="W190" s="394"/>
      <c r="X190" s="394"/>
      <c r="Y190" s="394"/>
      <c r="Z190" s="394"/>
    </row>
    <row r="191" customFormat="false" ht="18.75" hidden="false" customHeight="true" outlineLevel="0" collapsed="false">
      <c r="A191" s="314" t="s">
        <v>295</v>
      </c>
      <c r="B191" s="340" t="s">
        <v>152</v>
      </c>
      <c r="C191" s="37"/>
      <c r="D191" s="340" t="s">
        <v>246</v>
      </c>
      <c r="E191" s="293"/>
      <c r="F191" s="394"/>
      <c r="G191" s="394"/>
      <c r="H191" s="394"/>
      <c r="I191" s="394"/>
      <c r="J191" s="394"/>
      <c r="K191" s="394"/>
      <c r="L191" s="394"/>
      <c r="M191" s="394"/>
      <c r="N191" s="394"/>
      <c r="O191" s="394"/>
      <c r="P191" s="394"/>
      <c r="Q191" s="394"/>
      <c r="R191" s="394"/>
      <c r="S191" s="394"/>
      <c r="T191" s="394"/>
      <c r="U191" s="394"/>
      <c r="V191" s="394"/>
      <c r="W191" s="394"/>
      <c r="X191" s="394"/>
      <c r="Y191" s="394"/>
      <c r="Z191" s="394"/>
    </row>
    <row r="192" customFormat="false" ht="18.75" hidden="false" customHeight="true" outlineLevel="0" collapsed="false">
      <c r="A192" s="70" t="n">
        <v>0</v>
      </c>
      <c r="B192" s="37" t="n">
        <f aca="false">E124</f>
        <v>239.99</v>
      </c>
      <c r="C192" s="329"/>
      <c r="D192" s="152" t="n">
        <f aca="false">B108</f>
        <v>400</v>
      </c>
      <c r="E192" s="293"/>
      <c r="F192" s="394"/>
      <c r="G192" s="394"/>
      <c r="H192" s="394"/>
      <c r="I192" s="394"/>
      <c r="J192" s="394"/>
      <c r="K192" s="394"/>
      <c r="L192" s="394"/>
      <c r="M192" s="394"/>
      <c r="N192" s="394"/>
      <c r="O192" s="394"/>
      <c r="P192" s="394"/>
      <c r="Q192" s="394"/>
      <c r="R192" s="394"/>
      <c r="S192" s="394"/>
      <c r="T192" s="394"/>
      <c r="U192" s="394"/>
      <c r="V192" s="394"/>
      <c r="W192" s="394"/>
      <c r="X192" s="394"/>
      <c r="Y192" s="394"/>
      <c r="Z192" s="394"/>
    </row>
    <row r="193" customFormat="false" ht="18.75" hidden="false" customHeight="true" outlineLevel="0" collapsed="false">
      <c r="A193" s="70"/>
      <c r="B193" s="37"/>
      <c r="C193" s="329"/>
      <c r="D193" s="37"/>
      <c r="E193" s="293"/>
      <c r="F193" s="394"/>
      <c r="G193" s="394"/>
      <c r="H193" s="394"/>
      <c r="I193" s="394"/>
      <c r="J193" s="394"/>
      <c r="K193" s="394"/>
      <c r="L193" s="394"/>
      <c r="M193" s="394"/>
      <c r="N193" s="394"/>
      <c r="O193" s="394"/>
      <c r="P193" s="394"/>
      <c r="Q193" s="394"/>
      <c r="R193" s="394"/>
      <c r="S193" s="394"/>
      <c r="T193" s="394"/>
      <c r="U193" s="394"/>
      <c r="V193" s="394"/>
      <c r="W193" s="394"/>
      <c r="X193" s="394"/>
      <c r="Y193" s="394"/>
      <c r="Z193" s="394"/>
    </row>
    <row r="194" customFormat="false" ht="18.75" hidden="false" customHeight="true" outlineLevel="0" collapsed="false">
      <c r="A194" s="318" t="s">
        <v>298</v>
      </c>
      <c r="B194" s="319"/>
      <c r="C194" s="320"/>
      <c r="D194" s="319"/>
      <c r="E194" s="321"/>
      <c r="F194" s="394"/>
      <c r="G194" s="394"/>
      <c r="H194" s="394"/>
      <c r="I194" s="394"/>
      <c r="J194" s="394"/>
      <c r="K194" s="394"/>
      <c r="L194" s="394"/>
      <c r="M194" s="394"/>
      <c r="N194" s="394"/>
      <c r="O194" s="394"/>
      <c r="P194" s="394"/>
      <c r="Q194" s="394"/>
      <c r="R194" s="394"/>
      <c r="S194" s="394"/>
      <c r="T194" s="394"/>
      <c r="U194" s="394"/>
      <c r="V194" s="394"/>
      <c r="W194" s="394"/>
      <c r="X194" s="394"/>
      <c r="Y194" s="394"/>
      <c r="Z194" s="394"/>
    </row>
    <row r="195" customFormat="false" ht="18.75" hidden="false" customHeight="true" outlineLevel="0" collapsed="false">
      <c r="A195" s="316"/>
      <c r="B195" s="341"/>
      <c r="C195" s="329"/>
      <c r="D195" s="341"/>
      <c r="E195" s="293"/>
      <c r="F195" s="394"/>
      <c r="G195" s="394"/>
      <c r="H195" s="394"/>
      <c r="I195" s="394"/>
      <c r="J195" s="394"/>
      <c r="K195" s="394"/>
      <c r="L195" s="394"/>
      <c r="M195" s="394"/>
      <c r="N195" s="394"/>
      <c r="O195" s="394"/>
      <c r="P195" s="394"/>
      <c r="Q195" s="394"/>
      <c r="R195" s="394"/>
      <c r="S195" s="394"/>
      <c r="T195" s="394"/>
      <c r="U195" s="394"/>
      <c r="V195" s="394"/>
      <c r="W195" s="394"/>
      <c r="X195" s="394"/>
      <c r="Y195" s="394"/>
      <c r="Z195" s="394"/>
    </row>
    <row r="196" customFormat="false" ht="18.75" hidden="false" customHeight="true" outlineLevel="0" collapsed="false">
      <c r="A196" s="291" t="s">
        <v>299</v>
      </c>
      <c r="B196" s="329" t="s">
        <v>300</v>
      </c>
      <c r="C196" s="329"/>
      <c r="D196" s="329" t="s">
        <v>301</v>
      </c>
      <c r="E196" s="293"/>
      <c r="F196" s="394"/>
      <c r="G196" s="394"/>
      <c r="H196" s="394"/>
      <c r="I196" s="394"/>
      <c r="J196" s="394"/>
      <c r="K196" s="394"/>
      <c r="L196" s="394"/>
      <c r="M196" s="394"/>
      <c r="N196" s="394"/>
      <c r="O196" s="394"/>
      <c r="P196" s="394"/>
      <c r="Q196" s="394"/>
      <c r="R196" s="394"/>
      <c r="S196" s="394"/>
      <c r="T196" s="394"/>
      <c r="U196" s="394"/>
      <c r="V196" s="394"/>
      <c r="W196" s="394"/>
      <c r="X196" s="394"/>
      <c r="Y196" s="394"/>
      <c r="Z196" s="394"/>
    </row>
    <row r="197" customFormat="false" ht="18.75" hidden="false" customHeight="true" outlineLevel="0" collapsed="false">
      <c r="A197" s="70" t="n">
        <f aca="false">B73</f>
        <v>578.85</v>
      </c>
      <c r="B197" s="37" t="n">
        <f aca="false">B108</f>
        <v>400</v>
      </c>
      <c r="C197" s="37"/>
      <c r="D197" s="37" t="n">
        <f aca="false">IF(A111="YES", (A44/100*B111)*B131, 0)*0.1</f>
        <v>18</v>
      </c>
      <c r="E197" s="177"/>
      <c r="F197" s="394"/>
      <c r="G197" s="394"/>
      <c r="H197" s="394"/>
      <c r="I197" s="394"/>
      <c r="J197" s="394"/>
      <c r="K197" s="394"/>
      <c r="L197" s="394"/>
      <c r="M197" s="394"/>
      <c r="N197" s="394"/>
      <c r="O197" s="394"/>
      <c r="P197" s="394"/>
      <c r="Q197" s="394"/>
      <c r="R197" s="394"/>
      <c r="S197" s="394"/>
      <c r="T197" s="394"/>
      <c r="U197" s="394"/>
      <c r="V197" s="394"/>
      <c r="W197" s="394"/>
      <c r="X197" s="394"/>
      <c r="Y197" s="394"/>
      <c r="Z197" s="394"/>
    </row>
    <row r="198" customFormat="false" ht="18.75" hidden="false" customHeight="true" outlineLevel="0" collapsed="false">
      <c r="A198" s="291"/>
      <c r="B198" s="329"/>
      <c r="C198" s="329"/>
      <c r="D198" s="329"/>
      <c r="E198" s="293"/>
      <c r="F198" s="394"/>
      <c r="G198" s="394"/>
      <c r="H198" s="394"/>
      <c r="I198" s="394"/>
      <c r="J198" s="394"/>
      <c r="K198" s="394"/>
      <c r="L198" s="394"/>
      <c r="M198" s="394"/>
      <c r="N198" s="394"/>
      <c r="O198" s="394"/>
      <c r="P198" s="394"/>
      <c r="Q198" s="394"/>
      <c r="R198" s="394"/>
      <c r="S198" s="394"/>
      <c r="T198" s="394"/>
      <c r="U198" s="394"/>
      <c r="V198" s="394"/>
      <c r="W198" s="394"/>
      <c r="X198" s="394"/>
      <c r="Y198" s="394"/>
      <c r="Z198" s="394"/>
    </row>
    <row r="199" customFormat="false" ht="18.75" hidden="false" customHeight="true" outlineLevel="0" collapsed="false">
      <c r="A199" s="291" t="s">
        <v>305</v>
      </c>
      <c r="B199" s="329" t="s">
        <v>297</v>
      </c>
      <c r="C199" s="329"/>
      <c r="D199" s="329" t="s">
        <v>294</v>
      </c>
      <c r="E199" s="293"/>
      <c r="F199" s="394"/>
      <c r="G199" s="394"/>
      <c r="H199" s="394"/>
      <c r="I199" s="394"/>
      <c r="J199" s="394"/>
      <c r="K199" s="394"/>
      <c r="L199" s="394"/>
      <c r="M199" s="394"/>
      <c r="N199" s="394"/>
      <c r="O199" s="394"/>
      <c r="P199" s="394"/>
      <c r="Q199" s="394"/>
      <c r="R199" s="394"/>
      <c r="S199" s="394"/>
      <c r="T199" s="394"/>
      <c r="U199" s="394"/>
      <c r="V199" s="394"/>
      <c r="W199" s="394"/>
      <c r="X199" s="394"/>
      <c r="Y199" s="394"/>
      <c r="Z199" s="394"/>
    </row>
    <row r="200" customFormat="false" ht="18.75" hidden="false" customHeight="true" outlineLevel="0" collapsed="false">
      <c r="A200" s="70" t="n">
        <f aca="false">(E124/1.2)-100</f>
        <v>99.9916666666667</v>
      </c>
      <c r="B200" s="37" t="n">
        <f aca="false">(A154+B154+D154+A157)*(A149/B70)</f>
        <v>0</v>
      </c>
      <c r="C200" s="37"/>
      <c r="D200" s="37" t="n">
        <f aca="false">(A154+B154+D154+A157)-B157</f>
        <v>1096.84166666667</v>
      </c>
      <c r="E200" s="177"/>
      <c r="F200" s="394"/>
      <c r="G200" s="394"/>
      <c r="H200" s="394"/>
      <c r="I200" s="394"/>
      <c r="J200" s="394"/>
      <c r="K200" s="394"/>
      <c r="L200" s="394"/>
      <c r="M200" s="394"/>
      <c r="N200" s="394"/>
      <c r="O200" s="394"/>
      <c r="P200" s="394"/>
      <c r="Q200" s="394"/>
      <c r="R200" s="394"/>
      <c r="S200" s="394"/>
      <c r="T200" s="394"/>
      <c r="U200" s="394"/>
      <c r="V200" s="394"/>
      <c r="W200" s="394"/>
      <c r="X200" s="394"/>
      <c r="Y200" s="394"/>
      <c r="Z200" s="394"/>
    </row>
    <row r="201" customFormat="false" ht="18.75" hidden="false" customHeight="true" outlineLevel="0" collapsed="false">
      <c r="A201" s="291"/>
      <c r="B201" s="329"/>
      <c r="C201" s="329"/>
      <c r="D201" s="329"/>
      <c r="E201" s="293"/>
      <c r="F201" s="394"/>
      <c r="G201" s="394"/>
      <c r="H201" s="394"/>
      <c r="I201" s="394"/>
      <c r="J201" s="394"/>
      <c r="K201" s="394"/>
      <c r="L201" s="394"/>
      <c r="M201" s="394"/>
      <c r="N201" s="394"/>
      <c r="O201" s="394"/>
      <c r="P201" s="394"/>
      <c r="Q201" s="394"/>
      <c r="R201" s="394"/>
      <c r="S201" s="394"/>
      <c r="T201" s="394"/>
      <c r="U201" s="394"/>
      <c r="V201" s="394"/>
      <c r="W201" s="394"/>
      <c r="X201" s="394"/>
      <c r="Y201" s="394"/>
      <c r="Z201" s="394"/>
    </row>
    <row r="202" customFormat="false" ht="18.75" hidden="false" customHeight="true" outlineLevel="0" collapsed="false">
      <c r="A202" s="291" t="s">
        <v>306</v>
      </c>
      <c r="B202" s="329"/>
      <c r="C202" s="329"/>
      <c r="D202" s="329"/>
      <c r="E202" s="293"/>
      <c r="F202" s="394"/>
      <c r="G202" s="394"/>
      <c r="H202" s="394"/>
      <c r="I202" s="394"/>
      <c r="J202" s="394"/>
      <c r="K202" s="394"/>
      <c r="L202" s="394"/>
      <c r="M202" s="394"/>
      <c r="N202" s="394"/>
      <c r="O202" s="394"/>
      <c r="P202" s="394"/>
      <c r="Q202" s="394"/>
      <c r="R202" s="394"/>
      <c r="S202" s="394"/>
      <c r="T202" s="394"/>
      <c r="U202" s="394"/>
      <c r="V202" s="394"/>
      <c r="W202" s="394"/>
      <c r="X202" s="394"/>
      <c r="Y202" s="394"/>
      <c r="Z202" s="394"/>
    </row>
    <row r="203" customFormat="false" ht="18.75" hidden="false" customHeight="true" outlineLevel="0" collapsed="false">
      <c r="A203" s="70" t="n">
        <f aca="false">D108</f>
        <v>200</v>
      </c>
      <c r="B203" s="37"/>
      <c r="C203" s="329"/>
      <c r="D203" s="329"/>
      <c r="E203" s="293"/>
      <c r="F203" s="394"/>
      <c r="G203" s="394"/>
      <c r="H203" s="394"/>
      <c r="I203" s="394"/>
      <c r="J203" s="394"/>
      <c r="K203" s="394"/>
      <c r="L203" s="394"/>
      <c r="M203" s="394"/>
      <c r="N203" s="394"/>
      <c r="O203" s="394"/>
      <c r="P203" s="394"/>
      <c r="Q203" s="394"/>
      <c r="R203" s="394"/>
      <c r="S203" s="394"/>
      <c r="T203" s="394"/>
      <c r="U203" s="394"/>
      <c r="V203" s="394"/>
      <c r="W203" s="394"/>
      <c r="X203" s="394"/>
      <c r="Y203" s="394"/>
      <c r="Z203" s="394"/>
    </row>
    <row r="204" customFormat="false" ht="18.75" hidden="false" customHeight="true" outlineLevel="0" collapsed="false">
      <c r="A204" s="342"/>
      <c r="B204" s="343"/>
      <c r="C204" s="343"/>
      <c r="D204" s="343"/>
      <c r="E204" s="344"/>
      <c r="F204" s="394"/>
      <c r="G204" s="394"/>
      <c r="H204" s="394"/>
      <c r="I204" s="394"/>
      <c r="J204" s="394"/>
      <c r="K204" s="394"/>
      <c r="L204" s="394"/>
      <c r="M204" s="394"/>
      <c r="N204" s="394"/>
      <c r="O204" s="394"/>
      <c r="P204" s="394"/>
      <c r="Q204" s="394"/>
      <c r="R204" s="394"/>
      <c r="S204" s="394"/>
      <c r="T204" s="394"/>
      <c r="U204" s="394"/>
      <c r="V204" s="394"/>
      <c r="W204" s="394"/>
      <c r="X204" s="394"/>
      <c r="Y204" s="394"/>
      <c r="Z204" s="394"/>
    </row>
    <row r="205" customFormat="false" ht="18.75" hidden="false" customHeight="true" outlineLevel="0" collapsed="false">
      <c r="A205" s="19"/>
      <c r="B205" s="19"/>
      <c r="C205" s="19"/>
      <c r="D205" s="19"/>
      <c r="E205" s="19"/>
      <c r="F205" s="394"/>
      <c r="G205" s="394"/>
      <c r="H205" s="394"/>
      <c r="I205" s="394"/>
      <c r="J205" s="394"/>
      <c r="K205" s="394"/>
      <c r="L205" s="394"/>
      <c r="M205" s="394"/>
      <c r="N205" s="394"/>
      <c r="O205" s="394"/>
      <c r="P205" s="394"/>
      <c r="Q205" s="394"/>
      <c r="R205" s="394"/>
      <c r="S205" s="394"/>
      <c r="T205" s="394"/>
      <c r="U205" s="394"/>
      <c r="V205" s="394"/>
      <c r="W205" s="394"/>
      <c r="X205" s="394"/>
      <c r="Y205" s="394"/>
      <c r="Z205" s="394"/>
    </row>
    <row r="206" customFormat="false" ht="18.75" hidden="false" customHeight="true" outlineLevel="0" collapsed="false">
      <c r="A206" s="19"/>
      <c r="B206" s="19"/>
      <c r="C206" s="19"/>
      <c r="D206" s="19"/>
      <c r="E206" s="19"/>
      <c r="F206" s="394"/>
      <c r="G206" s="394"/>
      <c r="H206" s="394"/>
      <c r="I206" s="394"/>
      <c r="J206" s="394"/>
      <c r="K206" s="394"/>
      <c r="L206" s="394"/>
      <c r="M206" s="394"/>
      <c r="N206" s="394"/>
      <c r="O206" s="394"/>
      <c r="P206" s="394"/>
      <c r="Q206" s="394"/>
      <c r="R206" s="394"/>
      <c r="S206" s="394"/>
      <c r="T206" s="394"/>
      <c r="U206" s="394"/>
      <c r="V206" s="394"/>
      <c r="W206" s="394"/>
      <c r="X206" s="394"/>
      <c r="Y206" s="394"/>
      <c r="Z206" s="394"/>
    </row>
    <row r="207" customFormat="false" ht="18.75" hidden="false" customHeight="true" outlineLevel="0" collapsed="false">
      <c r="A207" s="328" t="s">
        <v>185</v>
      </c>
      <c r="B207" s="328"/>
      <c r="C207" s="328"/>
      <c r="D207" s="328"/>
      <c r="E207" s="328"/>
      <c r="F207" s="394"/>
      <c r="G207" s="394"/>
      <c r="H207" s="394"/>
      <c r="I207" s="394"/>
      <c r="J207" s="394"/>
      <c r="K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  <c r="X207" s="394"/>
      <c r="Y207" s="394"/>
      <c r="Z207" s="394"/>
    </row>
    <row r="208" customFormat="false" ht="18.75" hidden="false" customHeight="true" outlineLevel="0" collapsed="false">
      <c r="A208" s="291"/>
      <c r="B208" s="292"/>
      <c r="C208" s="292"/>
      <c r="D208" s="292"/>
      <c r="E208" s="293"/>
      <c r="F208" s="394"/>
      <c r="G208" s="394"/>
      <c r="H208" s="394"/>
      <c r="I208" s="394"/>
      <c r="J208" s="394"/>
      <c r="K208" s="394"/>
      <c r="L208" s="394"/>
      <c r="M208" s="394"/>
      <c r="N208" s="394"/>
      <c r="O208" s="394"/>
      <c r="P208" s="394"/>
      <c r="Q208" s="394"/>
      <c r="R208" s="394"/>
      <c r="S208" s="394"/>
      <c r="T208" s="394"/>
      <c r="U208" s="394"/>
      <c r="V208" s="394"/>
      <c r="W208" s="394"/>
      <c r="X208" s="394"/>
      <c r="Y208" s="394"/>
      <c r="Z208" s="394"/>
    </row>
    <row r="209" customFormat="false" ht="18.75" hidden="false" customHeight="true" outlineLevel="0" collapsed="false">
      <c r="A209" s="294" t="s">
        <v>186</v>
      </c>
      <c r="B209" s="345" t="n">
        <f aca="false">H35</f>
        <v>0.065</v>
      </c>
      <c r="C209" s="296" t="s">
        <v>188</v>
      </c>
      <c r="D209" s="346" t="n">
        <f aca="false">D70</f>
        <v>4051.95</v>
      </c>
      <c r="E209" s="297"/>
      <c r="F209" s="394"/>
      <c r="G209" s="394"/>
      <c r="H209" s="394"/>
      <c r="I209" s="394"/>
      <c r="J209" s="394"/>
      <c r="K209" s="394"/>
      <c r="L209" s="394"/>
      <c r="M209" s="394"/>
      <c r="N209" s="394"/>
      <c r="O209" s="394"/>
      <c r="P209" s="394"/>
      <c r="Q209" s="394"/>
      <c r="R209" s="394"/>
      <c r="S209" s="394"/>
      <c r="T209" s="394"/>
      <c r="U209" s="394"/>
      <c r="V209" s="394"/>
      <c r="W209" s="394"/>
      <c r="X209" s="394"/>
      <c r="Y209" s="394"/>
      <c r="Z209" s="394"/>
    </row>
    <row r="210" customFormat="false" ht="18.75" hidden="false" customHeight="true" outlineLevel="0" collapsed="false">
      <c r="A210" s="298"/>
      <c r="B210" s="299"/>
      <c r="C210" s="300"/>
      <c r="D210" s="299"/>
      <c r="E210" s="297"/>
      <c r="F210" s="394"/>
      <c r="G210" s="394"/>
      <c r="H210" s="394"/>
      <c r="I210" s="394"/>
      <c r="J210" s="394"/>
      <c r="K210" s="394"/>
      <c r="L210" s="394"/>
      <c r="M210" s="394"/>
      <c r="N210" s="394"/>
      <c r="O210" s="394"/>
      <c r="P210" s="394"/>
      <c r="Q210" s="394"/>
      <c r="R210" s="394"/>
      <c r="S210" s="394"/>
      <c r="T210" s="394"/>
      <c r="U210" s="394"/>
      <c r="V210" s="394"/>
      <c r="W210" s="394"/>
      <c r="X210" s="394"/>
      <c r="Y210" s="394"/>
      <c r="Z210" s="394"/>
    </row>
    <row r="211" customFormat="false" ht="18.75" hidden="false" customHeight="true" outlineLevel="0" collapsed="false">
      <c r="A211" s="294" t="s">
        <v>189</v>
      </c>
      <c r="B211" s="296" t="n">
        <f aca="false">B219</f>
        <v>578.85</v>
      </c>
      <c r="C211" s="295" t="s">
        <v>190</v>
      </c>
      <c r="D211" s="346" t="n">
        <f aca="false">B225+E221+B221+B223</f>
        <v>519.991666666667</v>
      </c>
      <c r="E211" s="297"/>
      <c r="F211" s="394"/>
      <c r="G211" s="394"/>
      <c r="H211" s="394"/>
      <c r="I211" s="394"/>
      <c r="J211" s="394"/>
      <c r="K211" s="394"/>
      <c r="L211" s="394"/>
      <c r="M211" s="394"/>
      <c r="N211" s="394"/>
      <c r="O211" s="394"/>
      <c r="P211" s="394"/>
      <c r="Q211" s="394"/>
      <c r="R211" s="394"/>
      <c r="S211" s="394"/>
      <c r="T211" s="394"/>
      <c r="U211" s="394"/>
      <c r="V211" s="394"/>
      <c r="W211" s="394"/>
      <c r="X211" s="394"/>
      <c r="Y211" s="394"/>
      <c r="Z211" s="394"/>
    </row>
    <row r="212" customFormat="false" ht="18.75" hidden="false" customHeight="true" outlineLevel="0" collapsed="false">
      <c r="A212" s="294"/>
      <c r="B212" s="347"/>
      <c r="C212" s="296"/>
      <c r="D212" s="295"/>
      <c r="E212" s="297"/>
      <c r="F212" s="394"/>
      <c r="G212" s="394"/>
      <c r="H212" s="394"/>
      <c r="I212" s="394"/>
      <c r="J212" s="394"/>
      <c r="K212" s="394"/>
      <c r="L212" s="394"/>
      <c r="M212" s="394"/>
      <c r="N212" s="394"/>
      <c r="O212" s="394"/>
      <c r="P212" s="394"/>
      <c r="Q212" s="394"/>
      <c r="R212" s="394"/>
      <c r="S212" s="394"/>
      <c r="T212" s="394"/>
      <c r="U212" s="394"/>
      <c r="V212" s="394"/>
      <c r="W212" s="394"/>
      <c r="X212" s="394"/>
      <c r="Y212" s="394"/>
      <c r="Z212" s="394"/>
    </row>
    <row r="213" customFormat="false" ht="18.75" hidden="false" customHeight="true" outlineLevel="0" collapsed="false">
      <c r="A213" s="298" t="s">
        <v>191</v>
      </c>
      <c r="B213" s="296" t="n">
        <f aca="false">E223</f>
        <v>3993.09166666667</v>
      </c>
      <c r="C213" s="300"/>
      <c r="D213" s="296"/>
      <c r="E213" s="297"/>
      <c r="F213" s="394"/>
      <c r="G213" s="394"/>
      <c r="H213" s="394"/>
      <c r="I213" s="394"/>
      <c r="J213" s="394"/>
      <c r="K213" s="394"/>
      <c r="L213" s="394"/>
      <c r="M213" s="394"/>
      <c r="N213" s="394"/>
      <c r="O213" s="394"/>
      <c r="P213" s="394"/>
      <c r="Q213" s="394"/>
      <c r="R213" s="394"/>
      <c r="S213" s="394"/>
      <c r="T213" s="394"/>
      <c r="U213" s="394"/>
      <c r="V213" s="394"/>
      <c r="W213" s="394"/>
      <c r="X213" s="394"/>
      <c r="Y213" s="394"/>
      <c r="Z213" s="394"/>
    </row>
    <row r="214" customFormat="false" ht="18.75" hidden="false" customHeight="true" outlineLevel="0" collapsed="false">
      <c r="A214" s="291"/>
      <c r="B214" s="313"/>
      <c r="C214" s="292"/>
      <c r="D214" s="292"/>
      <c r="E214" s="293"/>
      <c r="F214" s="394"/>
      <c r="G214" s="394"/>
      <c r="H214" s="394"/>
      <c r="I214" s="394"/>
      <c r="J214" s="394"/>
      <c r="K214" s="394"/>
      <c r="L214" s="394"/>
      <c r="M214" s="394"/>
      <c r="N214" s="394"/>
      <c r="O214" s="394"/>
      <c r="P214" s="394"/>
      <c r="Q214" s="394"/>
      <c r="R214" s="394"/>
      <c r="S214" s="394"/>
      <c r="T214" s="394"/>
      <c r="U214" s="394"/>
      <c r="V214" s="394"/>
      <c r="W214" s="394"/>
      <c r="X214" s="394"/>
      <c r="Y214" s="394"/>
      <c r="Z214" s="394"/>
    </row>
    <row r="215" customFormat="false" ht="18.75" hidden="false" customHeight="true" outlineLevel="0" collapsed="false">
      <c r="A215" s="222" t="s">
        <v>186</v>
      </c>
      <c r="B215" s="348" t="n">
        <v>0.065</v>
      </c>
      <c r="C215" s="306"/>
      <c r="D215" s="305"/>
      <c r="E215" s="293"/>
      <c r="F215" s="394"/>
      <c r="G215" s="394"/>
      <c r="H215" s="394"/>
      <c r="I215" s="394"/>
      <c r="J215" s="394"/>
      <c r="K215" s="394"/>
      <c r="L215" s="394"/>
      <c r="M215" s="394"/>
      <c r="N215" s="394"/>
      <c r="O215" s="394"/>
      <c r="P215" s="394"/>
      <c r="Q215" s="394"/>
      <c r="R215" s="394"/>
      <c r="S215" s="394"/>
      <c r="T215" s="394"/>
      <c r="U215" s="394"/>
      <c r="V215" s="394"/>
      <c r="W215" s="394"/>
      <c r="X215" s="394"/>
      <c r="Y215" s="394"/>
      <c r="Z215" s="394"/>
    </row>
    <row r="216" customFormat="false" ht="18.75" hidden="false" customHeight="true" outlineLevel="0" collapsed="false">
      <c r="A216" s="349"/>
      <c r="B216" s="200"/>
      <c r="C216" s="292"/>
      <c r="D216" s="201"/>
      <c r="E216" s="293"/>
      <c r="F216" s="394"/>
      <c r="G216" s="394"/>
      <c r="H216" s="394"/>
      <c r="I216" s="394"/>
      <c r="J216" s="394"/>
      <c r="K216" s="394"/>
      <c r="L216" s="394"/>
      <c r="M216" s="394"/>
      <c r="N216" s="394"/>
      <c r="O216" s="394"/>
      <c r="P216" s="394"/>
      <c r="Q216" s="394"/>
      <c r="R216" s="394"/>
      <c r="S216" s="394"/>
      <c r="T216" s="394"/>
      <c r="U216" s="394"/>
      <c r="V216" s="394"/>
      <c r="W216" s="394"/>
      <c r="X216" s="394"/>
      <c r="Y216" s="394"/>
      <c r="Z216" s="394"/>
    </row>
    <row r="217" customFormat="false" ht="18.75" hidden="false" customHeight="true" outlineLevel="0" collapsed="false">
      <c r="A217" s="350" t="s">
        <v>188</v>
      </c>
      <c r="B217" s="60" t="n">
        <f aca="false">D70</f>
        <v>4051.95</v>
      </c>
      <c r="C217" s="351" t="s">
        <v>194</v>
      </c>
      <c r="D217" s="292"/>
      <c r="E217" s="352" t="n">
        <f aca="false">B72</f>
        <v>0.01</v>
      </c>
      <c r="F217" s="394"/>
      <c r="G217" s="394"/>
      <c r="H217" s="394"/>
      <c r="I217" s="394"/>
      <c r="J217" s="394"/>
      <c r="K217" s="394"/>
      <c r="L217" s="394"/>
      <c r="M217" s="394"/>
      <c r="N217" s="394"/>
      <c r="O217" s="394"/>
      <c r="P217" s="394"/>
      <c r="Q217" s="394"/>
      <c r="R217" s="394"/>
      <c r="S217" s="394"/>
      <c r="T217" s="394"/>
      <c r="U217" s="394"/>
      <c r="V217" s="394"/>
      <c r="W217" s="394"/>
      <c r="X217" s="394"/>
      <c r="Y217" s="394"/>
      <c r="Z217" s="394"/>
    </row>
    <row r="218" customFormat="false" ht="18.75" hidden="false" customHeight="true" outlineLevel="0" collapsed="false">
      <c r="A218" s="69"/>
      <c r="B218" s="200"/>
      <c r="C218" s="310"/>
      <c r="D218" s="240"/>
      <c r="E218" s="293"/>
      <c r="F218" s="394"/>
      <c r="G218" s="394"/>
      <c r="H218" s="394"/>
      <c r="I218" s="394"/>
      <c r="J218" s="394"/>
      <c r="K218" s="394"/>
      <c r="L218" s="394"/>
      <c r="M218" s="394"/>
      <c r="N218" s="394"/>
      <c r="O218" s="394"/>
      <c r="P218" s="394"/>
      <c r="Q218" s="394"/>
      <c r="R218" s="394"/>
      <c r="S218" s="394"/>
      <c r="T218" s="394"/>
      <c r="U218" s="394"/>
      <c r="V218" s="394"/>
      <c r="W218" s="394"/>
      <c r="X218" s="394"/>
      <c r="Y218" s="394"/>
      <c r="Z218" s="394"/>
    </row>
    <row r="219" customFormat="false" ht="18.75" hidden="false" customHeight="true" outlineLevel="0" collapsed="false">
      <c r="A219" s="70" t="s">
        <v>194</v>
      </c>
      <c r="B219" s="60" t="n">
        <f aca="false">B73</f>
        <v>578.85</v>
      </c>
      <c r="C219" s="310" t="s">
        <v>307</v>
      </c>
      <c r="D219" s="353"/>
      <c r="E219" s="103" t="n">
        <v>0.001</v>
      </c>
      <c r="F219" s="394"/>
      <c r="G219" s="394"/>
      <c r="H219" s="394"/>
      <c r="I219" s="394"/>
      <c r="J219" s="394"/>
      <c r="K219" s="394"/>
      <c r="L219" s="394"/>
      <c r="M219" s="394"/>
      <c r="N219" s="394"/>
      <c r="O219" s="394"/>
      <c r="P219" s="394"/>
      <c r="Q219" s="394"/>
      <c r="R219" s="394"/>
      <c r="S219" s="394"/>
      <c r="T219" s="394"/>
      <c r="U219" s="394"/>
      <c r="V219" s="394"/>
      <c r="W219" s="394"/>
      <c r="X219" s="394"/>
      <c r="Y219" s="394"/>
      <c r="Z219" s="394"/>
    </row>
    <row r="220" customFormat="false" ht="18.75" hidden="false" customHeight="true" outlineLevel="0" collapsed="false">
      <c r="A220" s="70"/>
      <c r="B220" s="313"/>
      <c r="C220" s="310"/>
      <c r="D220" s="292"/>
      <c r="E220" s="293"/>
      <c r="F220" s="394"/>
      <c r="G220" s="394"/>
      <c r="H220" s="394"/>
      <c r="I220" s="394"/>
      <c r="J220" s="394"/>
      <c r="K220" s="394"/>
      <c r="L220" s="394"/>
      <c r="M220" s="394"/>
      <c r="N220" s="394"/>
      <c r="O220" s="394"/>
      <c r="P220" s="394"/>
      <c r="Q220" s="394"/>
      <c r="R220" s="394"/>
      <c r="S220" s="394"/>
      <c r="T220" s="394"/>
      <c r="U220" s="394"/>
      <c r="V220" s="394"/>
      <c r="W220" s="394"/>
      <c r="X220" s="394"/>
      <c r="Y220" s="394"/>
      <c r="Z220" s="394"/>
    </row>
    <row r="221" customFormat="false" ht="18.75" hidden="false" customHeight="true" outlineLevel="0" collapsed="false">
      <c r="A221" s="70" t="s">
        <v>307</v>
      </c>
      <c r="B221" s="233" t="n">
        <f aca="false">B197*E219*100</f>
        <v>40</v>
      </c>
      <c r="C221" s="310" t="s">
        <v>196</v>
      </c>
      <c r="D221" s="292"/>
      <c r="E221" s="20" t="n">
        <f aca="false">A200</f>
        <v>99.9916666666667</v>
      </c>
      <c r="F221" s="394"/>
      <c r="G221" s="394"/>
      <c r="H221" s="394"/>
      <c r="I221" s="394"/>
      <c r="J221" s="394"/>
      <c r="K221" s="394"/>
      <c r="L221" s="394"/>
      <c r="M221" s="394"/>
      <c r="N221" s="394"/>
      <c r="O221" s="394"/>
      <c r="P221" s="394"/>
      <c r="Q221" s="394"/>
      <c r="R221" s="394"/>
      <c r="S221" s="394"/>
      <c r="T221" s="394"/>
      <c r="U221" s="394"/>
      <c r="V221" s="394"/>
      <c r="W221" s="394"/>
      <c r="X221" s="394"/>
      <c r="Y221" s="394"/>
      <c r="Z221" s="394"/>
    </row>
    <row r="222" customFormat="false" ht="18.75" hidden="false" customHeight="true" outlineLevel="0" collapsed="false">
      <c r="A222" s="70"/>
      <c r="B222" s="200"/>
      <c r="C222" s="310"/>
      <c r="D222" s="201"/>
      <c r="E222" s="293"/>
      <c r="F222" s="394"/>
      <c r="G222" s="394"/>
      <c r="H222" s="394"/>
      <c r="I222" s="394"/>
      <c r="J222" s="394"/>
      <c r="K222" s="394"/>
      <c r="L222" s="394"/>
      <c r="M222" s="394"/>
      <c r="N222" s="394"/>
      <c r="O222" s="394"/>
      <c r="P222" s="394"/>
      <c r="Q222" s="394"/>
      <c r="R222" s="394"/>
      <c r="S222" s="394"/>
      <c r="T222" s="394"/>
      <c r="U222" s="394"/>
      <c r="V222" s="394"/>
      <c r="W222" s="394"/>
      <c r="X222" s="394"/>
      <c r="Y222" s="394"/>
      <c r="Z222" s="394"/>
    </row>
    <row r="223" customFormat="false" ht="18.75" hidden="false" customHeight="true" outlineLevel="0" collapsed="false">
      <c r="A223" s="350" t="s">
        <v>308</v>
      </c>
      <c r="B223" s="233" t="n">
        <f aca="false">B84-(B84*(E219*100))</f>
        <v>200</v>
      </c>
      <c r="C223" s="310" t="s">
        <v>191</v>
      </c>
      <c r="D223" s="292"/>
      <c r="E223" s="20" t="n">
        <f aca="false">(B217-B211+D211)</f>
        <v>3993.09166666667</v>
      </c>
      <c r="F223" s="394"/>
      <c r="G223" s="394"/>
      <c r="H223" s="394"/>
      <c r="I223" s="394"/>
      <c r="J223" s="394"/>
      <c r="K223" s="394"/>
      <c r="L223" s="394"/>
      <c r="M223" s="394"/>
      <c r="N223" s="394"/>
      <c r="O223" s="394"/>
      <c r="P223" s="394"/>
      <c r="Q223" s="394"/>
      <c r="R223" s="394"/>
      <c r="S223" s="394"/>
      <c r="T223" s="394"/>
      <c r="U223" s="394"/>
      <c r="V223" s="394"/>
      <c r="W223" s="394"/>
      <c r="X223" s="394"/>
      <c r="Y223" s="394"/>
      <c r="Z223" s="394"/>
    </row>
    <row r="224" customFormat="false" ht="18.75" hidden="false" customHeight="true" outlineLevel="0" collapsed="false">
      <c r="A224" s="354"/>
      <c r="B224" s="315"/>
      <c r="C224" s="201"/>
      <c r="D224" s="315"/>
      <c r="E224" s="163"/>
      <c r="F224" s="394"/>
      <c r="G224" s="394"/>
      <c r="H224" s="394"/>
      <c r="I224" s="394"/>
      <c r="J224" s="394"/>
      <c r="K224" s="394"/>
      <c r="L224" s="394"/>
      <c r="M224" s="394"/>
      <c r="N224" s="394"/>
      <c r="O224" s="394"/>
      <c r="P224" s="394"/>
      <c r="Q224" s="394"/>
      <c r="R224" s="394"/>
      <c r="S224" s="394"/>
      <c r="T224" s="394"/>
      <c r="U224" s="394"/>
      <c r="V224" s="394"/>
      <c r="W224" s="394"/>
      <c r="X224" s="394"/>
      <c r="Y224" s="394"/>
      <c r="Z224" s="394"/>
    </row>
    <row r="225" customFormat="false" ht="18.75" hidden="false" customHeight="true" outlineLevel="0" collapsed="false">
      <c r="A225" s="354" t="s">
        <v>309</v>
      </c>
      <c r="B225" s="315" t="n">
        <f aca="false">D197/0.1</f>
        <v>180</v>
      </c>
      <c r="C225" s="201"/>
      <c r="D225" s="315"/>
      <c r="E225" s="163"/>
      <c r="F225" s="394"/>
      <c r="G225" s="394"/>
      <c r="H225" s="394"/>
      <c r="I225" s="394"/>
      <c r="J225" s="394"/>
      <c r="K225" s="394"/>
      <c r="L225" s="394"/>
      <c r="M225" s="394"/>
      <c r="N225" s="394"/>
      <c r="O225" s="394"/>
      <c r="P225" s="394"/>
      <c r="Q225" s="394"/>
      <c r="R225" s="394"/>
      <c r="S225" s="394"/>
      <c r="T225" s="394"/>
      <c r="U225" s="394"/>
      <c r="V225" s="394"/>
      <c r="W225" s="394"/>
      <c r="X225" s="394"/>
      <c r="Y225" s="394"/>
      <c r="Z225" s="394"/>
    </row>
    <row r="226" customFormat="false" ht="18.75" hidden="false" customHeight="true" outlineLevel="0" collapsed="false">
      <c r="A226" s="354"/>
      <c r="B226" s="315"/>
      <c r="C226" s="201"/>
      <c r="D226" s="315"/>
      <c r="E226" s="163"/>
      <c r="F226" s="394"/>
      <c r="G226" s="394"/>
      <c r="H226" s="394"/>
      <c r="I226" s="394"/>
      <c r="J226" s="394"/>
      <c r="K226" s="394"/>
      <c r="L226" s="394"/>
      <c r="M226" s="394"/>
      <c r="N226" s="394"/>
      <c r="O226" s="394"/>
      <c r="P226" s="394"/>
      <c r="Q226" s="394"/>
      <c r="R226" s="394"/>
      <c r="S226" s="394"/>
      <c r="T226" s="394"/>
      <c r="U226" s="394"/>
      <c r="V226" s="394"/>
      <c r="W226" s="394"/>
      <c r="X226" s="394"/>
      <c r="Y226" s="394"/>
      <c r="Z226" s="394"/>
    </row>
    <row r="227" customFormat="false" ht="18.75" hidden="false" customHeight="true" outlineLevel="0" collapsed="false">
      <c r="A227" s="318" t="s">
        <v>310</v>
      </c>
      <c r="B227" s="355"/>
      <c r="C227" s="320"/>
      <c r="D227" s="319"/>
      <c r="E227" s="321"/>
      <c r="F227" s="394"/>
      <c r="G227" s="394"/>
      <c r="H227" s="394"/>
      <c r="I227" s="394"/>
      <c r="J227" s="394"/>
      <c r="K227" s="394"/>
      <c r="L227" s="394"/>
      <c r="M227" s="394"/>
      <c r="N227" s="394"/>
      <c r="O227" s="394"/>
      <c r="P227" s="394"/>
      <c r="Q227" s="394"/>
      <c r="R227" s="394"/>
      <c r="S227" s="394"/>
      <c r="T227" s="394"/>
      <c r="U227" s="394"/>
      <c r="V227" s="394"/>
      <c r="W227" s="394"/>
      <c r="X227" s="394"/>
      <c r="Y227" s="394"/>
      <c r="Z227" s="394"/>
    </row>
    <row r="228" customFormat="false" ht="18.75" hidden="false" customHeight="true" outlineLevel="0" collapsed="false">
      <c r="A228" s="316"/>
      <c r="B228" s="356"/>
      <c r="C228" s="292"/>
      <c r="D228" s="317"/>
      <c r="E228" s="293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94"/>
    </row>
    <row r="229" customFormat="false" ht="18.75" hidden="false" customHeight="true" outlineLevel="0" collapsed="false">
      <c r="A229" s="316" t="s">
        <v>198</v>
      </c>
      <c r="B229" s="60" t="n">
        <f aca="false">B77</f>
        <v>200</v>
      </c>
      <c r="C229" s="310" t="s">
        <v>199</v>
      </c>
      <c r="D229" s="317"/>
      <c r="E229" s="150" t="n">
        <f aca="false">B78</f>
        <v>5</v>
      </c>
      <c r="F229" s="394"/>
      <c r="G229" s="394"/>
      <c r="H229" s="394"/>
      <c r="I229" s="394"/>
      <c r="J229" s="394"/>
      <c r="K229" s="394"/>
      <c r="L229" s="394"/>
      <c r="M229" s="394"/>
      <c r="N229" s="394"/>
      <c r="O229" s="394"/>
      <c r="P229" s="394"/>
      <c r="Q229" s="394"/>
      <c r="R229" s="394"/>
      <c r="S229" s="394"/>
      <c r="T229" s="394"/>
      <c r="U229" s="394"/>
      <c r="V229" s="394"/>
      <c r="W229" s="394"/>
      <c r="X229" s="394"/>
      <c r="Y229" s="394"/>
      <c r="Z229" s="394"/>
    </row>
    <row r="230" customFormat="false" ht="18.75" hidden="false" customHeight="true" outlineLevel="0" collapsed="false">
      <c r="A230" s="316"/>
      <c r="B230" s="356"/>
      <c r="C230" s="310" t="s">
        <v>200</v>
      </c>
      <c r="D230" s="317"/>
      <c r="E230" s="20" t="n">
        <f aca="false">D79</f>
        <v>260</v>
      </c>
      <c r="F230" s="394"/>
      <c r="G230" s="394"/>
      <c r="H230" s="394"/>
      <c r="I230" s="394"/>
      <c r="J230" s="394"/>
      <c r="K230" s="394"/>
      <c r="L230" s="394"/>
      <c r="M230" s="394"/>
      <c r="N230" s="394"/>
      <c r="O230" s="394"/>
      <c r="P230" s="394"/>
      <c r="Q230" s="394"/>
      <c r="R230" s="394"/>
      <c r="S230" s="394"/>
      <c r="T230" s="394"/>
      <c r="U230" s="394"/>
      <c r="V230" s="394"/>
      <c r="W230" s="394"/>
      <c r="X230" s="394"/>
      <c r="Y230" s="394"/>
      <c r="Z230" s="394"/>
    </row>
    <row r="231" customFormat="false" ht="18.75" hidden="false" customHeight="true" outlineLevel="0" collapsed="false">
      <c r="A231" s="316" t="s">
        <v>201</v>
      </c>
      <c r="B231" s="357" t="n">
        <f aca="false">B74</f>
        <v>0.0075</v>
      </c>
      <c r="C231" s="310" t="s">
        <v>202</v>
      </c>
      <c r="D231" s="317"/>
      <c r="E231" s="352" t="n">
        <f aca="false">B75</f>
        <v>0.12</v>
      </c>
      <c r="F231" s="394"/>
      <c r="G231" s="394"/>
      <c r="H231" s="394"/>
      <c r="I231" s="394"/>
      <c r="J231" s="394"/>
      <c r="K231" s="394"/>
      <c r="L231" s="394"/>
      <c r="M231" s="394"/>
      <c r="N231" s="394"/>
      <c r="O231" s="394"/>
      <c r="P231" s="394"/>
      <c r="Q231" s="394"/>
      <c r="R231" s="394"/>
      <c r="S231" s="394"/>
      <c r="T231" s="394"/>
      <c r="U231" s="394"/>
      <c r="V231" s="394"/>
      <c r="W231" s="394"/>
      <c r="X231" s="394"/>
      <c r="Y231" s="394"/>
      <c r="Z231" s="394"/>
    </row>
    <row r="232" customFormat="false" ht="18.75" hidden="false" customHeight="true" outlineLevel="0" collapsed="false">
      <c r="A232" s="316"/>
      <c r="B232" s="356"/>
      <c r="C232" s="310" t="s">
        <v>203</v>
      </c>
      <c r="D232" s="317"/>
      <c r="E232" s="20" t="n">
        <f aca="false">B92</f>
        <v>23.7738805970149</v>
      </c>
      <c r="F232" s="394"/>
      <c r="G232" s="394"/>
      <c r="H232" s="394"/>
      <c r="I232" s="394"/>
      <c r="J232" s="394"/>
      <c r="K232" s="394"/>
      <c r="L232" s="394"/>
      <c r="M232" s="394"/>
      <c r="N232" s="394"/>
      <c r="O232" s="394"/>
      <c r="P232" s="394"/>
      <c r="Q232" s="394"/>
      <c r="R232" s="394"/>
      <c r="S232" s="394"/>
      <c r="T232" s="394"/>
      <c r="U232" s="394"/>
      <c r="V232" s="394"/>
      <c r="W232" s="394"/>
      <c r="X232" s="394"/>
      <c r="Y232" s="394"/>
      <c r="Z232" s="394"/>
    </row>
    <row r="233" customFormat="false" ht="18.75" hidden="false" customHeight="true" outlineLevel="0" collapsed="false">
      <c r="A233" s="316" t="s">
        <v>204</v>
      </c>
      <c r="B233" s="60" t="n">
        <f aca="false">B85</f>
        <v>200</v>
      </c>
      <c r="C233" s="358" t="s">
        <v>311</v>
      </c>
      <c r="D233" s="359"/>
      <c r="E233" s="150" t="n">
        <f aca="false">B80</f>
        <v>165</v>
      </c>
      <c r="F233" s="394"/>
      <c r="G233" s="394"/>
      <c r="H233" s="394"/>
      <c r="I233" s="394"/>
      <c r="J233" s="394"/>
      <c r="K233" s="394"/>
      <c r="L233" s="394"/>
      <c r="M233" s="394"/>
      <c r="N233" s="394"/>
      <c r="O233" s="394"/>
      <c r="P233" s="394"/>
      <c r="Q233" s="394"/>
      <c r="R233" s="394"/>
      <c r="S233" s="394"/>
      <c r="T233" s="394"/>
      <c r="U233" s="394"/>
      <c r="V233" s="394"/>
      <c r="W233" s="394"/>
      <c r="X233" s="394"/>
      <c r="Y233" s="394"/>
      <c r="Z233" s="394"/>
    </row>
    <row r="234" customFormat="false" ht="18.75" hidden="false" customHeight="true" outlineLevel="0" collapsed="false">
      <c r="A234" s="350"/>
      <c r="B234" s="313"/>
      <c r="C234" s="358"/>
      <c r="D234" s="360"/>
      <c r="E234" s="361"/>
      <c r="F234" s="394"/>
      <c r="G234" s="394"/>
      <c r="H234" s="394"/>
      <c r="I234" s="394"/>
      <c r="J234" s="394"/>
      <c r="K234" s="394"/>
      <c r="L234" s="394"/>
      <c r="M234" s="394"/>
      <c r="N234" s="394"/>
      <c r="O234" s="394"/>
      <c r="P234" s="394"/>
      <c r="Q234" s="394"/>
      <c r="R234" s="394"/>
      <c r="S234" s="394"/>
      <c r="T234" s="394"/>
      <c r="U234" s="394"/>
      <c r="V234" s="394"/>
      <c r="W234" s="394"/>
      <c r="X234" s="394"/>
      <c r="Y234" s="394"/>
      <c r="Z234" s="394"/>
    </row>
    <row r="235" customFormat="false" ht="18.75" hidden="false" customHeight="true" outlineLevel="0" collapsed="false">
      <c r="A235" s="70" t="s">
        <v>205</v>
      </c>
      <c r="B235" s="60" t="n">
        <f aca="false">B86</f>
        <v>200</v>
      </c>
      <c r="C235" s="362" t="s">
        <v>312</v>
      </c>
      <c r="D235" s="362"/>
      <c r="E235" s="150" t="n">
        <f aca="false">B81</f>
        <v>355</v>
      </c>
      <c r="F235" s="394"/>
      <c r="G235" s="394"/>
      <c r="H235" s="394"/>
      <c r="I235" s="394"/>
      <c r="J235" s="394"/>
      <c r="K235" s="394"/>
      <c r="L235" s="394"/>
      <c r="M235" s="394"/>
      <c r="N235" s="394"/>
      <c r="O235" s="394"/>
      <c r="P235" s="394"/>
      <c r="Q235" s="394"/>
      <c r="R235" s="394"/>
      <c r="S235" s="394"/>
      <c r="T235" s="394"/>
      <c r="U235" s="394"/>
      <c r="V235" s="394"/>
      <c r="W235" s="394"/>
      <c r="X235" s="394"/>
      <c r="Y235" s="394"/>
      <c r="Z235" s="394"/>
    </row>
    <row r="236" customFormat="false" ht="18.75" hidden="false" customHeight="true" outlineLevel="0" collapsed="false">
      <c r="A236" s="291"/>
      <c r="B236" s="292"/>
      <c r="C236" s="292"/>
      <c r="D236" s="292"/>
      <c r="E236" s="293"/>
      <c r="F236" s="394"/>
      <c r="G236" s="394"/>
      <c r="H236" s="394"/>
      <c r="I236" s="394"/>
      <c r="J236" s="394"/>
      <c r="K236" s="394"/>
      <c r="L236" s="394"/>
      <c r="M236" s="394"/>
      <c r="N236" s="394"/>
      <c r="O236" s="394"/>
      <c r="P236" s="394"/>
      <c r="Q236" s="394"/>
      <c r="R236" s="394"/>
      <c r="S236" s="394"/>
      <c r="T236" s="394"/>
      <c r="U236" s="394"/>
      <c r="V236" s="394"/>
      <c r="W236" s="394"/>
      <c r="X236" s="394"/>
      <c r="Y236" s="394"/>
      <c r="Z236" s="394"/>
    </row>
    <row r="237" customFormat="false" ht="18.75" hidden="false" customHeight="true" outlineLevel="0" collapsed="false">
      <c r="A237" s="291"/>
      <c r="B237" s="292"/>
      <c r="C237" s="292"/>
      <c r="D237" s="292"/>
      <c r="E237" s="293"/>
      <c r="F237" s="394"/>
      <c r="G237" s="394"/>
      <c r="H237" s="394"/>
      <c r="I237" s="394"/>
      <c r="J237" s="394"/>
      <c r="K237" s="394"/>
      <c r="L237" s="394"/>
      <c r="M237" s="394"/>
      <c r="N237" s="394"/>
      <c r="O237" s="394"/>
      <c r="P237" s="394"/>
      <c r="Q237" s="394"/>
      <c r="R237" s="394"/>
      <c r="S237" s="394"/>
      <c r="T237" s="394"/>
      <c r="U237" s="394"/>
      <c r="V237" s="394"/>
      <c r="W237" s="394"/>
      <c r="X237" s="394"/>
      <c r="Y237" s="394"/>
      <c r="Z237" s="394"/>
    </row>
    <row r="238" customFormat="false" ht="18.75" hidden="false" customHeight="true" outlineLevel="0" collapsed="false">
      <c r="A238" s="70"/>
      <c r="B238" s="201"/>
      <c r="C238" s="201"/>
      <c r="D238" s="201"/>
      <c r="E238" s="177"/>
      <c r="F238" s="394"/>
      <c r="G238" s="394"/>
      <c r="H238" s="394"/>
      <c r="I238" s="394"/>
      <c r="J238" s="394"/>
      <c r="K238" s="394"/>
      <c r="L238" s="394"/>
      <c r="M238" s="394"/>
      <c r="N238" s="394"/>
      <c r="O238" s="394"/>
      <c r="P238" s="394"/>
      <c r="Q238" s="394"/>
      <c r="R238" s="394"/>
      <c r="S238" s="394"/>
      <c r="T238" s="394"/>
      <c r="U238" s="394"/>
      <c r="V238" s="394"/>
      <c r="W238" s="394"/>
      <c r="X238" s="394"/>
      <c r="Y238" s="394"/>
      <c r="Z238" s="394"/>
    </row>
    <row r="239" customFormat="false" ht="18.75" hidden="false" customHeight="true" outlineLevel="0" collapsed="false">
      <c r="A239" s="291"/>
      <c r="B239" s="292"/>
      <c r="C239" s="292"/>
      <c r="D239" s="292"/>
      <c r="E239" s="293"/>
      <c r="F239" s="394"/>
      <c r="G239" s="394"/>
      <c r="H239" s="394"/>
      <c r="I239" s="394"/>
      <c r="J239" s="394"/>
      <c r="K239" s="394"/>
      <c r="L239" s="394"/>
      <c r="M239" s="394"/>
      <c r="N239" s="394"/>
      <c r="O239" s="394"/>
      <c r="P239" s="394"/>
      <c r="Q239" s="394"/>
      <c r="R239" s="394"/>
      <c r="S239" s="394"/>
      <c r="T239" s="394"/>
      <c r="U239" s="394"/>
      <c r="V239" s="394"/>
      <c r="W239" s="394"/>
      <c r="X239" s="394"/>
      <c r="Y239" s="394"/>
      <c r="Z239" s="394"/>
    </row>
    <row r="240" customFormat="false" ht="18.75" hidden="false" customHeight="true" outlineLevel="0" collapsed="false">
      <c r="A240" s="291"/>
      <c r="B240" s="292"/>
      <c r="C240" s="292"/>
      <c r="D240" s="292"/>
      <c r="E240" s="293"/>
      <c r="F240" s="394"/>
      <c r="G240" s="394"/>
      <c r="H240" s="394"/>
      <c r="I240" s="394"/>
      <c r="J240" s="394"/>
      <c r="K240" s="394"/>
      <c r="L240" s="394"/>
      <c r="M240" s="394"/>
      <c r="N240" s="394"/>
      <c r="O240" s="394"/>
      <c r="P240" s="394"/>
      <c r="Q240" s="394"/>
      <c r="R240" s="394"/>
      <c r="S240" s="394"/>
      <c r="T240" s="394"/>
      <c r="U240" s="394"/>
      <c r="V240" s="394"/>
      <c r="W240" s="394"/>
      <c r="X240" s="394"/>
      <c r="Y240" s="394"/>
      <c r="Z240" s="394"/>
    </row>
    <row r="241" customFormat="false" ht="18.75" hidden="false" customHeight="true" outlineLevel="0" collapsed="false">
      <c r="A241" s="70"/>
      <c r="B241" s="201"/>
      <c r="C241" s="292"/>
      <c r="D241" s="292"/>
      <c r="E241" s="293"/>
      <c r="F241" s="394"/>
      <c r="G241" s="394"/>
      <c r="H241" s="394"/>
      <c r="I241" s="394"/>
      <c r="J241" s="394"/>
      <c r="K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  <c r="X241" s="394"/>
      <c r="Y241" s="394"/>
      <c r="Z241" s="394"/>
    </row>
    <row r="242" customFormat="false" ht="18.75" hidden="false" customHeight="true" outlineLevel="0" collapsed="false">
      <c r="A242" s="342"/>
      <c r="B242" s="343"/>
      <c r="C242" s="343"/>
      <c r="D242" s="343"/>
      <c r="E242" s="344"/>
      <c r="F242" s="394"/>
      <c r="G242" s="394"/>
      <c r="H242" s="394"/>
      <c r="I242" s="394"/>
      <c r="J242" s="394"/>
      <c r="K242" s="394"/>
      <c r="L242" s="394"/>
      <c r="M242" s="394"/>
      <c r="N242" s="394"/>
      <c r="O242" s="394"/>
      <c r="P242" s="394"/>
      <c r="Q242" s="394"/>
      <c r="R242" s="394"/>
      <c r="S242" s="394"/>
      <c r="T242" s="394"/>
      <c r="U242" s="394"/>
      <c r="V242" s="394"/>
      <c r="W242" s="394"/>
      <c r="X242" s="394"/>
      <c r="Y242" s="394"/>
      <c r="Z242" s="394"/>
    </row>
    <row r="243" customFormat="false" ht="18.75" hidden="false" customHeight="true" outlineLevel="0" collapsed="false">
      <c r="A243" s="394"/>
      <c r="B243" s="394"/>
      <c r="C243" s="394"/>
      <c r="D243" s="394"/>
      <c r="E243" s="394"/>
      <c r="F243" s="394"/>
      <c r="G243" s="394"/>
      <c r="H243" s="394"/>
      <c r="I243" s="394"/>
      <c r="J243" s="394"/>
      <c r="K243" s="394"/>
      <c r="L243" s="394"/>
      <c r="M243" s="394"/>
      <c r="N243" s="394"/>
      <c r="O243" s="394"/>
      <c r="P243" s="394"/>
      <c r="Q243" s="394"/>
      <c r="R243" s="394"/>
      <c r="S243" s="394"/>
      <c r="T243" s="394"/>
      <c r="U243" s="394"/>
      <c r="V243" s="394"/>
      <c r="W243" s="394"/>
      <c r="X243" s="394"/>
      <c r="Y243" s="394"/>
      <c r="Z243" s="394"/>
    </row>
    <row r="244" customFormat="false" ht="18.75" hidden="false" customHeight="true" outlineLevel="0" collapsed="false">
      <c r="A244" s="394"/>
      <c r="B244" s="394"/>
      <c r="C244" s="394"/>
      <c r="D244" s="394"/>
      <c r="E244" s="394"/>
      <c r="F244" s="394"/>
      <c r="G244" s="394"/>
      <c r="H244" s="394"/>
      <c r="I244" s="394"/>
      <c r="J244" s="394"/>
      <c r="K244" s="394"/>
      <c r="L244" s="394"/>
      <c r="M244" s="394"/>
      <c r="N244" s="394"/>
      <c r="O244" s="394"/>
      <c r="P244" s="394"/>
      <c r="Q244" s="394"/>
      <c r="R244" s="394"/>
      <c r="S244" s="394"/>
      <c r="T244" s="394"/>
      <c r="U244" s="394"/>
      <c r="V244" s="394"/>
      <c r="W244" s="394"/>
      <c r="X244" s="394"/>
      <c r="Y244" s="394"/>
      <c r="Z244" s="394"/>
    </row>
    <row r="245" customFormat="false" ht="18.75" hidden="false" customHeight="true" outlineLevel="0" collapsed="false">
      <c r="A245" s="394"/>
      <c r="B245" s="394"/>
      <c r="C245" s="394"/>
      <c r="D245" s="394"/>
      <c r="E245" s="394"/>
      <c r="F245" s="394"/>
      <c r="G245" s="394"/>
      <c r="H245" s="394"/>
      <c r="I245" s="394"/>
      <c r="J245" s="394"/>
      <c r="K245" s="394"/>
      <c r="L245" s="394"/>
      <c r="M245" s="394"/>
      <c r="N245" s="394"/>
      <c r="O245" s="394"/>
      <c r="P245" s="394"/>
      <c r="Q245" s="394"/>
      <c r="R245" s="394"/>
      <c r="S245" s="394"/>
      <c r="T245" s="394"/>
      <c r="U245" s="394"/>
      <c r="V245" s="394"/>
      <c r="W245" s="394"/>
      <c r="X245" s="394"/>
      <c r="Y245" s="394"/>
      <c r="Z245" s="394"/>
    </row>
    <row r="246" customFormat="false" ht="18.75" hidden="false" customHeight="true" outlineLevel="0" collapsed="false">
      <c r="A246" s="394"/>
      <c r="B246" s="394"/>
      <c r="C246" s="394"/>
      <c r="D246" s="394"/>
      <c r="E246" s="394"/>
      <c r="F246" s="394"/>
      <c r="G246" s="394"/>
      <c r="H246" s="394"/>
      <c r="I246" s="394"/>
      <c r="J246" s="394"/>
      <c r="K246" s="394"/>
      <c r="L246" s="394"/>
      <c r="M246" s="394"/>
      <c r="N246" s="394"/>
      <c r="O246" s="394"/>
      <c r="P246" s="394"/>
      <c r="Q246" s="394"/>
      <c r="R246" s="394"/>
      <c r="S246" s="394"/>
      <c r="T246" s="394"/>
      <c r="U246" s="394"/>
      <c r="V246" s="394"/>
      <c r="W246" s="394"/>
      <c r="X246" s="394"/>
      <c r="Y246" s="394"/>
      <c r="Z246" s="394"/>
    </row>
    <row r="247" customFormat="false" ht="18.75" hidden="false" customHeight="true" outlineLevel="0" collapsed="false">
      <c r="A247" s="394"/>
      <c r="B247" s="394"/>
      <c r="C247" s="394"/>
      <c r="D247" s="394"/>
      <c r="E247" s="394"/>
      <c r="F247" s="394"/>
      <c r="G247" s="394"/>
      <c r="H247" s="394"/>
      <c r="I247" s="394"/>
      <c r="J247" s="394"/>
      <c r="K247" s="394"/>
      <c r="L247" s="394"/>
      <c r="M247" s="394"/>
      <c r="N247" s="394"/>
      <c r="O247" s="394"/>
      <c r="P247" s="394"/>
      <c r="Q247" s="394"/>
      <c r="R247" s="394"/>
      <c r="S247" s="394"/>
      <c r="T247" s="394"/>
      <c r="U247" s="394"/>
      <c r="V247" s="394"/>
      <c r="W247" s="394"/>
      <c r="X247" s="394"/>
      <c r="Y247" s="394"/>
      <c r="Z247" s="394"/>
    </row>
    <row r="248" customFormat="false" ht="18.75" hidden="false" customHeight="true" outlineLevel="0" collapsed="false">
      <c r="A248" s="394"/>
      <c r="B248" s="394"/>
      <c r="C248" s="394"/>
      <c r="D248" s="394"/>
      <c r="E248" s="394"/>
      <c r="F248" s="394"/>
      <c r="G248" s="394"/>
      <c r="H248" s="394"/>
      <c r="I248" s="394"/>
      <c r="J248" s="394"/>
      <c r="K248" s="394"/>
      <c r="L248" s="394"/>
      <c r="M248" s="394"/>
      <c r="N248" s="394"/>
      <c r="O248" s="394"/>
      <c r="P248" s="394"/>
      <c r="Q248" s="394"/>
      <c r="R248" s="394"/>
      <c r="S248" s="394"/>
      <c r="T248" s="394"/>
      <c r="U248" s="394"/>
      <c r="V248" s="394"/>
      <c r="W248" s="394"/>
      <c r="X248" s="394"/>
      <c r="Y248" s="394"/>
      <c r="Z248" s="394"/>
    </row>
    <row r="249" customFormat="false" ht="18.75" hidden="false" customHeight="true" outlineLevel="0" collapsed="false">
      <c r="A249" s="394"/>
      <c r="B249" s="394"/>
      <c r="C249" s="394"/>
      <c r="D249" s="394"/>
      <c r="E249" s="394"/>
      <c r="F249" s="394"/>
      <c r="G249" s="394"/>
      <c r="H249" s="394"/>
      <c r="I249" s="394"/>
      <c r="J249" s="394"/>
      <c r="K249" s="394"/>
      <c r="L249" s="394"/>
      <c r="M249" s="394"/>
      <c r="N249" s="394"/>
      <c r="O249" s="394"/>
      <c r="P249" s="394"/>
      <c r="Q249" s="394"/>
      <c r="R249" s="394"/>
      <c r="S249" s="394"/>
      <c r="T249" s="394"/>
      <c r="U249" s="394"/>
      <c r="V249" s="394"/>
      <c r="W249" s="394"/>
      <c r="X249" s="394"/>
      <c r="Y249" s="394"/>
      <c r="Z249" s="394"/>
    </row>
    <row r="250" customFormat="false" ht="18.75" hidden="false" customHeight="true" outlineLevel="0" collapsed="false">
      <c r="A250" s="394"/>
      <c r="B250" s="394"/>
      <c r="C250" s="394"/>
      <c r="D250" s="394"/>
      <c r="E250" s="394"/>
      <c r="F250" s="394"/>
      <c r="G250" s="394"/>
      <c r="H250" s="394"/>
      <c r="I250" s="394"/>
      <c r="J250" s="394"/>
      <c r="K250" s="394"/>
      <c r="L250" s="394"/>
      <c r="M250" s="394"/>
      <c r="N250" s="394"/>
      <c r="O250" s="394"/>
      <c r="P250" s="394"/>
      <c r="Q250" s="394"/>
      <c r="R250" s="394"/>
      <c r="S250" s="394"/>
      <c r="T250" s="394"/>
      <c r="U250" s="394"/>
      <c r="V250" s="394"/>
      <c r="W250" s="394"/>
      <c r="X250" s="394"/>
      <c r="Y250" s="394"/>
      <c r="Z250" s="394"/>
    </row>
    <row r="251" customFormat="false" ht="18.75" hidden="false" customHeight="true" outlineLevel="0" collapsed="false">
      <c r="A251" s="394"/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4"/>
      <c r="N251" s="394"/>
      <c r="O251" s="394"/>
      <c r="P251" s="394"/>
      <c r="Q251" s="394"/>
      <c r="R251" s="394"/>
      <c r="S251" s="394"/>
      <c r="T251" s="394"/>
      <c r="U251" s="394"/>
      <c r="V251" s="394"/>
      <c r="W251" s="394"/>
      <c r="X251" s="394"/>
      <c r="Y251" s="394"/>
      <c r="Z251" s="394"/>
    </row>
    <row r="252" customFormat="false" ht="18.75" hidden="false" customHeight="true" outlineLevel="0" collapsed="false">
      <c r="A252" s="394"/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4"/>
      <c r="N252" s="394"/>
      <c r="O252" s="394"/>
      <c r="P252" s="394"/>
      <c r="Q252" s="394"/>
      <c r="R252" s="394"/>
      <c r="S252" s="394"/>
      <c r="T252" s="394"/>
      <c r="U252" s="394"/>
      <c r="V252" s="394"/>
      <c r="W252" s="394"/>
      <c r="X252" s="394"/>
      <c r="Y252" s="394"/>
      <c r="Z252" s="394"/>
    </row>
    <row r="253" customFormat="false" ht="18.75" hidden="false" customHeight="true" outlineLevel="0" collapsed="false">
      <c r="A253" s="394"/>
      <c r="B253" s="394"/>
      <c r="C253" s="394"/>
      <c r="D253" s="394"/>
      <c r="E253" s="394"/>
      <c r="F253" s="394"/>
      <c r="G253" s="394"/>
      <c r="H253" s="394"/>
      <c r="I253" s="394"/>
      <c r="J253" s="394"/>
      <c r="K253" s="394"/>
      <c r="L253" s="394"/>
      <c r="M253" s="394"/>
      <c r="N253" s="394"/>
      <c r="O253" s="394"/>
      <c r="P253" s="394"/>
      <c r="Q253" s="394"/>
      <c r="R253" s="394"/>
      <c r="S253" s="394"/>
      <c r="T253" s="394"/>
      <c r="U253" s="394"/>
      <c r="V253" s="394"/>
      <c r="W253" s="394"/>
      <c r="X253" s="394"/>
      <c r="Y253" s="394"/>
      <c r="Z253" s="394"/>
    </row>
    <row r="254" customFormat="false" ht="18.75" hidden="false" customHeight="true" outlineLevel="0" collapsed="false">
      <c r="A254" s="394"/>
      <c r="B254" s="394"/>
      <c r="C254" s="394"/>
      <c r="D254" s="394"/>
      <c r="E254" s="394"/>
      <c r="F254" s="394"/>
      <c r="G254" s="394"/>
      <c r="H254" s="394"/>
      <c r="I254" s="394"/>
      <c r="J254" s="394"/>
      <c r="K254" s="394"/>
      <c r="L254" s="394"/>
      <c r="M254" s="394"/>
      <c r="N254" s="394"/>
      <c r="O254" s="394"/>
      <c r="P254" s="394"/>
      <c r="Q254" s="394"/>
      <c r="R254" s="394"/>
      <c r="S254" s="394"/>
      <c r="T254" s="394"/>
      <c r="U254" s="394"/>
      <c r="V254" s="394"/>
      <c r="W254" s="394"/>
      <c r="X254" s="394"/>
      <c r="Y254" s="394"/>
      <c r="Z254" s="394"/>
    </row>
    <row r="255" customFormat="false" ht="18.75" hidden="false" customHeight="true" outlineLevel="0" collapsed="false">
      <c r="A255" s="394"/>
      <c r="B255" s="394"/>
      <c r="C255" s="394"/>
      <c r="D255" s="394"/>
      <c r="E255" s="394"/>
      <c r="F255" s="394"/>
      <c r="G255" s="394"/>
      <c r="H255" s="394"/>
      <c r="I255" s="394"/>
      <c r="J255" s="394"/>
      <c r="K255" s="394"/>
      <c r="L255" s="394"/>
      <c r="M255" s="394"/>
      <c r="N255" s="394"/>
      <c r="O255" s="394"/>
      <c r="P255" s="394"/>
      <c r="Q255" s="394"/>
      <c r="R255" s="394"/>
      <c r="S255" s="394"/>
      <c r="T255" s="394"/>
      <c r="U255" s="394"/>
      <c r="V255" s="394"/>
      <c r="W255" s="394"/>
      <c r="X255" s="394"/>
      <c r="Y255" s="394"/>
      <c r="Z255" s="394"/>
    </row>
    <row r="256" customFormat="false" ht="18.75" hidden="false" customHeight="true" outlineLevel="0" collapsed="false">
      <c r="A256" s="394"/>
      <c r="B256" s="394"/>
      <c r="C256" s="394"/>
      <c r="D256" s="394"/>
      <c r="E256" s="394"/>
      <c r="F256" s="394"/>
      <c r="G256" s="394"/>
      <c r="H256" s="394"/>
      <c r="I256" s="394"/>
      <c r="J256" s="394"/>
      <c r="K256" s="394"/>
      <c r="L256" s="394"/>
      <c r="M256" s="394"/>
      <c r="N256" s="394"/>
      <c r="O256" s="394"/>
      <c r="P256" s="394"/>
      <c r="Q256" s="394"/>
      <c r="R256" s="394"/>
      <c r="S256" s="394"/>
      <c r="T256" s="394"/>
      <c r="U256" s="394"/>
      <c r="V256" s="394"/>
      <c r="W256" s="394"/>
      <c r="X256" s="394"/>
      <c r="Y256" s="394"/>
      <c r="Z256" s="394"/>
    </row>
    <row r="257" customFormat="false" ht="18.75" hidden="false" customHeight="true" outlineLevel="0" collapsed="false">
      <c r="A257" s="394"/>
      <c r="B257" s="394"/>
      <c r="C257" s="394"/>
      <c r="D257" s="394"/>
      <c r="E257" s="394"/>
      <c r="F257" s="394"/>
      <c r="G257" s="394"/>
      <c r="H257" s="394"/>
      <c r="I257" s="394"/>
      <c r="J257" s="394"/>
      <c r="K257" s="394"/>
      <c r="L257" s="394"/>
      <c r="M257" s="394"/>
      <c r="N257" s="394"/>
      <c r="O257" s="394"/>
      <c r="P257" s="394"/>
      <c r="Q257" s="394"/>
      <c r="R257" s="394"/>
      <c r="S257" s="394"/>
      <c r="T257" s="394"/>
      <c r="U257" s="394"/>
      <c r="V257" s="394"/>
      <c r="W257" s="394"/>
      <c r="X257" s="394"/>
      <c r="Y257" s="394"/>
      <c r="Z257" s="394"/>
    </row>
    <row r="258" customFormat="false" ht="18.75" hidden="false" customHeight="true" outlineLevel="0" collapsed="false">
      <c r="A258" s="394"/>
      <c r="B258" s="394"/>
      <c r="C258" s="394"/>
      <c r="D258" s="394"/>
      <c r="E258" s="394"/>
      <c r="F258" s="394"/>
      <c r="G258" s="394"/>
      <c r="H258" s="394"/>
      <c r="I258" s="394"/>
      <c r="J258" s="394"/>
      <c r="K258" s="394"/>
      <c r="L258" s="394"/>
      <c r="M258" s="394"/>
      <c r="N258" s="394"/>
      <c r="O258" s="394"/>
      <c r="P258" s="394"/>
      <c r="Q258" s="394"/>
      <c r="R258" s="394"/>
      <c r="S258" s="394"/>
      <c r="T258" s="394"/>
      <c r="U258" s="394"/>
      <c r="V258" s="394"/>
      <c r="W258" s="394"/>
      <c r="X258" s="394"/>
      <c r="Y258" s="394"/>
      <c r="Z258" s="394"/>
    </row>
    <row r="259" customFormat="false" ht="18.75" hidden="false" customHeight="true" outlineLevel="0" collapsed="false">
      <c r="A259" s="394"/>
      <c r="B259" s="394"/>
      <c r="C259" s="394"/>
      <c r="D259" s="394"/>
      <c r="E259" s="394"/>
      <c r="F259" s="394"/>
      <c r="G259" s="394"/>
      <c r="H259" s="394"/>
      <c r="I259" s="394"/>
      <c r="J259" s="394"/>
      <c r="K259" s="394"/>
      <c r="L259" s="394"/>
      <c r="M259" s="394"/>
      <c r="N259" s="394"/>
      <c r="O259" s="394"/>
      <c r="P259" s="394"/>
      <c r="Q259" s="394"/>
      <c r="R259" s="394"/>
      <c r="S259" s="394"/>
      <c r="T259" s="394"/>
      <c r="U259" s="394"/>
      <c r="V259" s="394"/>
      <c r="W259" s="394"/>
      <c r="X259" s="394"/>
      <c r="Y259" s="394"/>
      <c r="Z259" s="394"/>
    </row>
    <row r="260" customFormat="false" ht="18.75" hidden="false" customHeight="true" outlineLevel="0" collapsed="false">
      <c r="A260" s="394"/>
      <c r="B260" s="394"/>
      <c r="C260" s="394"/>
      <c r="D260" s="394"/>
      <c r="E260" s="394"/>
      <c r="F260" s="394"/>
      <c r="G260" s="394"/>
      <c r="H260" s="394"/>
      <c r="I260" s="394"/>
      <c r="J260" s="394"/>
      <c r="K260" s="394"/>
      <c r="L260" s="394"/>
      <c r="M260" s="394"/>
      <c r="N260" s="394"/>
      <c r="O260" s="394"/>
      <c r="P260" s="394"/>
      <c r="Q260" s="394"/>
      <c r="R260" s="394"/>
      <c r="S260" s="394"/>
      <c r="T260" s="394"/>
      <c r="U260" s="394"/>
      <c r="V260" s="394"/>
      <c r="W260" s="394"/>
      <c r="X260" s="394"/>
      <c r="Y260" s="394"/>
      <c r="Z260" s="394"/>
    </row>
    <row r="261" customFormat="false" ht="18.75" hidden="false" customHeight="true" outlineLevel="0" collapsed="false">
      <c r="A261" s="394"/>
      <c r="B261" s="394"/>
      <c r="C261" s="394"/>
      <c r="D261" s="394"/>
      <c r="E261" s="394"/>
      <c r="F261" s="394"/>
      <c r="G261" s="394"/>
      <c r="H261" s="394"/>
      <c r="I261" s="394"/>
      <c r="J261" s="394"/>
      <c r="K261" s="394"/>
      <c r="L261" s="394"/>
      <c r="M261" s="394"/>
      <c r="N261" s="394"/>
      <c r="O261" s="394"/>
      <c r="P261" s="394"/>
      <c r="Q261" s="394"/>
      <c r="R261" s="394"/>
      <c r="S261" s="394"/>
      <c r="T261" s="394"/>
      <c r="U261" s="394"/>
      <c r="V261" s="394"/>
      <c r="W261" s="394"/>
      <c r="X261" s="394"/>
      <c r="Y261" s="394"/>
      <c r="Z261" s="394"/>
    </row>
    <row r="262" customFormat="false" ht="18.75" hidden="false" customHeight="true" outlineLevel="0" collapsed="false">
      <c r="A262" s="394"/>
      <c r="B262" s="394"/>
      <c r="C262" s="394"/>
      <c r="D262" s="394"/>
      <c r="E262" s="394"/>
      <c r="F262" s="394"/>
      <c r="G262" s="394"/>
      <c r="H262" s="394"/>
      <c r="I262" s="394"/>
      <c r="J262" s="394"/>
      <c r="K262" s="394"/>
      <c r="L262" s="394"/>
      <c r="M262" s="394"/>
      <c r="N262" s="394"/>
      <c r="O262" s="394"/>
      <c r="P262" s="394"/>
      <c r="Q262" s="394"/>
      <c r="R262" s="394"/>
      <c r="S262" s="394"/>
      <c r="T262" s="394"/>
      <c r="U262" s="394"/>
      <c r="V262" s="394"/>
      <c r="W262" s="394"/>
      <c r="X262" s="394"/>
      <c r="Y262" s="394"/>
      <c r="Z262" s="394"/>
    </row>
    <row r="263" customFormat="false" ht="18.75" hidden="false" customHeight="true" outlineLevel="0" collapsed="false">
      <c r="A263" s="394"/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4"/>
      <c r="N263" s="394"/>
      <c r="O263" s="394"/>
      <c r="P263" s="394"/>
      <c r="Q263" s="394"/>
      <c r="R263" s="394"/>
      <c r="S263" s="394"/>
      <c r="T263" s="394"/>
      <c r="U263" s="394"/>
      <c r="V263" s="394"/>
      <c r="W263" s="394"/>
      <c r="X263" s="394"/>
      <c r="Y263" s="394"/>
      <c r="Z263" s="394"/>
    </row>
    <row r="264" customFormat="false" ht="18.75" hidden="false" customHeight="true" outlineLevel="0" collapsed="false">
      <c r="A264" s="394"/>
      <c r="B264" s="394"/>
      <c r="C264" s="394"/>
      <c r="D264" s="394"/>
      <c r="E264" s="394"/>
      <c r="F264" s="394"/>
      <c r="G264" s="394"/>
      <c r="H264" s="394"/>
      <c r="I264" s="394"/>
      <c r="J264" s="394"/>
      <c r="K264" s="394"/>
      <c r="L264" s="394"/>
      <c r="M264" s="394"/>
      <c r="N264" s="394"/>
      <c r="O264" s="394"/>
      <c r="P264" s="394"/>
      <c r="Q264" s="394"/>
      <c r="R264" s="394"/>
      <c r="S264" s="394"/>
      <c r="T264" s="394"/>
      <c r="U264" s="394"/>
      <c r="V264" s="394"/>
      <c r="W264" s="394"/>
      <c r="X264" s="394"/>
      <c r="Y264" s="394"/>
      <c r="Z264" s="394"/>
    </row>
    <row r="265" customFormat="false" ht="18.75" hidden="false" customHeight="true" outlineLevel="0" collapsed="false">
      <c r="A265" s="394"/>
      <c r="B265" s="394"/>
      <c r="C265" s="394"/>
      <c r="D265" s="394"/>
      <c r="E265" s="394"/>
      <c r="F265" s="394"/>
      <c r="G265" s="394"/>
      <c r="H265" s="394"/>
      <c r="I265" s="394"/>
      <c r="J265" s="394"/>
      <c r="K265" s="394"/>
      <c r="L265" s="394"/>
      <c r="M265" s="394"/>
      <c r="N265" s="394"/>
      <c r="O265" s="394"/>
      <c r="P265" s="394"/>
      <c r="Q265" s="394"/>
      <c r="R265" s="394"/>
      <c r="S265" s="394"/>
      <c r="T265" s="394"/>
      <c r="U265" s="394"/>
      <c r="V265" s="394"/>
      <c r="W265" s="394"/>
      <c r="X265" s="394"/>
      <c r="Y265" s="394"/>
      <c r="Z265" s="394"/>
    </row>
    <row r="266" customFormat="false" ht="18.75" hidden="false" customHeight="true" outlineLevel="0" collapsed="false">
      <c r="A266" s="394"/>
      <c r="B266" s="394"/>
      <c r="C266" s="394"/>
      <c r="D266" s="394"/>
      <c r="E266" s="394"/>
      <c r="F266" s="394"/>
      <c r="G266" s="394"/>
      <c r="H266" s="394"/>
      <c r="I266" s="394"/>
      <c r="J266" s="394"/>
      <c r="K266" s="394"/>
      <c r="L266" s="394"/>
      <c r="M266" s="394"/>
      <c r="N266" s="394"/>
      <c r="O266" s="394"/>
      <c r="P266" s="394"/>
      <c r="Q266" s="394"/>
      <c r="R266" s="394"/>
      <c r="S266" s="394"/>
      <c r="T266" s="394"/>
      <c r="U266" s="394"/>
      <c r="V266" s="394"/>
      <c r="W266" s="394"/>
      <c r="X266" s="394"/>
      <c r="Y266" s="394"/>
      <c r="Z266" s="394"/>
    </row>
    <row r="267" customFormat="false" ht="18.75" hidden="false" customHeight="true" outlineLevel="0" collapsed="false">
      <c r="A267" s="394"/>
      <c r="B267" s="394"/>
      <c r="C267" s="394"/>
      <c r="D267" s="394"/>
      <c r="E267" s="394"/>
      <c r="F267" s="394"/>
      <c r="G267" s="394"/>
      <c r="H267" s="394"/>
      <c r="I267" s="394"/>
      <c r="J267" s="394"/>
      <c r="K267" s="394"/>
      <c r="L267" s="394"/>
      <c r="M267" s="394"/>
      <c r="N267" s="394"/>
      <c r="O267" s="394"/>
      <c r="P267" s="394"/>
      <c r="Q267" s="394"/>
      <c r="R267" s="394"/>
      <c r="S267" s="394"/>
      <c r="T267" s="394"/>
      <c r="U267" s="394"/>
      <c r="V267" s="394"/>
      <c r="W267" s="394"/>
      <c r="X267" s="394"/>
      <c r="Y267" s="394"/>
      <c r="Z267" s="394"/>
    </row>
    <row r="268" customFormat="false" ht="18.75" hidden="false" customHeight="true" outlineLevel="0" collapsed="false">
      <c r="A268" s="394"/>
      <c r="B268" s="394"/>
      <c r="C268" s="394"/>
      <c r="D268" s="394"/>
      <c r="E268" s="394"/>
      <c r="F268" s="394"/>
      <c r="G268" s="394"/>
      <c r="H268" s="394"/>
      <c r="I268" s="394"/>
      <c r="J268" s="394"/>
      <c r="K268" s="394"/>
      <c r="L268" s="394"/>
      <c r="M268" s="394"/>
      <c r="N268" s="394"/>
      <c r="O268" s="394"/>
      <c r="P268" s="394"/>
      <c r="Q268" s="394"/>
      <c r="R268" s="394"/>
      <c r="S268" s="394"/>
      <c r="T268" s="394"/>
      <c r="U268" s="394"/>
      <c r="V268" s="394"/>
      <c r="W268" s="394"/>
      <c r="X268" s="394"/>
      <c r="Y268" s="394"/>
      <c r="Z268" s="394"/>
    </row>
    <row r="269" customFormat="false" ht="18.75" hidden="false" customHeight="true" outlineLevel="0" collapsed="false">
      <c r="A269" s="394"/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4"/>
      <c r="P269" s="394"/>
      <c r="Q269" s="394"/>
      <c r="R269" s="394"/>
      <c r="S269" s="394"/>
      <c r="T269" s="394"/>
      <c r="U269" s="394"/>
      <c r="V269" s="394"/>
      <c r="W269" s="394"/>
      <c r="X269" s="394"/>
      <c r="Y269" s="394"/>
      <c r="Z269" s="394"/>
    </row>
    <row r="270" customFormat="false" ht="18.75" hidden="false" customHeight="true" outlineLevel="0" collapsed="false">
      <c r="A270" s="394"/>
      <c r="B270" s="394"/>
      <c r="C270" s="394"/>
      <c r="D270" s="394"/>
      <c r="E270" s="394"/>
      <c r="F270" s="394"/>
      <c r="G270" s="394"/>
      <c r="H270" s="394"/>
      <c r="I270" s="394"/>
      <c r="J270" s="394"/>
      <c r="K270" s="394"/>
      <c r="L270" s="394"/>
      <c r="M270" s="394"/>
      <c r="N270" s="394"/>
      <c r="O270" s="394"/>
      <c r="P270" s="394"/>
      <c r="Q270" s="394"/>
      <c r="R270" s="394"/>
      <c r="S270" s="394"/>
      <c r="T270" s="394"/>
      <c r="U270" s="394"/>
      <c r="V270" s="394"/>
      <c r="W270" s="394"/>
      <c r="X270" s="394"/>
      <c r="Y270" s="394"/>
      <c r="Z270" s="394"/>
    </row>
    <row r="271" customFormat="false" ht="18.75" hidden="false" customHeight="true" outlineLevel="0" collapsed="false">
      <c r="A271" s="394"/>
      <c r="B271" s="394"/>
      <c r="C271" s="394"/>
      <c r="D271" s="394"/>
      <c r="E271" s="394"/>
      <c r="F271" s="394"/>
      <c r="G271" s="394"/>
      <c r="H271" s="394"/>
      <c r="I271" s="394"/>
      <c r="J271" s="394"/>
      <c r="K271" s="394"/>
      <c r="L271" s="394"/>
      <c r="M271" s="394"/>
      <c r="N271" s="394"/>
      <c r="O271" s="394"/>
      <c r="P271" s="394"/>
      <c r="Q271" s="394"/>
      <c r="R271" s="394"/>
      <c r="S271" s="394"/>
      <c r="T271" s="394"/>
      <c r="U271" s="394"/>
      <c r="V271" s="394"/>
      <c r="W271" s="394"/>
      <c r="X271" s="394"/>
      <c r="Y271" s="394"/>
      <c r="Z271" s="394"/>
    </row>
    <row r="272" customFormat="false" ht="18.75" hidden="false" customHeight="true" outlineLevel="0" collapsed="false">
      <c r="A272" s="394"/>
      <c r="B272" s="394"/>
      <c r="C272" s="394"/>
      <c r="D272" s="394"/>
      <c r="E272" s="394"/>
      <c r="F272" s="394"/>
      <c r="G272" s="394"/>
      <c r="H272" s="394"/>
      <c r="I272" s="394"/>
      <c r="J272" s="394"/>
      <c r="K272" s="394"/>
      <c r="L272" s="394"/>
      <c r="M272" s="394"/>
      <c r="N272" s="394"/>
      <c r="O272" s="394"/>
      <c r="P272" s="394"/>
      <c r="Q272" s="394"/>
      <c r="R272" s="394"/>
      <c r="S272" s="394"/>
      <c r="T272" s="394"/>
      <c r="U272" s="394"/>
      <c r="V272" s="394"/>
      <c r="W272" s="394"/>
      <c r="X272" s="394"/>
      <c r="Y272" s="394"/>
      <c r="Z272" s="394"/>
    </row>
    <row r="273" customFormat="false" ht="18.75" hidden="false" customHeight="true" outlineLevel="0" collapsed="false">
      <c r="A273" s="394"/>
      <c r="B273" s="394"/>
      <c r="C273" s="394"/>
      <c r="D273" s="394"/>
      <c r="E273" s="394"/>
      <c r="F273" s="394"/>
      <c r="G273" s="394"/>
      <c r="H273" s="394"/>
      <c r="I273" s="394"/>
      <c r="J273" s="394"/>
      <c r="K273" s="394"/>
      <c r="L273" s="394"/>
      <c r="M273" s="394"/>
      <c r="N273" s="394"/>
      <c r="O273" s="394"/>
      <c r="P273" s="394"/>
      <c r="Q273" s="394"/>
      <c r="R273" s="394"/>
      <c r="S273" s="394"/>
      <c r="T273" s="394"/>
      <c r="U273" s="394"/>
      <c r="V273" s="394"/>
      <c r="W273" s="394"/>
      <c r="X273" s="394"/>
      <c r="Y273" s="394"/>
      <c r="Z273" s="394"/>
    </row>
    <row r="274" customFormat="false" ht="18.75" hidden="false" customHeight="true" outlineLevel="0" collapsed="false">
      <c r="A274" s="394"/>
      <c r="B274" s="394"/>
      <c r="C274" s="394"/>
      <c r="D274" s="394"/>
      <c r="E274" s="394"/>
      <c r="F274" s="394"/>
      <c r="G274" s="394"/>
      <c r="H274" s="394"/>
      <c r="I274" s="394"/>
      <c r="J274" s="394"/>
      <c r="K274" s="394"/>
      <c r="L274" s="394"/>
      <c r="M274" s="394"/>
      <c r="N274" s="394"/>
      <c r="O274" s="394"/>
      <c r="P274" s="394"/>
      <c r="Q274" s="394"/>
      <c r="R274" s="394"/>
      <c r="S274" s="394"/>
      <c r="T274" s="394"/>
      <c r="U274" s="394"/>
      <c r="V274" s="394"/>
      <c r="W274" s="394"/>
      <c r="X274" s="394"/>
      <c r="Y274" s="394"/>
      <c r="Z274" s="394"/>
    </row>
    <row r="275" customFormat="false" ht="18.75" hidden="false" customHeight="true" outlineLevel="0" collapsed="false">
      <c r="A275" s="394"/>
      <c r="B275" s="394"/>
      <c r="C275" s="394"/>
      <c r="D275" s="394"/>
      <c r="E275" s="394"/>
      <c r="F275" s="394"/>
      <c r="G275" s="394"/>
      <c r="H275" s="394"/>
      <c r="I275" s="394"/>
      <c r="J275" s="394"/>
      <c r="K275" s="394"/>
      <c r="L275" s="394"/>
      <c r="M275" s="394"/>
      <c r="N275" s="394"/>
      <c r="O275" s="394"/>
      <c r="P275" s="394"/>
      <c r="Q275" s="394"/>
      <c r="R275" s="394"/>
      <c r="S275" s="394"/>
      <c r="T275" s="394"/>
      <c r="U275" s="394"/>
      <c r="V275" s="394"/>
      <c r="W275" s="394"/>
      <c r="X275" s="394"/>
      <c r="Y275" s="394"/>
      <c r="Z275" s="394"/>
    </row>
    <row r="276" customFormat="false" ht="18.75" hidden="false" customHeight="true" outlineLevel="0" collapsed="false">
      <c r="A276" s="394"/>
      <c r="B276" s="394"/>
      <c r="C276" s="394"/>
      <c r="D276" s="394"/>
      <c r="E276" s="394"/>
      <c r="F276" s="394"/>
      <c r="G276" s="394"/>
      <c r="H276" s="394"/>
      <c r="I276" s="394"/>
      <c r="J276" s="394"/>
      <c r="K276" s="394"/>
      <c r="L276" s="394"/>
      <c r="M276" s="394"/>
      <c r="N276" s="394"/>
      <c r="O276" s="394"/>
      <c r="P276" s="394"/>
      <c r="Q276" s="394"/>
      <c r="R276" s="394"/>
      <c r="S276" s="394"/>
      <c r="T276" s="394"/>
      <c r="U276" s="394"/>
      <c r="V276" s="394"/>
      <c r="W276" s="394"/>
      <c r="X276" s="394"/>
      <c r="Y276" s="394"/>
      <c r="Z276" s="394"/>
    </row>
    <row r="277" customFormat="false" ht="18.75" hidden="false" customHeight="true" outlineLevel="0" collapsed="false">
      <c r="A277" s="394"/>
      <c r="B277" s="394"/>
      <c r="C277" s="394"/>
      <c r="D277" s="394"/>
      <c r="E277" s="394"/>
      <c r="F277" s="394"/>
      <c r="G277" s="394"/>
      <c r="H277" s="394"/>
      <c r="I277" s="394"/>
      <c r="J277" s="394"/>
      <c r="K277" s="394"/>
      <c r="L277" s="394"/>
      <c r="M277" s="394"/>
      <c r="N277" s="394"/>
      <c r="O277" s="394"/>
      <c r="P277" s="394"/>
      <c r="Q277" s="394"/>
      <c r="R277" s="394"/>
      <c r="S277" s="394"/>
      <c r="T277" s="394"/>
      <c r="U277" s="394"/>
      <c r="V277" s="394"/>
      <c r="W277" s="394"/>
      <c r="X277" s="394"/>
      <c r="Y277" s="394"/>
      <c r="Z277" s="394"/>
    </row>
    <row r="278" customFormat="false" ht="18.75" hidden="false" customHeight="true" outlineLevel="0" collapsed="false">
      <c r="A278" s="394"/>
      <c r="B278" s="394"/>
      <c r="C278" s="394"/>
      <c r="D278" s="394"/>
      <c r="E278" s="394"/>
      <c r="F278" s="394"/>
      <c r="G278" s="394"/>
      <c r="H278" s="394"/>
      <c r="I278" s="394"/>
      <c r="J278" s="394"/>
      <c r="K278" s="394"/>
      <c r="L278" s="394"/>
      <c r="M278" s="394"/>
      <c r="N278" s="394"/>
      <c r="O278" s="394"/>
      <c r="P278" s="394"/>
      <c r="Q278" s="394"/>
      <c r="R278" s="394"/>
      <c r="S278" s="394"/>
      <c r="T278" s="394"/>
      <c r="U278" s="394"/>
      <c r="V278" s="394"/>
      <c r="W278" s="394"/>
      <c r="X278" s="394"/>
      <c r="Y278" s="394"/>
      <c r="Z278" s="394"/>
    </row>
    <row r="279" customFormat="false" ht="18.75" hidden="false" customHeight="true" outlineLevel="0" collapsed="false">
      <c r="A279" s="394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4"/>
      <c r="P279" s="394"/>
      <c r="Q279" s="394"/>
      <c r="R279" s="394"/>
      <c r="S279" s="394"/>
      <c r="T279" s="394"/>
      <c r="U279" s="394"/>
      <c r="V279" s="394"/>
      <c r="W279" s="394"/>
      <c r="X279" s="394"/>
      <c r="Y279" s="394"/>
      <c r="Z279" s="394"/>
    </row>
    <row r="280" customFormat="false" ht="18.75" hidden="false" customHeight="true" outlineLevel="0" collapsed="false">
      <c r="A280" s="394"/>
      <c r="B280" s="394"/>
      <c r="C280" s="394"/>
      <c r="D280" s="394"/>
      <c r="E280" s="394"/>
      <c r="F280" s="394"/>
      <c r="G280" s="394"/>
      <c r="H280" s="394"/>
      <c r="I280" s="394"/>
      <c r="J280" s="394"/>
      <c r="K280" s="394"/>
      <c r="L280" s="394"/>
      <c r="M280" s="394"/>
      <c r="N280" s="394"/>
      <c r="O280" s="394"/>
      <c r="P280" s="394"/>
      <c r="Q280" s="394"/>
      <c r="R280" s="394"/>
      <c r="S280" s="394"/>
      <c r="T280" s="394"/>
      <c r="U280" s="394"/>
      <c r="V280" s="394"/>
      <c r="W280" s="394"/>
      <c r="X280" s="394"/>
      <c r="Y280" s="394"/>
      <c r="Z280" s="394"/>
    </row>
    <row r="281" customFormat="false" ht="18.75" hidden="false" customHeight="true" outlineLevel="0" collapsed="false">
      <c r="A281" s="394"/>
      <c r="B281" s="394"/>
      <c r="C281" s="394"/>
      <c r="D281" s="394"/>
      <c r="E281" s="394"/>
      <c r="F281" s="394"/>
      <c r="G281" s="394"/>
      <c r="H281" s="394"/>
      <c r="I281" s="394"/>
      <c r="J281" s="394"/>
      <c r="K281" s="394"/>
      <c r="L281" s="394"/>
      <c r="M281" s="394"/>
      <c r="N281" s="394"/>
      <c r="O281" s="394"/>
      <c r="P281" s="394"/>
      <c r="Q281" s="394"/>
      <c r="R281" s="394"/>
      <c r="S281" s="394"/>
      <c r="T281" s="394"/>
      <c r="U281" s="394"/>
      <c r="V281" s="394"/>
      <c r="W281" s="394"/>
      <c r="X281" s="394"/>
      <c r="Y281" s="394"/>
      <c r="Z281" s="394"/>
    </row>
    <row r="282" customFormat="false" ht="18.75" hidden="false" customHeight="true" outlineLevel="0" collapsed="false">
      <c r="A282" s="394"/>
      <c r="B282" s="394"/>
      <c r="C282" s="394"/>
      <c r="D282" s="394"/>
      <c r="E282" s="394"/>
      <c r="F282" s="394"/>
      <c r="G282" s="394"/>
      <c r="H282" s="394"/>
      <c r="I282" s="394"/>
      <c r="J282" s="394"/>
      <c r="K282" s="394"/>
      <c r="L282" s="394"/>
      <c r="M282" s="394"/>
      <c r="N282" s="394"/>
      <c r="O282" s="394"/>
      <c r="P282" s="394"/>
      <c r="Q282" s="394"/>
      <c r="R282" s="394"/>
      <c r="S282" s="394"/>
      <c r="T282" s="394"/>
      <c r="U282" s="394"/>
      <c r="V282" s="394"/>
      <c r="W282" s="394"/>
      <c r="X282" s="394"/>
      <c r="Y282" s="394"/>
      <c r="Z282" s="394"/>
    </row>
    <row r="283" customFormat="false" ht="18.75" hidden="false" customHeight="true" outlineLevel="0" collapsed="false">
      <c r="A283" s="394"/>
      <c r="B283" s="394"/>
      <c r="C283" s="394"/>
      <c r="D283" s="394"/>
      <c r="E283" s="394"/>
      <c r="F283" s="394"/>
      <c r="G283" s="394"/>
      <c r="H283" s="394"/>
      <c r="I283" s="394"/>
      <c r="J283" s="394"/>
      <c r="K283" s="394"/>
      <c r="L283" s="394"/>
      <c r="M283" s="394"/>
      <c r="N283" s="394"/>
      <c r="O283" s="394"/>
      <c r="P283" s="394"/>
      <c r="Q283" s="394"/>
      <c r="R283" s="394"/>
      <c r="S283" s="394"/>
      <c r="T283" s="394"/>
      <c r="U283" s="394"/>
      <c r="V283" s="394"/>
      <c r="W283" s="394"/>
      <c r="X283" s="394"/>
      <c r="Y283" s="394"/>
      <c r="Z283" s="394"/>
    </row>
    <row r="284" customFormat="false" ht="18.75" hidden="false" customHeight="true" outlineLevel="0" collapsed="false">
      <c r="A284" s="394"/>
      <c r="B284" s="394"/>
      <c r="C284" s="394"/>
      <c r="D284" s="394"/>
      <c r="E284" s="394"/>
      <c r="F284" s="394"/>
      <c r="G284" s="394"/>
      <c r="H284" s="394"/>
      <c r="I284" s="394"/>
      <c r="J284" s="394"/>
      <c r="K284" s="394"/>
      <c r="L284" s="394"/>
      <c r="M284" s="394"/>
      <c r="N284" s="394"/>
      <c r="O284" s="394"/>
      <c r="P284" s="394"/>
      <c r="Q284" s="394"/>
      <c r="R284" s="394"/>
      <c r="S284" s="394"/>
      <c r="T284" s="394"/>
      <c r="U284" s="394"/>
      <c r="V284" s="394"/>
      <c r="W284" s="394"/>
      <c r="X284" s="394"/>
      <c r="Y284" s="394"/>
      <c r="Z284" s="394"/>
    </row>
    <row r="285" customFormat="false" ht="18.75" hidden="false" customHeight="true" outlineLevel="0" collapsed="false">
      <c r="A285" s="394"/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4"/>
      <c r="P285" s="394"/>
      <c r="Q285" s="394"/>
      <c r="R285" s="394"/>
      <c r="S285" s="394"/>
      <c r="T285" s="394"/>
      <c r="U285" s="394"/>
      <c r="V285" s="394"/>
      <c r="W285" s="394"/>
      <c r="X285" s="394"/>
      <c r="Y285" s="394"/>
      <c r="Z285" s="394"/>
    </row>
    <row r="286" customFormat="false" ht="18.75" hidden="false" customHeight="true" outlineLevel="0" collapsed="false">
      <c r="A286" s="394"/>
      <c r="B286" s="394"/>
      <c r="C286" s="394"/>
      <c r="D286" s="394"/>
      <c r="E286" s="394"/>
      <c r="F286" s="394"/>
      <c r="G286" s="394"/>
      <c r="H286" s="394"/>
      <c r="I286" s="394"/>
      <c r="J286" s="394"/>
      <c r="K286" s="394"/>
      <c r="L286" s="394"/>
      <c r="M286" s="394"/>
      <c r="N286" s="394"/>
      <c r="O286" s="394"/>
      <c r="P286" s="394"/>
      <c r="Q286" s="394"/>
      <c r="R286" s="394"/>
      <c r="S286" s="394"/>
      <c r="T286" s="394"/>
      <c r="U286" s="394"/>
      <c r="V286" s="394"/>
      <c r="W286" s="394"/>
      <c r="X286" s="394"/>
      <c r="Y286" s="394"/>
      <c r="Z286" s="394"/>
    </row>
    <row r="287" customFormat="false" ht="18.75" hidden="false" customHeight="true" outlineLevel="0" collapsed="false">
      <c r="A287" s="394"/>
      <c r="B287" s="394"/>
      <c r="C287" s="394"/>
      <c r="D287" s="394"/>
      <c r="E287" s="394"/>
      <c r="F287" s="394"/>
      <c r="G287" s="394"/>
      <c r="H287" s="394"/>
      <c r="I287" s="394"/>
      <c r="J287" s="394"/>
      <c r="K287" s="394"/>
      <c r="L287" s="394"/>
      <c r="M287" s="394"/>
      <c r="N287" s="394"/>
      <c r="O287" s="394"/>
      <c r="P287" s="394"/>
      <c r="Q287" s="394"/>
      <c r="R287" s="394"/>
      <c r="S287" s="394"/>
      <c r="T287" s="394"/>
      <c r="U287" s="394"/>
      <c r="V287" s="394"/>
      <c r="W287" s="394"/>
      <c r="X287" s="394"/>
      <c r="Y287" s="394"/>
      <c r="Z287" s="394"/>
    </row>
    <row r="288" customFormat="false" ht="18.75" hidden="false" customHeight="true" outlineLevel="0" collapsed="false">
      <c r="A288" s="394"/>
      <c r="B288" s="394"/>
      <c r="C288" s="394"/>
      <c r="D288" s="394"/>
      <c r="E288" s="394"/>
      <c r="F288" s="394"/>
      <c r="G288" s="394"/>
      <c r="H288" s="394"/>
      <c r="I288" s="394"/>
      <c r="J288" s="394"/>
      <c r="K288" s="394"/>
      <c r="L288" s="394"/>
      <c r="M288" s="394"/>
      <c r="N288" s="394"/>
      <c r="O288" s="394"/>
      <c r="P288" s="394"/>
      <c r="Q288" s="394"/>
      <c r="R288" s="394"/>
      <c r="S288" s="394"/>
      <c r="T288" s="394"/>
      <c r="U288" s="394"/>
      <c r="V288" s="394"/>
      <c r="W288" s="394"/>
      <c r="X288" s="394"/>
      <c r="Y288" s="394"/>
      <c r="Z288" s="394"/>
    </row>
    <row r="289" customFormat="false" ht="18.75" hidden="false" customHeight="true" outlineLevel="0" collapsed="false">
      <c r="A289" s="394"/>
      <c r="B289" s="394"/>
      <c r="C289" s="394"/>
      <c r="D289" s="394"/>
      <c r="E289" s="394"/>
      <c r="F289" s="394"/>
      <c r="G289" s="394"/>
      <c r="H289" s="394"/>
      <c r="I289" s="394"/>
      <c r="J289" s="394"/>
      <c r="K289" s="394"/>
      <c r="L289" s="394"/>
      <c r="M289" s="394"/>
      <c r="N289" s="394"/>
      <c r="O289" s="394"/>
      <c r="P289" s="394"/>
      <c r="Q289" s="394"/>
      <c r="R289" s="394"/>
      <c r="S289" s="394"/>
      <c r="T289" s="394"/>
      <c r="U289" s="394"/>
      <c r="V289" s="394"/>
      <c r="W289" s="394"/>
      <c r="X289" s="394"/>
      <c r="Y289" s="394"/>
      <c r="Z289" s="394"/>
    </row>
    <row r="290" customFormat="false" ht="18.75" hidden="false" customHeight="true" outlineLevel="0" collapsed="false">
      <c r="A290" s="394"/>
      <c r="B290" s="394"/>
      <c r="C290" s="394"/>
      <c r="D290" s="394"/>
      <c r="E290" s="394"/>
      <c r="F290" s="394"/>
      <c r="G290" s="394"/>
      <c r="H290" s="394"/>
      <c r="I290" s="394"/>
      <c r="J290" s="394"/>
      <c r="K290" s="394"/>
      <c r="L290" s="394"/>
      <c r="M290" s="394"/>
      <c r="N290" s="394"/>
      <c r="O290" s="394"/>
      <c r="P290" s="394"/>
      <c r="Q290" s="394"/>
      <c r="R290" s="394"/>
      <c r="S290" s="394"/>
      <c r="T290" s="394"/>
      <c r="U290" s="394"/>
      <c r="V290" s="394"/>
      <c r="W290" s="394"/>
      <c r="X290" s="394"/>
      <c r="Y290" s="394"/>
      <c r="Z290" s="394"/>
    </row>
    <row r="291" customFormat="false" ht="18.75" hidden="false" customHeight="true" outlineLevel="0" collapsed="false">
      <c r="A291" s="394"/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4"/>
      <c r="N291" s="394"/>
      <c r="O291" s="394"/>
      <c r="P291" s="394"/>
      <c r="Q291" s="394"/>
      <c r="R291" s="394"/>
      <c r="S291" s="394"/>
      <c r="T291" s="394"/>
      <c r="U291" s="394"/>
      <c r="V291" s="394"/>
      <c r="W291" s="394"/>
      <c r="X291" s="394"/>
      <c r="Y291" s="394"/>
      <c r="Z291" s="394"/>
    </row>
    <row r="292" customFormat="false" ht="18.75" hidden="false" customHeight="true" outlineLevel="0" collapsed="false">
      <c r="A292" s="394"/>
      <c r="B292" s="394"/>
      <c r="C292" s="394"/>
      <c r="D292" s="394"/>
      <c r="E292" s="394"/>
      <c r="F292" s="394"/>
      <c r="G292" s="394"/>
      <c r="H292" s="394"/>
      <c r="I292" s="394"/>
      <c r="J292" s="394"/>
      <c r="K292" s="394"/>
      <c r="L292" s="394"/>
      <c r="M292" s="394"/>
      <c r="N292" s="394"/>
      <c r="O292" s="394"/>
      <c r="P292" s="394"/>
      <c r="Q292" s="394"/>
      <c r="R292" s="394"/>
      <c r="S292" s="394"/>
      <c r="T292" s="394"/>
      <c r="U292" s="394"/>
      <c r="V292" s="394"/>
      <c r="W292" s="394"/>
      <c r="X292" s="394"/>
      <c r="Y292" s="394"/>
      <c r="Z292" s="394"/>
    </row>
    <row r="293" customFormat="false" ht="18.75" hidden="false" customHeight="true" outlineLevel="0" collapsed="false">
      <c r="A293" s="394"/>
      <c r="B293" s="394"/>
      <c r="C293" s="394"/>
      <c r="D293" s="394"/>
      <c r="E293" s="394"/>
      <c r="F293" s="394"/>
      <c r="G293" s="394"/>
      <c r="H293" s="394"/>
      <c r="I293" s="394"/>
      <c r="J293" s="394"/>
      <c r="K293" s="394"/>
      <c r="L293" s="394"/>
      <c r="M293" s="394"/>
      <c r="N293" s="394"/>
      <c r="O293" s="394"/>
      <c r="P293" s="394"/>
      <c r="Q293" s="394"/>
      <c r="R293" s="394"/>
      <c r="S293" s="394"/>
      <c r="T293" s="394"/>
      <c r="U293" s="394"/>
      <c r="V293" s="394"/>
      <c r="W293" s="394"/>
      <c r="X293" s="394"/>
      <c r="Y293" s="394"/>
      <c r="Z293" s="394"/>
    </row>
    <row r="294" customFormat="false" ht="18.75" hidden="false" customHeight="true" outlineLevel="0" collapsed="false">
      <c r="A294" s="394"/>
      <c r="B294" s="394"/>
      <c r="C294" s="394"/>
      <c r="D294" s="394"/>
      <c r="E294" s="394"/>
      <c r="F294" s="394"/>
      <c r="G294" s="394"/>
      <c r="H294" s="394"/>
      <c r="I294" s="394"/>
      <c r="J294" s="394"/>
      <c r="K294" s="394"/>
      <c r="L294" s="394"/>
      <c r="M294" s="394"/>
      <c r="N294" s="394"/>
      <c r="O294" s="394"/>
      <c r="P294" s="394"/>
      <c r="Q294" s="394"/>
      <c r="R294" s="394"/>
      <c r="S294" s="394"/>
      <c r="T294" s="394"/>
      <c r="U294" s="394"/>
      <c r="V294" s="394"/>
      <c r="W294" s="394"/>
      <c r="X294" s="394"/>
      <c r="Y294" s="394"/>
      <c r="Z294" s="394"/>
    </row>
    <row r="295" customFormat="false" ht="18.75" hidden="false" customHeight="true" outlineLevel="0" collapsed="false">
      <c r="A295" s="394"/>
      <c r="B295" s="394"/>
      <c r="C295" s="394"/>
      <c r="D295" s="394"/>
      <c r="E295" s="394"/>
      <c r="F295" s="394"/>
      <c r="G295" s="394"/>
      <c r="H295" s="394"/>
      <c r="I295" s="394"/>
      <c r="J295" s="394"/>
      <c r="K295" s="394"/>
      <c r="L295" s="394"/>
      <c r="M295" s="394"/>
      <c r="N295" s="394"/>
      <c r="O295" s="394"/>
      <c r="P295" s="394"/>
      <c r="Q295" s="394"/>
      <c r="R295" s="394"/>
      <c r="S295" s="394"/>
      <c r="T295" s="394"/>
      <c r="U295" s="394"/>
      <c r="V295" s="394"/>
      <c r="W295" s="394"/>
      <c r="X295" s="394"/>
      <c r="Y295" s="394"/>
      <c r="Z295" s="394"/>
    </row>
    <row r="296" customFormat="false" ht="18.75" hidden="false" customHeight="true" outlineLevel="0" collapsed="false">
      <c r="A296" s="394"/>
      <c r="B296" s="394"/>
      <c r="C296" s="394"/>
      <c r="D296" s="394"/>
      <c r="E296" s="394"/>
      <c r="F296" s="394"/>
      <c r="G296" s="394"/>
      <c r="H296" s="394"/>
      <c r="I296" s="394"/>
      <c r="J296" s="394"/>
      <c r="K296" s="394"/>
      <c r="L296" s="394"/>
      <c r="M296" s="394"/>
      <c r="N296" s="394"/>
      <c r="O296" s="394"/>
      <c r="P296" s="394"/>
      <c r="Q296" s="394"/>
      <c r="R296" s="394"/>
      <c r="S296" s="394"/>
      <c r="T296" s="394"/>
      <c r="U296" s="394"/>
      <c r="V296" s="394"/>
      <c r="W296" s="394"/>
      <c r="X296" s="394"/>
      <c r="Y296" s="394"/>
      <c r="Z296" s="394"/>
    </row>
    <row r="297" customFormat="false" ht="18.75" hidden="false" customHeight="true" outlineLevel="0" collapsed="false">
      <c r="A297" s="394"/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4"/>
      <c r="P297" s="394"/>
      <c r="Q297" s="394"/>
      <c r="R297" s="394"/>
      <c r="S297" s="394"/>
      <c r="T297" s="394"/>
      <c r="U297" s="394"/>
      <c r="V297" s="394"/>
      <c r="W297" s="394"/>
      <c r="X297" s="394"/>
      <c r="Y297" s="394"/>
      <c r="Z297" s="394"/>
    </row>
    <row r="298" customFormat="false" ht="18.75" hidden="false" customHeight="true" outlineLevel="0" collapsed="false">
      <c r="A298" s="394"/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4"/>
      <c r="P298" s="394"/>
      <c r="Q298" s="394"/>
      <c r="R298" s="394"/>
      <c r="S298" s="394"/>
      <c r="T298" s="394"/>
      <c r="U298" s="394"/>
      <c r="V298" s="394"/>
      <c r="W298" s="394"/>
      <c r="X298" s="394"/>
      <c r="Y298" s="394"/>
      <c r="Z298" s="394"/>
    </row>
    <row r="299" customFormat="false" ht="18.75" hidden="false" customHeight="true" outlineLevel="0" collapsed="false">
      <c r="A299" s="394"/>
      <c r="B299" s="394"/>
      <c r="C299" s="394"/>
      <c r="D299" s="394"/>
      <c r="E299" s="394"/>
      <c r="F299" s="394"/>
      <c r="G299" s="394"/>
      <c r="H299" s="394"/>
      <c r="I299" s="394"/>
      <c r="J299" s="394"/>
      <c r="K299" s="394"/>
      <c r="L299" s="394"/>
      <c r="M299" s="394"/>
      <c r="N299" s="394"/>
      <c r="O299" s="394"/>
      <c r="P299" s="394"/>
      <c r="Q299" s="394"/>
      <c r="R299" s="394"/>
      <c r="S299" s="394"/>
      <c r="T299" s="394"/>
      <c r="U299" s="394"/>
      <c r="V299" s="394"/>
      <c r="W299" s="394"/>
      <c r="X299" s="394"/>
      <c r="Y299" s="394"/>
      <c r="Z299" s="394"/>
    </row>
    <row r="300" customFormat="false" ht="18.75" hidden="false" customHeight="true" outlineLevel="0" collapsed="false">
      <c r="A300" s="394"/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4"/>
      <c r="O300" s="394"/>
      <c r="P300" s="394"/>
      <c r="Q300" s="394"/>
      <c r="R300" s="394"/>
      <c r="S300" s="394"/>
      <c r="T300" s="394"/>
      <c r="U300" s="394"/>
      <c r="V300" s="394"/>
      <c r="W300" s="394"/>
      <c r="X300" s="394"/>
      <c r="Y300" s="394"/>
      <c r="Z300" s="394"/>
    </row>
    <row r="301" customFormat="false" ht="18.75" hidden="false" customHeight="true" outlineLevel="0" collapsed="false">
      <c r="A301" s="394"/>
      <c r="B301" s="394"/>
      <c r="C301" s="394"/>
      <c r="D301" s="394"/>
      <c r="E301" s="394"/>
      <c r="F301" s="394"/>
      <c r="G301" s="394"/>
      <c r="H301" s="394"/>
      <c r="I301" s="394"/>
      <c r="J301" s="394"/>
      <c r="K301" s="394"/>
      <c r="L301" s="394"/>
      <c r="M301" s="394"/>
      <c r="N301" s="394"/>
      <c r="O301" s="394"/>
      <c r="P301" s="394"/>
      <c r="Q301" s="394"/>
      <c r="R301" s="394"/>
      <c r="S301" s="394"/>
      <c r="T301" s="394"/>
      <c r="U301" s="394"/>
      <c r="V301" s="394"/>
      <c r="W301" s="394"/>
      <c r="X301" s="394"/>
      <c r="Y301" s="394"/>
      <c r="Z301" s="394"/>
    </row>
    <row r="302" customFormat="false" ht="18.75" hidden="false" customHeight="true" outlineLevel="0" collapsed="false">
      <c r="A302" s="394"/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4"/>
      <c r="P302" s="394"/>
      <c r="Q302" s="394"/>
      <c r="R302" s="394"/>
      <c r="S302" s="394"/>
      <c r="T302" s="394"/>
      <c r="U302" s="394"/>
      <c r="V302" s="394"/>
      <c r="W302" s="394"/>
      <c r="X302" s="394"/>
      <c r="Y302" s="394"/>
      <c r="Z302" s="394"/>
    </row>
    <row r="303" customFormat="false" ht="18.75" hidden="false" customHeight="true" outlineLevel="0" collapsed="false">
      <c r="A303" s="394"/>
      <c r="B303" s="394"/>
      <c r="C303" s="394"/>
      <c r="D303" s="394"/>
      <c r="E303" s="394"/>
      <c r="F303" s="394"/>
      <c r="G303" s="394"/>
      <c r="H303" s="394"/>
      <c r="I303" s="394"/>
      <c r="J303" s="394"/>
      <c r="K303" s="394"/>
      <c r="L303" s="394"/>
      <c r="M303" s="394"/>
      <c r="N303" s="394"/>
      <c r="O303" s="394"/>
      <c r="P303" s="394"/>
      <c r="Q303" s="394"/>
      <c r="R303" s="394"/>
      <c r="S303" s="394"/>
      <c r="T303" s="394"/>
      <c r="U303" s="394"/>
      <c r="V303" s="394"/>
      <c r="W303" s="394"/>
      <c r="X303" s="394"/>
      <c r="Y303" s="394"/>
      <c r="Z303" s="394"/>
    </row>
    <row r="304" customFormat="false" ht="18.75" hidden="false" customHeight="true" outlineLevel="0" collapsed="false">
      <c r="A304" s="394"/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4"/>
      <c r="O304" s="394"/>
      <c r="P304" s="394"/>
      <c r="Q304" s="394"/>
      <c r="R304" s="394"/>
      <c r="S304" s="394"/>
      <c r="T304" s="394"/>
      <c r="U304" s="394"/>
      <c r="V304" s="394"/>
      <c r="W304" s="394"/>
      <c r="X304" s="394"/>
      <c r="Y304" s="394"/>
      <c r="Z304" s="394"/>
    </row>
    <row r="305" customFormat="false" ht="18.75" hidden="false" customHeight="true" outlineLevel="0" collapsed="false">
      <c r="A305" s="394"/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394"/>
      <c r="O305" s="394"/>
      <c r="P305" s="394"/>
      <c r="Q305" s="394"/>
      <c r="R305" s="394"/>
      <c r="S305" s="394"/>
      <c r="T305" s="394"/>
      <c r="U305" s="394"/>
      <c r="V305" s="394"/>
      <c r="W305" s="394"/>
      <c r="X305" s="394"/>
      <c r="Y305" s="394"/>
      <c r="Z305" s="394"/>
    </row>
    <row r="306" customFormat="false" ht="18.75" hidden="false" customHeight="true" outlineLevel="0" collapsed="false">
      <c r="A306" s="394"/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394"/>
      <c r="Z306" s="394"/>
    </row>
    <row r="307" customFormat="false" ht="18.75" hidden="false" customHeight="true" outlineLevel="0" collapsed="false">
      <c r="A307" s="394"/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4"/>
      <c r="M307" s="394"/>
      <c r="N307" s="394"/>
      <c r="O307" s="394"/>
      <c r="P307" s="394"/>
      <c r="Q307" s="394"/>
      <c r="R307" s="394"/>
      <c r="S307" s="394"/>
      <c r="T307" s="394"/>
      <c r="U307" s="394"/>
      <c r="V307" s="394"/>
      <c r="W307" s="394"/>
      <c r="X307" s="394"/>
      <c r="Y307" s="394"/>
      <c r="Z307" s="394"/>
    </row>
    <row r="308" customFormat="false" ht="18.75" hidden="false" customHeight="true" outlineLevel="0" collapsed="false">
      <c r="A308" s="394"/>
      <c r="B308" s="394"/>
      <c r="C308" s="394"/>
      <c r="D308" s="394"/>
      <c r="E308" s="394"/>
      <c r="F308" s="394"/>
      <c r="G308" s="394"/>
      <c r="H308" s="394"/>
      <c r="I308" s="394"/>
      <c r="J308" s="394"/>
      <c r="K308" s="394"/>
      <c r="L308" s="394"/>
      <c r="M308" s="394"/>
      <c r="N308" s="394"/>
      <c r="O308" s="394"/>
      <c r="P308" s="394"/>
      <c r="Q308" s="394"/>
      <c r="R308" s="394"/>
      <c r="S308" s="394"/>
      <c r="T308" s="394"/>
      <c r="U308" s="394"/>
      <c r="V308" s="394"/>
      <c r="W308" s="394"/>
      <c r="X308" s="394"/>
      <c r="Y308" s="394"/>
      <c r="Z308" s="394"/>
    </row>
    <row r="309" customFormat="false" ht="18.75" hidden="false" customHeight="true" outlineLevel="0" collapsed="false">
      <c r="A309" s="394"/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4"/>
      <c r="N309" s="394"/>
      <c r="O309" s="394"/>
      <c r="P309" s="394"/>
      <c r="Q309" s="394"/>
      <c r="R309" s="394"/>
      <c r="S309" s="394"/>
      <c r="T309" s="394"/>
      <c r="U309" s="394"/>
      <c r="V309" s="394"/>
      <c r="W309" s="394"/>
      <c r="X309" s="394"/>
      <c r="Y309" s="394"/>
      <c r="Z309" s="394"/>
    </row>
    <row r="310" customFormat="false" ht="18.75" hidden="false" customHeight="true" outlineLevel="0" collapsed="false">
      <c r="A310" s="394"/>
      <c r="B310" s="394"/>
      <c r="C310" s="394"/>
      <c r="D310" s="394"/>
      <c r="E310" s="394"/>
      <c r="F310" s="394"/>
      <c r="G310" s="394"/>
      <c r="H310" s="394"/>
      <c r="I310" s="394"/>
      <c r="J310" s="394"/>
      <c r="K310" s="394"/>
      <c r="L310" s="394"/>
      <c r="M310" s="394"/>
      <c r="N310" s="394"/>
      <c r="O310" s="394"/>
      <c r="P310" s="394"/>
      <c r="Q310" s="394"/>
      <c r="R310" s="394"/>
      <c r="S310" s="394"/>
      <c r="T310" s="394"/>
      <c r="U310" s="394"/>
      <c r="V310" s="394"/>
      <c r="W310" s="394"/>
      <c r="X310" s="394"/>
      <c r="Y310" s="394"/>
      <c r="Z310" s="394"/>
    </row>
    <row r="311" customFormat="false" ht="18.75" hidden="false" customHeight="true" outlineLevel="0" collapsed="false">
      <c r="A311" s="394"/>
      <c r="B311" s="394"/>
      <c r="C311" s="394"/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394"/>
      <c r="O311" s="394"/>
      <c r="P311" s="394"/>
      <c r="Q311" s="394"/>
      <c r="R311" s="394"/>
      <c r="S311" s="394"/>
      <c r="T311" s="394"/>
      <c r="U311" s="394"/>
      <c r="V311" s="394"/>
      <c r="W311" s="394"/>
      <c r="X311" s="394"/>
      <c r="Y311" s="394"/>
      <c r="Z311" s="394"/>
    </row>
    <row r="312" customFormat="false" ht="18.75" hidden="false" customHeight="true" outlineLevel="0" collapsed="false">
      <c r="A312" s="394"/>
      <c r="B312" s="394"/>
      <c r="C312" s="394"/>
      <c r="D312" s="394"/>
      <c r="E312" s="394"/>
      <c r="F312" s="394"/>
      <c r="G312" s="394"/>
      <c r="H312" s="394"/>
      <c r="I312" s="394"/>
      <c r="J312" s="394"/>
      <c r="K312" s="394"/>
      <c r="L312" s="394"/>
      <c r="M312" s="394"/>
      <c r="N312" s="394"/>
      <c r="O312" s="394"/>
      <c r="P312" s="394"/>
      <c r="Q312" s="394"/>
      <c r="R312" s="394"/>
      <c r="S312" s="394"/>
      <c r="T312" s="394"/>
      <c r="U312" s="394"/>
      <c r="V312" s="394"/>
      <c r="W312" s="394"/>
      <c r="X312" s="394"/>
      <c r="Y312" s="394"/>
      <c r="Z312" s="394"/>
    </row>
    <row r="313" customFormat="false" ht="18.75" hidden="false" customHeight="true" outlineLevel="0" collapsed="false">
      <c r="A313" s="394"/>
      <c r="B313" s="394"/>
      <c r="C313" s="394"/>
      <c r="D313" s="394"/>
      <c r="E313" s="394"/>
      <c r="F313" s="394"/>
      <c r="G313" s="394"/>
      <c r="H313" s="394"/>
      <c r="I313" s="394"/>
      <c r="J313" s="394"/>
      <c r="K313" s="394"/>
      <c r="L313" s="394"/>
      <c r="M313" s="394"/>
      <c r="N313" s="394"/>
      <c r="O313" s="394"/>
      <c r="P313" s="394"/>
      <c r="Q313" s="394"/>
      <c r="R313" s="394"/>
      <c r="S313" s="394"/>
      <c r="T313" s="394"/>
      <c r="U313" s="394"/>
      <c r="V313" s="394"/>
      <c r="W313" s="394"/>
      <c r="X313" s="394"/>
      <c r="Y313" s="394"/>
      <c r="Z313" s="394"/>
    </row>
    <row r="314" customFormat="false" ht="18.75" hidden="false" customHeight="true" outlineLevel="0" collapsed="false">
      <c r="A314" s="394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4"/>
      <c r="N314" s="394"/>
      <c r="O314" s="394"/>
      <c r="P314" s="394"/>
      <c r="Q314" s="394"/>
      <c r="R314" s="394"/>
      <c r="S314" s="394"/>
      <c r="T314" s="394"/>
      <c r="U314" s="394"/>
      <c r="V314" s="394"/>
      <c r="W314" s="394"/>
      <c r="X314" s="394"/>
      <c r="Y314" s="394"/>
      <c r="Z314" s="394"/>
    </row>
    <row r="315" customFormat="false" ht="18.75" hidden="false" customHeight="true" outlineLevel="0" collapsed="false">
      <c r="A315" s="394"/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394"/>
      <c r="O315" s="394"/>
      <c r="P315" s="394"/>
      <c r="Q315" s="394"/>
      <c r="R315" s="394"/>
      <c r="S315" s="394"/>
      <c r="T315" s="394"/>
      <c r="U315" s="394"/>
      <c r="V315" s="394"/>
      <c r="W315" s="394"/>
      <c r="X315" s="394"/>
      <c r="Y315" s="394"/>
      <c r="Z315" s="394"/>
    </row>
    <row r="316" customFormat="false" ht="18.75" hidden="false" customHeight="true" outlineLevel="0" collapsed="false">
      <c r="A316" s="394"/>
      <c r="B316" s="394"/>
      <c r="C316" s="394"/>
      <c r="D316" s="394"/>
      <c r="E316" s="394"/>
      <c r="F316" s="394"/>
      <c r="G316" s="394"/>
      <c r="H316" s="394"/>
      <c r="I316" s="394"/>
      <c r="J316" s="394"/>
      <c r="K316" s="394"/>
      <c r="L316" s="394"/>
      <c r="M316" s="394"/>
      <c r="N316" s="394"/>
      <c r="O316" s="394"/>
      <c r="P316" s="394"/>
      <c r="Q316" s="394"/>
      <c r="R316" s="394"/>
      <c r="S316" s="394"/>
      <c r="T316" s="394"/>
      <c r="U316" s="394"/>
      <c r="V316" s="394"/>
      <c r="W316" s="394"/>
      <c r="X316" s="394"/>
      <c r="Y316" s="394"/>
      <c r="Z316" s="394"/>
    </row>
    <row r="317" customFormat="false" ht="18.75" hidden="false" customHeight="true" outlineLevel="0" collapsed="false">
      <c r="A317" s="394"/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4"/>
      <c r="P317" s="394"/>
      <c r="Q317" s="394"/>
      <c r="R317" s="394"/>
      <c r="S317" s="394"/>
      <c r="T317" s="394"/>
      <c r="U317" s="394"/>
      <c r="V317" s="394"/>
      <c r="W317" s="394"/>
      <c r="X317" s="394"/>
      <c r="Y317" s="394"/>
      <c r="Z317" s="394"/>
    </row>
    <row r="318" customFormat="false" ht="18.75" hidden="false" customHeight="true" outlineLevel="0" collapsed="false">
      <c r="A318" s="394"/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4"/>
      <c r="P318" s="394"/>
      <c r="Q318" s="394"/>
      <c r="R318" s="394"/>
      <c r="S318" s="394"/>
      <c r="T318" s="394"/>
      <c r="U318" s="394"/>
      <c r="V318" s="394"/>
      <c r="W318" s="394"/>
      <c r="X318" s="394"/>
      <c r="Y318" s="394"/>
      <c r="Z318" s="394"/>
    </row>
    <row r="319" customFormat="false" ht="18.75" hidden="false" customHeight="true" outlineLevel="0" collapsed="false">
      <c r="A319" s="394"/>
      <c r="B319" s="394"/>
      <c r="C319" s="394"/>
      <c r="D319" s="394"/>
      <c r="E319" s="394"/>
      <c r="F319" s="394"/>
      <c r="G319" s="394"/>
      <c r="H319" s="394"/>
      <c r="I319" s="394"/>
      <c r="J319" s="394"/>
      <c r="K319" s="394"/>
      <c r="L319" s="394"/>
      <c r="M319" s="394"/>
      <c r="N319" s="394"/>
      <c r="O319" s="394"/>
      <c r="P319" s="394"/>
      <c r="Q319" s="394"/>
      <c r="R319" s="394"/>
      <c r="S319" s="394"/>
      <c r="T319" s="394"/>
      <c r="U319" s="394"/>
      <c r="V319" s="394"/>
      <c r="W319" s="394"/>
      <c r="X319" s="394"/>
      <c r="Y319" s="394"/>
      <c r="Z319" s="394"/>
    </row>
    <row r="320" customFormat="false" ht="18.75" hidden="false" customHeight="true" outlineLevel="0" collapsed="false">
      <c r="A320" s="394"/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4"/>
      <c r="N320" s="394"/>
      <c r="O320" s="394"/>
      <c r="P320" s="394"/>
      <c r="Q320" s="394"/>
      <c r="R320" s="394"/>
      <c r="S320" s="394"/>
      <c r="T320" s="394"/>
      <c r="U320" s="394"/>
      <c r="V320" s="394"/>
      <c r="W320" s="394"/>
      <c r="X320" s="394"/>
      <c r="Y320" s="394"/>
      <c r="Z320" s="394"/>
    </row>
    <row r="321" customFormat="false" ht="18.75" hidden="false" customHeight="true" outlineLevel="0" collapsed="false">
      <c r="A321" s="394"/>
      <c r="B321" s="394"/>
      <c r="C321" s="394"/>
      <c r="D321" s="394"/>
      <c r="E321" s="394"/>
      <c r="F321" s="394"/>
      <c r="G321" s="394"/>
      <c r="H321" s="394"/>
      <c r="I321" s="394"/>
      <c r="J321" s="394"/>
      <c r="K321" s="394"/>
      <c r="L321" s="394"/>
      <c r="M321" s="394"/>
      <c r="N321" s="394"/>
      <c r="O321" s="394"/>
      <c r="P321" s="394"/>
      <c r="Q321" s="394"/>
      <c r="R321" s="394"/>
      <c r="S321" s="394"/>
      <c r="T321" s="394"/>
      <c r="U321" s="394"/>
      <c r="V321" s="394"/>
      <c r="W321" s="394"/>
      <c r="X321" s="394"/>
      <c r="Y321" s="394"/>
      <c r="Z321" s="394"/>
    </row>
    <row r="322" customFormat="false" ht="18.75" hidden="false" customHeight="true" outlineLevel="0" collapsed="false">
      <c r="A322" s="394"/>
      <c r="B322" s="394"/>
      <c r="C322" s="394"/>
      <c r="D322" s="394"/>
      <c r="E322" s="394"/>
      <c r="F322" s="394"/>
      <c r="G322" s="394"/>
      <c r="H322" s="394"/>
      <c r="I322" s="394"/>
      <c r="J322" s="394"/>
      <c r="K322" s="394"/>
      <c r="L322" s="394"/>
      <c r="M322" s="394"/>
      <c r="N322" s="394"/>
      <c r="O322" s="394"/>
      <c r="P322" s="394"/>
      <c r="Q322" s="394"/>
      <c r="R322" s="394"/>
      <c r="S322" s="394"/>
      <c r="T322" s="394"/>
      <c r="U322" s="394"/>
      <c r="V322" s="394"/>
      <c r="W322" s="394"/>
      <c r="X322" s="394"/>
      <c r="Y322" s="394"/>
      <c r="Z322" s="394"/>
    </row>
    <row r="323" customFormat="false" ht="18.75" hidden="false" customHeight="true" outlineLevel="0" collapsed="false">
      <c r="A323" s="394"/>
      <c r="B323" s="394"/>
      <c r="C323" s="394"/>
      <c r="D323" s="394"/>
      <c r="E323" s="394"/>
      <c r="F323" s="394"/>
      <c r="G323" s="394"/>
      <c r="H323" s="394"/>
      <c r="I323" s="394"/>
      <c r="J323" s="394"/>
      <c r="K323" s="394"/>
      <c r="L323" s="394"/>
      <c r="M323" s="394"/>
      <c r="N323" s="394"/>
      <c r="O323" s="394"/>
      <c r="P323" s="394"/>
      <c r="Q323" s="394"/>
      <c r="R323" s="394"/>
      <c r="S323" s="394"/>
      <c r="T323" s="394"/>
      <c r="U323" s="394"/>
      <c r="V323" s="394"/>
      <c r="W323" s="394"/>
      <c r="X323" s="394"/>
      <c r="Y323" s="394"/>
      <c r="Z323" s="394"/>
    </row>
    <row r="324" customFormat="false" ht="18.75" hidden="false" customHeight="true" outlineLevel="0" collapsed="false">
      <c r="A324" s="394"/>
      <c r="B324" s="394"/>
      <c r="C324" s="394"/>
      <c r="D324" s="394"/>
      <c r="E324" s="394"/>
      <c r="F324" s="394"/>
      <c r="G324" s="394"/>
      <c r="H324" s="394"/>
      <c r="I324" s="394"/>
      <c r="J324" s="394"/>
      <c r="K324" s="394"/>
      <c r="L324" s="394"/>
      <c r="M324" s="394"/>
      <c r="N324" s="394"/>
      <c r="O324" s="394"/>
      <c r="P324" s="394"/>
      <c r="Q324" s="394"/>
      <c r="R324" s="394"/>
      <c r="S324" s="394"/>
      <c r="T324" s="394"/>
      <c r="U324" s="394"/>
      <c r="V324" s="394"/>
      <c r="W324" s="394"/>
      <c r="X324" s="394"/>
      <c r="Y324" s="394"/>
      <c r="Z324" s="394"/>
    </row>
    <row r="325" customFormat="false" ht="18.75" hidden="false" customHeight="true" outlineLevel="0" collapsed="false">
      <c r="A325" s="394"/>
      <c r="B325" s="394"/>
      <c r="C325" s="394"/>
      <c r="D325" s="394"/>
      <c r="E325" s="394"/>
      <c r="F325" s="394"/>
      <c r="G325" s="394"/>
      <c r="H325" s="394"/>
      <c r="I325" s="394"/>
      <c r="J325" s="394"/>
      <c r="K325" s="394"/>
      <c r="L325" s="394"/>
      <c r="M325" s="394"/>
      <c r="N325" s="394"/>
      <c r="O325" s="394"/>
      <c r="P325" s="394"/>
      <c r="Q325" s="394"/>
      <c r="R325" s="394"/>
      <c r="S325" s="394"/>
      <c r="T325" s="394"/>
      <c r="U325" s="394"/>
      <c r="V325" s="394"/>
      <c r="W325" s="394"/>
      <c r="X325" s="394"/>
      <c r="Y325" s="394"/>
      <c r="Z325" s="394"/>
    </row>
    <row r="326" customFormat="false" ht="18.75" hidden="false" customHeight="true" outlineLevel="0" collapsed="false">
      <c r="A326" s="394"/>
      <c r="B326" s="394"/>
      <c r="C326" s="394"/>
      <c r="D326" s="394"/>
      <c r="E326" s="394"/>
      <c r="F326" s="394"/>
      <c r="G326" s="394"/>
      <c r="H326" s="394"/>
      <c r="I326" s="394"/>
      <c r="J326" s="394"/>
      <c r="K326" s="394"/>
      <c r="L326" s="394"/>
      <c r="M326" s="394"/>
      <c r="N326" s="394"/>
      <c r="O326" s="394"/>
      <c r="P326" s="394"/>
      <c r="Q326" s="394"/>
      <c r="R326" s="394"/>
      <c r="S326" s="394"/>
      <c r="T326" s="394"/>
      <c r="U326" s="394"/>
      <c r="V326" s="394"/>
      <c r="W326" s="394"/>
      <c r="X326" s="394"/>
      <c r="Y326" s="394"/>
      <c r="Z326" s="394"/>
    </row>
    <row r="327" customFormat="false" ht="18.75" hidden="false" customHeight="true" outlineLevel="0" collapsed="false">
      <c r="A327" s="394"/>
      <c r="B327" s="394"/>
      <c r="C327" s="394"/>
      <c r="D327" s="394"/>
      <c r="E327" s="394"/>
      <c r="F327" s="394"/>
      <c r="G327" s="394"/>
      <c r="H327" s="394"/>
      <c r="I327" s="394"/>
      <c r="J327" s="394"/>
      <c r="K327" s="394"/>
      <c r="L327" s="394"/>
      <c r="M327" s="394"/>
      <c r="N327" s="394"/>
      <c r="O327" s="394"/>
      <c r="P327" s="394"/>
      <c r="Q327" s="394"/>
      <c r="R327" s="394"/>
      <c r="S327" s="394"/>
      <c r="T327" s="394"/>
      <c r="U327" s="394"/>
      <c r="V327" s="394"/>
      <c r="W327" s="394"/>
      <c r="X327" s="394"/>
      <c r="Y327" s="394"/>
      <c r="Z327" s="394"/>
    </row>
    <row r="328" customFormat="false" ht="18.75" hidden="false" customHeight="true" outlineLevel="0" collapsed="false">
      <c r="A328" s="394"/>
      <c r="B328" s="394"/>
      <c r="C328" s="394"/>
      <c r="D328" s="394"/>
      <c r="E328" s="394"/>
      <c r="F328" s="394"/>
      <c r="G328" s="394"/>
      <c r="H328" s="394"/>
      <c r="I328" s="394"/>
      <c r="J328" s="394"/>
      <c r="K328" s="394"/>
      <c r="L328" s="394"/>
      <c r="M328" s="394"/>
      <c r="N328" s="394"/>
      <c r="O328" s="394"/>
      <c r="P328" s="394"/>
      <c r="Q328" s="394"/>
      <c r="R328" s="394"/>
      <c r="S328" s="394"/>
      <c r="T328" s="394"/>
      <c r="U328" s="394"/>
      <c r="V328" s="394"/>
      <c r="W328" s="394"/>
      <c r="X328" s="394"/>
      <c r="Y328" s="394"/>
      <c r="Z328" s="394"/>
    </row>
    <row r="329" customFormat="false" ht="18.75" hidden="false" customHeight="true" outlineLevel="0" collapsed="false">
      <c r="A329" s="394"/>
      <c r="B329" s="394"/>
      <c r="C329" s="394"/>
      <c r="D329" s="394"/>
      <c r="E329" s="394"/>
      <c r="F329" s="394"/>
      <c r="G329" s="394"/>
      <c r="H329" s="394"/>
      <c r="I329" s="394"/>
      <c r="J329" s="394"/>
      <c r="K329" s="394"/>
      <c r="L329" s="394"/>
      <c r="M329" s="394"/>
      <c r="N329" s="394"/>
      <c r="O329" s="394"/>
      <c r="P329" s="394"/>
      <c r="Q329" s="394"/>
      <c r="R329" s="394"/>
      <c r="S329" s="394"/>
      <c r="T329" s="394"/>
      <c r="U329" s="394"/>
      <c r="V329" s="394"/>
      <c r="W329" s="394"/>
      <c r="X329" s="394"/>
      <c r="Y329" s="394"/>
      <c r="Z329" s="394"/>
    </row>
    <row r="330" customFormat="false" ht="18.75" hidden="false" customHeight="true" outlineLevel="0" collapsed="false">
      <c r="A330" s="394"/>
      <c r="B330" s="394"/>
      <c r="C330" s="394"/>
      <c r="D330" s="394"/>
      <c r="E330" s="394"/>
      <c r="F330" s="394"/>
      <c r="G330" s="394"/>
      <c r="H330" s="394"/>
      <c r="I330" s="394"/>
      <c r="J330" s="394"/>
      <c r="K330" s="394"/>
      <c r="L330" s="394"/>
      <c r="M330" s="394"/>
      <c r="N330" s="394"/>
      <c r="O330" s="394"/>
      <c r="P330" s="394"/>
      <c r="Q330" s="394"/>
      <c r="R330" s="394"/>
      <c r="S330" s="394"/>
      <c r="T330" s="394"/>
      <c r="U330" s="394"/>
      <c r="V330" s="394"/>
      <c r="W330" s="394"/>
      <c r="X330" s="394"/>
      <c r="Y330" s="394"/>
      <c r="Z330" s="394"/>
    </row>
    <row r="331" customFormat="false" ht="18.75" hidden="false" customHeight="true" outlineLevel="0" collapsed="false">
      <c r="A331" s="394"/>
      <c r="B331" s="394"/>
      <c r="C331" s="394"/>
      <c r="D331" s="394"/>
      <c r="E331" s="394"/>
      <c r="F331" s="394"/>
      <c r="G331" s="394"/>
      <c r="H331" s="394"/>
      <c r="I331" s="394"/>
      <c r="J331" s="394"/>
      <c r="K331" s="394"/>
      <c r="L331" s="394"/>
      <c r="M331" s="394"/>
      <c r="N331" s="394"/>
      <c r="O331" s="394"/>
      <c r="P331" s="394"/>
      <c r="Q331" s="394"/>
      <c r="R331" s="394"/>
      <c r="S331" s="394"/>
      <c r="T331" s="394"/>
      <c r="U331" s="394"/>
      <c r="V331" s="394"/>
      <c r="W331" s="394"/>
      <c r="X331" s="394"/>
      <c r="Y331" s="394"/>
      <c r="Z331" s="394"/>
    </row>
    <row r="332" customFormat="false" ht="18.75" hidden="false" customHeight="true" outlineLevel="0" collapsed="false">
      <c r="A332" s="394"/>
      <c r="B332" s="394"/>
      <c r="C332" s="394"/>
      <c r="D332" s="394"/>
      <c r="E332" s="394"/>
      <c r="F332" s="394"/>
      <c r="G332" s="394"/>
      <c r="H332" s="394"/>
      <c r="I332" s="394"/>
      <c r="J332" s="394"/>
      <c r="K332" s="394"/>
      <c r="L332" s="394"/>
      <c r="M332" s="394"/>
      <c r="N332" s="394"/>
      <c r="O332" s="394"/>
      <c r="P332" s="394"/>
      <c r="Q332" s="394"/>
      <c r="R332" s="394"/>
      <c r="S332" s="394"/>
      <c r="T332" s="394"/>
      <c r="U332" s="394"/>
      <c r="V332" s="394"/>
      <c r="W332" s="394"/>
      <c r="X332" s="394"/>
      <c r="Y332" s="394"/>
      <c r="Z332" s="394"/>
    </row>
    <row r="333" customFormat="false" ht="18.75" hidden="false" customHeight="true" outlineLevel="0" collapsed="false">
      <c r="A333" s="394"/>
      <c r="B333" s="394"/>
      <c r="C333" s="394"/>
      <c r="D333" s="394"/>
      <c r="E333" s="394"/>
      <c r="F333" s="394"/>
      <c r="G333" s="394"/>
      <c r="H333" s="394"/>
      <c r="I333" s="394"/>
      <c r="J333" s="394"/>
      <c r="K333" s="394"/>
      <c r="L333" s="394"/>
      <c r="M333" s="394"/>
      <c r="N333" s="394"/>
      <c r="O333" s="394"/>
      <c r="P333" s="394"/>
      <c r="Q333" s="394"/>
      <c r="R333" s="394"/>
      <c r="S333" s="394"/>
      <c r="T333" s="394"/>
      <c r="U333" s="394"/>
      <c r="V333" s="394"/>
      <c r="W333" s="394"/>
      <c r="X333" s="394"/>
      <c r="Y333" s="394"/>
      <c r="Z333" s="394"/>
    </row>
    <row r="334" customFormat="false" ht="18.75" hidden="false" customHeight="true" outlineLevel="0" collapsed="false">
      <c r="A334" s="394"/>
      <c r="B334" s="394"/>
      <c r="C334" s="394"/>
      <c r="D334" s="394"/>
      <c r="E334" s="394"/>
      <c r="F334" s="394"/>
      <c r="G334" s="394"/>
      <c r="H334" s="394"/>
      <c r="I334" s="394"/>
      <c r="J334" s="394"/>
      <c r="K334" s="394"/>
      <c r="L334" s="394"/>
      <c r="M334" s="394"/>
      <c r="N334" s="394"/>
      <c r="O334" s="394"/>
      <c r="P334" s="394"/>
      <c r="Q334" s="394"/>
      <c r="R334" s="394"/>
      <c r="S334" s="394"/>
      <c r="T334" s="394"/>
      <c r="U334" s="394"/>
      <c r="V334" s="394"/>
      <c r="W334" s="394"/>
      <c r="X334" s="394"/>
      <c r="Y334" s="394"/>
      <c r="Z334" s="394"/>
    </row>
    <row r="335" customFormat="false" ht="18.75" hidden="false" customHeight="true" outlineLevel="0" collapsed="false">
      <c r="A335" s="394"/>
      <c r="B335" s="394"/>
      <c r="C335" s="394"/>
      <c r="D335" s="394"/>
      <c r="E335" s="394"/>
      <c r="F335" s="394"/>
      <c r="G335" s="394"/>
      <c r="H335" s="394"/>
      <c r="I335" s="394"/>
      <c r="J335" s="394"/>
      <c r="K335" s="394"/>
      <c r="L335" s="394"/>
      <c r="M335" s="394"/>
      <c r="N335" s="394"/>
      <c r="O335" s="394"/>
      <c r="P335" s="394"/>
      <c r="Q335" s="394"/>
      <c r="R335" s="394"/>
      <c r="S335" s="394"/>
      <c r="T335" s="394"/>
      <c r="U335" s="394"/>
      <c r="V335" s="394"/>
      <c r="W335" s="394"/>
      <c r="X335" s="394"/>
      <c r="Y335" s="394"/>
      <c r="Z335" s="394"/>
    </row>
    <row r="336" customFormat="false" ht="18.75" hidden="false" customHeight="true" outlineLevel="0" collapsed="false">
      <c r="A336" s="394"/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4"/>
      <c r="O336" s="394"/>
      <c r="P336" s="394"/>
      <c r="Q336" s="394"/>
      <c r="R336" s="394"/>
      <c r="S336" s="394"/>
      <c r="T336" s="394"/>
      <c r="U336" s="394"/>
      <c r="V336" s="394"/>
      <c r="W336" s="394"/>
      <c r="X336" s="394"/>
      <c r="Y336" s="394"/>
      <c r="Z336" s="394"/>
    </row>
    <row r="337" customFormat="false" ht="18.75" hidden="false" customHeight="true" outlineLevel="0" collapsed="false">
      <c r="A337" s="394"/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4"/>
      <c r="M337" s="394"/>
      <c r="N337" s="394"/>
      <c r="O337" s="394"/>
      <c r="P337" s="394"/>
      <c r="Q337" s="394"/>
      <c r="R337" s="394"/>
      <c r="S337" s="394"/>
      <c r="T337" s="394"/>
      <c r="U337" s="394"/>
      <c r="V337" s="394"/>
      <c r="W337" s="394"/>
      <c r="X337" s="394"/>
      <c r="Y337" s="394"/>
      <c r="Z337" s="394"/>
    </row>
    <row r="338" customFormat="false" ht="18.75" hidden="false" customHeight="true" outlineLevel="0" collapsed="false">
      <c r="A338" s="394"/>
      <c r="B338" s="394"/>
      <c r="C338" s="394"/>
      <c r="D338" s="394"/>
      <c r="E338" s="394"/>
      <c r="F338" s="394"/>
      <c r="G338" s="394"/>
      <c r="H338" s="394"/>
      <c r="I338" s="394"/>
      <c r="J338" s="394"/>
      <c r="K338" s="394"/>
      <c r="L338" s="394"/>
      <c r="M338" s="394"/>
      <c r="N338" s="394"/>
      <c r="O338" s="394"/>
      <c r="P338" s="394"/>
      <c r="Q338" s="394"/>
      <c r="R338" s="394"/>
      <c r="S338" s="394"/>
      <c r="T338" s="394"/>
      <c r="U338" s="394"/>
      <c r="V338" s="394"/>
      <c r="W338" s="394"/>
      <c r="X338" s="394"/>
      <c r="Y338" s="394"/>
      <c r="Z338" s="394"/>
    </row>
    <row r="339" customFormat="false" ht="18.75" hidden="false" customHeight="true" outlineLevel="0" collapsed="false">
      <c r="A339" s="394"/>
      <c r="B339" s="394"/>
      <c r="C339" s="394"/>
      <c r="D339" s="394"/>
      <c r="E339" s="394"/>
      <c r="F339" s="394"/>
      <c r="G339" s="394"/>
      <c r="H339" s="394"/>
      <c r="I339" s="394"/>
      <c r="J339" s="394"/>
      <c r="K339" s="394"/>
      <c r="L339" s="394"/>
      <c r="M339" s="394"/>
      <c r="N339" s="394"/>
      <c r="O339" s="394"/>
      <c r="P339" s="394"/>
      <c r="Q339" s="394"/>
      <c r="R339" s="394"/>
      <c r="S339" s="394"/>
      <c r="T339" s="394"/>
      <c r="U339" s="394"/>
      <c r="V339" s="394"/>
      <c r="W339" s="394"/>
      <c r="X339" s="394"/>
      <c r="Y339" s="394"/>
      <c r="Z339" s="394"/>
    </row>
    <row r="340" customFormat="false" ht="18.75" hidden="false" customHeight="true" outlineLevel="0" collapsed="false">
      <c r="A340" s="394"/>
      <c r="B340" s="394"/>
      <c r="C340" s="394"/>
      <c r="D340" s="394"/>
      <c r="E340" s="394"/>
      <c r="F340" s="394"/>
      <c r="G340" s="394"/>
      <c r="H340" s="394"/>
      <c r="I340" s="394"/>
      <c r="J340" s="394"/>
      <c r="K340" s="394"/>
      <c r="L340" s="394"/>
      <c r="M340" s="394"/>
      <c r="N340" s="394"/>
      <c r="O340" s="394"/>
      <c r="P340" s="394"/>
      <c r="Q340" s="394"/>
      <c r="R340" s="394"/>
      <c r="S340" s="394"/>
      <c r="T340" s="394"/>
      <c r="U340" s="394"/>
      <c r="V340" s="394"/>
      <c r="W340" s="394"/>
      <c r="X340" s="394"/>
      <c r="Y340" s="394"/>
      <c r="Z340" s="394"/>
    </row>
    <row r="341" customFormat="false" ht="18.75" hidden="false" customHeight="true" outlineLevel="0" collapsed="false">
      <c r="A341" s="394"/>
      <c r="B341" s="394"/>
      <c r="C341" s="394"/>
      <c r="D341" s="394"/>
      <c r="E341" s="394"/>
      <c r="F341" s="394"/>
      <c r="G341" s="394"/>
      <c r="H341" s="394"/>
      <c r="I341" s="394"/>
      <c r="J341" s="394"/>
      <c r="K341" s="394"/>
      <c r="L341" s="394"/>
      <c r="M341" s="394"/>
      <c r="N341" s="394"/>
      <c r="O341" s="394"/>
      <c r="P341" s="394"/>
      <c r="Q341" s="394"/>
      <c r="R341" s="394"/>
      <c r="S341" s="394"/>
      <c r="T341" s="394"/>
      <c r="U341" s="394"/>
      <c r="V341" s="394"/>
      <c r="W341" s="394"/>
      <c r="X341" s="394"/>
      <c r="Y341" s="394"/>
      <c r="Z341" s="394"/>
    </row>
    <row r="342" customFormat="false" ht="18.75" hidden="false" customHeight="true" outlineLevel="0" collapsed="false">
      <c r="A342" s="394"/>
      <c r="B342" s="394"/>
      <c r="C342" s="394"/>
      <c r="D342" s="394"/>
      <c r="E342" s="394"/>
      <c r="F342" s="394"/>
      <c r="G342" s="394"/>
      <c r="H342" s="394"/>
      <c r="I342" s="394"/>
      <c r="J342" s="394"/>
      <c r="K342" s="394"/>
      <c r="L342" s="394"/>
      <c r="M342" s="394"/>
      <c r="N342" s="394"/>
      <c r="O342" s="394"/>
      <c r="P342" s="394"/>
      <c r="Q342" s="394"/>
      <c r="R342" s="394"/>
      <c r="S342" s="394"/>
      <c r="T342" s="394"/>
      <c r="U342" s="394"/>
      <c r="V342" s="394"/>
      <c r="W342" s="394"/>
      <c r="X342" s="394"/>
      <c r="Y342" s="394"/>
      <c r="Z342" s="394"/>
    </row>
    <row r="343" customFormat="false" ht="18.75" hidden="false" customHeight="true" outlineLevel="0" collapsed="false">
      <c r="A343" s="394"/>
      <c r="B343" s="394"/>
      <c r="C343" s="394"/>
      <c r="D343" s="394"/>
      <c r="E343" s="394"/>
      <c r="F343" s="394"/>
      <c r="G343" s="394"/>
      <c r="H343" s="394"/>
      <c r="I343" s="394"/>
      <c r="J343" s="394"/>
      <c r="K343" s="394"/>
      <c r="L343" s="394"/>
      <c r="M343" s="394"/>
      <c r="N343" s="394"/>
      <c r="O343" s="394"/>
      <c r="P343" s="394"/>
      <c r="Q343" s="394"/>
      <c r="R343" s="394"/>
      <c r="S343" s="394"/>
      <c r="T343" s="394"/>
      <c r="U343" s="394"/>
      <c r="V343" s="394"/>
      <c r="W343" s="394"/>
      <c r="X343" s="394"/>
      <c r="Y343" s="394"/>
      <c r="Z343" s="394"/>
    </row>
    <row r="344" customFormat="false" ht="18.75" hidden="false" customHeight="true" outlineLevel="0" collapsed="false">
      <c r="A344" s="394"/>
      <c r="B344" s="394"/>
      <c r="C344" s="394"/>
      <c r="D344" s="394"/>
      <c r="E344" s="394"/>
      <c r="F344" s="394"/>
      <c r="G344" s="394"/>
      <c r="H344" s="394"/>
      <c r="I344" s="394"/>
      <c r="J344" s="394"/>
      <c r="K344" s="394"/>
      <c r="L344" s="394"/>
      <c r="M344" s="394"/>
      <c r="N344" s="394"/>
      <c r="O344" s="394"/>
      <c r="P344" s="394"/>
      <c r="Q344" s="394"/>
      <c r="R344" s="394"/>
      <c r="S344" s="394"/>
      <c r="T344" s="394"/>
      <c r="U344" s="394"/>
      <c r="V344" s="394"/>
      <c r="W344" s="394"/>
      <c r="X344" s="394"/>
      <c r="Y344" s="394"/>
      <c r="Z344" s="394"/>
    </row>
    <row r="345" customFormat="false" ht="18.75" hidden="false" customHeight="true" outlineLevel="0" collapsed="false">
      <c r="A345" s="394"/>
      <c r="B345" s="394"/>
      <c r="C345" s="394"/>
      <c r="D345" s="394"/>
      <c r="E345" s="394"/>
      <c r="F345" s="394"/>
      <c r="G345" s="394"/>
      <c r="H345" s="394"/>
      <c r="I345" s="394"/>
      <c r="J345" s="394"/>
      <c r="K345" s="394"/>
      <c r="L345" s="394"/>
      <c r="M345" s="394"/>
      <c r="N345" s="394"/>
      <c r="O345" s="394"/>
      <c r="P345" s="394"/>
      <c r="Q345" s="394"/>
      <c r="R345" s="394"/>
      <c r="S345" s="394"/>
      <c r="T345" s="394"/>
      <c r="U345" s="394"/>
      <c r="V345" s="394"/>
      <c r="W345" s="394"/>
      <c r="X345" s="394"/>
      <c r="Y345" s="394"/>
      <c r="Z345" s="394"/>
    </row>
    <row r="346" customFormat="false" ht="18.75" hidden="false" customHeight="true" outlineLevel="0" collapsed="false">
      <c r="A346" s="394"/>
      <c r="B346" s="394"/>
      <c r="C346" s="394"/>
      <c r="D346" s="394"/>
      <c r="E346" s="394"/>
      <c r="F346" s="394"/>
      <c r="G346" s="394"/>
      <c r="H346" s="394"/>
      <c r="I346" s="394"/>
      <c r="J346" s="394"/>
      <c r="K346" s="394"/>
      <c r="L346" s="394"/>
      <c r="M346" s="394"/>
      <c r="N346" s="394"/>
      <c r="O346" s="394"/>
      <c r="P346" s="394"/>
      <c r="Q346" s="394"/>
      <c r="R346" s="394"/>
      <c r="S346" s="394"/>
      <c r="T346" s="394"/>
      <c r="U346" s="394"/>
      <c r="V346" s="394"/>
      <c r="W346" s="394"/>
      <c r="X346" s="394"/>
      <c r="Y346" s="394"/>
      <c r="Z346" s="394"/>
    </row>
    <row r="347" customFormat="false" ht="18.75" hidden="false" customHeight="true" outlineLevel="0" collapsed="false">
      <c r="A347" s="394"/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4"/>
      <c r="O347" s="394"/>
      <c r="P347" s="394"/>
      <c r="Q347" s="394"/>
      <c r="R347" s="394"/>
      <c r="S347" s="394"/>
      <c r="T347" s="394"/>
      <c r="U347" s="394"/>
      <c r="V347" s="394"/>
      <c r="W347" s="394"/>
      <c r="X347" s="394"/>
      <c r="Y347" s="394"/>
      <c r="Z347" s="394"/>
    </row>
    <row r="348" customFormat="false" ht="18.75" hidden="false" customHeight="true" outlineLevel="0" collapsed="false">
      <c r="A348" s="394"/>
      <c r="B348" s="394"/>
      <c r="C348" s="394"/>
      <c r="D348" s="394"/>
      <c r="E348" s="394"/>
      <c r="F348" s="394"/>
      <c r="G348" s="394"/>
      <c r="H348" s="394"/>
      <c r="I348" s="394"/>
      <c r="J348" s="394"/>
      <c r="K348" s="394"/>
      <c r="L348" s="394"/>
      <c r="M348" s="394"/>
      <c r="N348" s="394"/>
      <c r="O348" s="394"/>
      <c r="P348" s="394"/>
      <c r="Q348" s="394"/>
      <c r="R348" s="394"/>
      <c r="S348" s="394"/>
      <c r="T348" s="394"/>
      <c r="U348" s="394"/>
      <c r="V348" s="394"/>
      <c r="W348" s="394"/>
      <c r="X348" s="394"/>
      <c r="Y348" s="394"/>
      <c r="Z348" s="394"/>
    </row>
    <row r="349" customFormat="false" ht="18.75" hidden="false" customHeight="true" outlineLevel="0" collapsed="false">
      <c r="A349" s="394"/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394"/>
      <c r="O349" s="394"/>
      <c r="P349" s="394"/>
      <c r="Q349" s="394"/>
      <c r="R349" s="394"/>
      <c r="S349" s="394"/>
      <c r="T349" s="394"/>
      <c r="U349" s="394"/>
      <c r="V349" s="394"/>
      <c r="W349" s="394"/>
      <c r="X349" s="394"/>
      <c r="Y349" s="394"/>
      <c r="Z349" s="394"/>
    </row>
    <row r="350" customFormat="false" ht="18.75" hidden="false" customHeight="true" outlineLevel="0" collapsed="false">
      <c r="A350" s="394"/>
      <c r="B350" s="394"/>
      <c r="C350" s="394"/>
      <c r="D350" s="394"/>
      <c r="E350" s="394"/>
      <c r="F350" s="394"/>
      <c r="G350" s="394"/>
      <c r="H350" s="394"/>
      <c r="I350" s="394"/>
      <c r="J350" s="394"/>
      <c r="K350" s="394"/>
      <c r="L350" s="394"/>
      <c r="M350" s="394"/>
      <c r="N350" s="394"/>
      <c r="O350" s="394"/>
      <c r="P350" s="394"/>
      <c r="Q350" s="394"/>
      <c r="R350" s="394"/>
      <c r="S350" s="394"/>
      <c r="T350" s="394"/>
      <c r="U350" s="394"/>
      <c r="V350" s="394"/>
      <c r="W350" s="394"/>
      <c r="X350" s="394"/>
      <c r="Y350" s="394"/>
      <c r="Z350" s="394"/>
    </row>
    <row r="351" customFormat="false" ht="18.75" hidden="false" customHeight="true" outlineLevel="0" collapsed="false">
      <c r="A351" s="394"/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4"/>
      <c r="P351" s="394"/>
      <c r="Q351" s="394"/>
      <c r="R351" s="394"/>
      <c r="S351" s="394"/>
      <c r="T351" s="394"/>
      <c r="U351" s="394"/>
      <c r="V351" s="394"/>
      <c r="W351" s="394"/>
      <c r="X351" s="394"/>
      <c r="Y351" s="394"/>
      <c r="Z351" s="394"/>
    </row>
    <row r="352" customFormat="false" ht="18.75" hidden="false" customHeight="true" outlineLevel="0" collapsed="false">
      <c r="A352" s="394"/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4"/>
      <c r="M352" s="394"/>
      <c r="N352" s="394"/>
      <c r="O352" s="394"/>
      <c r="P352" s="394"/>
      <c r="Q352" s="394"/>
      <c r="R352" s="394"/>
      <c r="S352" s="394"/>
      <c r="T352" s="394"/>
      <c r="U352" s="394"/>
      <c r="V352" s="394"/>
      <c r="W352" s="394"/>
      <c r="X352" s="394"/>
      <c r="Y352" s="394"/>
      <c r="Z352" s="394"/>
    </row>
    <row r="353" customFormat="false" ht="18.75" hidden="false" customHeight="true" outlineLevel="0" collapsed="false">
      <c r="A353" s="394"/>
      <c r="B353" s="394"/>
      <c r="C353" s="394"/>
      <c r="D353" s="394"/>
      <c r="E353" s="394"/>
      <c r="F353" s="394"/>
      <c r="G353" s="394"/>
      <c r="H353" s="394"/>
      <c r="I353" s="394"/>
      <c r="J353" s="394"/>
      <c r="K353" s="394"/>
      <c r="L353" s="394"/>
      <c r="M353" s="394"/>
      <c r="N353" s="394"/>
      <c r="O353" s="394"/>
      <c r="P353" s="394"/>
      <c r="Q353" s="394"/>
      <c r="R353" s="394"/>
      <c r="S353" s="394"/>
      <c r="T353" s="394"/>
      <c r="U353" s="394"/>
      <c r="V353" s="394"/>
      <c r="W353" s="394"/>
      <c r="X353" s="394"/>
      <c r="Y353" s="394"/>
      <c r="Z353" s="394"/>
    </row>
    <row r="354" customFormat="false" ht="18.75" hidden="false" customHeight="true" outlineLevel="0" collapsed="false">
      <c r="A354" s="394"/>
      <c r="B354" s="394"/>
      <c r="C354" s="394"/>
      <c r="D354" s="394"/>
      <c r="E354" s="394"/>
      <c r="F354" s="394"/>
      <c r="G354" s="394"/>
      <c r="H354" s="394"/>
      <c r="I354" s="394"/>
      <c r="J354" s="394"/>
      <c r="K354" s="394"/>
      <c r="L354" s="394"/>
      <c r="M354" s="394"/>
      <c r="N354" s="394"/>
      <c r="O354" s="394"/>
      <c r="P354" s="394"/>
      <c r="Q354" s="394"/>
      <c r="R354" s="394"/>
      <c r="S354" s="394"/>
      <c r="T354" s="394"/>
      <c r="U354" s="394"/>
      <c r="V354" s="394"/>
      <c r="W354" s="394"/>
      <c r="X354" s="394"/>
      <c r="Y354" s="394"/>
      <c r="Z354" s="394"/>
    </row>
    <row r="355" customFormat="false" ht="18.75" hidden="false" customHeight="true" outlineLevel="0" collapsed="false">
      <c r="A355" s="394"/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4"/>
      <c r="N355" s="394"/>
      <c r="O355" s="394"/>
      <c r="P355" s="394"/>
      <c r="Q355" s="394"/>
      <c r="R355" s="394"/>
      <c r="S355" s="394"/>
      <c r="T355" s="394"/>
      <c r="U355" s="394"/>
      <c r="V355" s="394"/>
      <c r="W355" s="394"/>
      <c r="X355" s="394"/>
      <c r="Y355" s="394"/>
      <c r="Z355" s="394"/>
    </row>
    <row r="356" customFormat="false" ht="18.75" hidden="false" customHeight="true" outlineLevel="0" collapsed="false">
      <c r="A356" s="394"/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4"/>
      <c r="N356" s="394"/>
      <c r="O356" s="394"/>
      <c r="P356" s="394"/>
      <c r="Q356" s="394"/>
      <c r="R356" s="394"/>
      <c r="S356" s="394"/>
      <c r="T356" s="394"/>
      <c r="U356" s="394"/>
      <c r="V356" s="394"/>
      <c r="W356" s="394"/>
      <c r="X356" s="394"/>
      <c r="Y356" s="394"/>
      <c r="Z356" s="394"/>
    </row>
    <row r="357" customFormat="false" ht="18.75" hidden="false" customHeight="true" outlineLevel="0" collapsed="false">
      <c r="A357" s="394"/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394"/>
      <c r="O357" s="394"/>
      <c r="P357" s="394"/>
      <c r="Q357" s="394"/>
      <c r="R357" s="394"/>
      <c r="S357" s="394"/>
      <c r="T357" s="394"/>
      <c r="U357" s="394"/>
      <c r="V357" s="394"/>
      <c r="W357" s="394"/>
      <c r="X357" s="394"/>
      <c r="Y357" s="394"/>
      <c r="Z357" s="394"/>
    </row>
    <row r="358" customFormat="false" ht="18.75" hidden="false" customHeight="true" outlineLevel="0" collapsed="false">
      <c r="A358" s="394"/>
      <c r="B358" s="394"/>
      <c r="C358" s="394"/>
      <c r="D358" s="394"/>
      <c r="E358" s="394"/>
      <c r="F358" s="394"/>
      <c r="G358" s="394"/>
      <c r="H358" s="394"/>
      <c r="I358" s="394"/>
      <c r="J358" s="394"/>
      <c r="K358" s="394"/>
      <c r="L358" s="394"/>
      <c r="M358" s="394"/>
      <c r="N358" s="394"/>
      <c r="O358" s="394"/>
      <c r="P358" s="394"/>
      <c r="Q358" s="394"/>
      <c r="R358" s="394"/>
      <c r="S358" s="394"/>
      <c r="T358" s="394"/>
      <c r="U358" s="394"/>
      <c r="V358" s="394"/>
      <c r="W358" s="394"/>
      <c r="X358" s="394"/>
      <c r="Y358" s="394"/>
      <c r="Z358" s="394"/>
    </row>
    <row r="359" customFormat="false" ht="18.75" hidden="false" customHeight="true" outlineLevel="0" collapsed="false">
      <c r="A359" s="394"/>
      <c r="B359" s="394"/>
      <c r="C359" s="394"/>
      <c r="D359" s="394"/>
      <c r="E359" s="394"/>
      <c r="F359" s="394"/>
      <c r="G359" s="394"/>
      <c r="H359" s="394"/>
      <c r="I359" s="394"/>
      <c r="J359" s="394"/>
      <c r="K359" s="394"/>
      <c r="L359" s="394"/>
      <c r="M359" s="394"/>
      <c r="N359" s="394"/>
      <c r="O359" s="394"/>
      <c r="P359" s="394"/>
      <c r="Q359" s="394"/>
      <c r="R359" s="394"/>
      <c r="S359" s="394"/>
      <c r="T359" s="394"/>
      <c r="U359" s="394"/>
      <c r="V359" s="394"/>
      <c r="W359" s="394"/>
      <c r="X359" s="394"/>
      <c r="Y359" s="394"/>
      <c r="Z359" s="394"/>
    </row>
    <row r="360" customFormat="false" ht="18.75" hidden="false" customHeight="true" outlineLevel="0" collapsed="false">
      <c r="A360" s="394"/>
      <c r="B360" s="394"/>
      <c r="C360" s="394"/>
      <c r="D360" s="394"/>
      <c r="E360" s="394"/>
      <c r="F360" s="394"/>
      <c r="G360" s="394"/>
      <c r="H360" s="394"/>
      <c r="I360" s="394"/>
      <c r="J360" s="394"/>
      <c r="K360" s="394"/>
      <c r="L360" s="394"/>
      <c r="M360" s="394"/>
      <c r="N360" s="394"/>
      <c r="O360" s="394"/>
      <c r="P360" s="394"/>
      <c r="Q360" s="394"/>
      <c r="R360" s="394"/>
      <c r="S360" s="394"/>
      <c r="T360" s="394"/>
      <c r="U360" s="394"/>
      <c r="V360" s="394"/>
      <c r="W360" s="394"/>
      <c r="X360" s="394"/>
      <c r="Y360" s="394"/>
      <c r="Z360" s="394"/>
    </row>
    <row r="361" customFormat="false" ht="18.75" hidden="false" customHeight="true" outlineLevel="0" collapsed="false">
      <c r="A361" s="394"/>
      <c r="B361" s="394"/>
      <c r="C361" s="394"/>
      <c r="D361" s="394"/>
      <c r="E361" s="394"/>
      <c r="F361" s="394"/>
      <c r="G361" s="394"/>
      <c r="H361" s="394"/>
      <c r="I361" s="394"/>
      <c r="J361" s="394"/>
      <c r="K361" s="394"/>
      <c r="L361" s="394"/>
      <c r="M361" s="394"/>
      <c r="N361" s="394"/>
      <c r="O361" s="394"/>
      <c r="P361" s="394"/>
      <c r="Q361" s="394"/>
      <c r="R361" s="394"/>
      <c r="S361" s="394"/>
      <c r="T361" s="394"/>
      <c r="U361" s="394"/>
      <c r="V361" s="394"/>
      <c r="W361" s="394"/>
      <c r="X361" s="394"/>
      <c r="Y361" s="394"/>
      <c r="Z361" s="39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0:A51"/>
    <mergeCell ref="B50:C50"/>
    <mergeCell ref="B51:C51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1" colorId="64" zoomScale="75" zoomScaleNormal="75" zoomScalePageLayoutView="100" workbookViewId="0">
      <selection pane="topLeft" activeCell="B222" activeCellId="0" sqref="B222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396" t="s">
        <v>324</v>
      </c>
      <c r="B1" s="396"/>
      <c r="C1" s="396"/>
      <c r="D1" s="396"/>
      <c r="E1" s="396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  <c r="R1" s="394"/>
      <c r="S1" s="394"/>
      <c r="T1" s="394"/>
      <c r="U1" s="394"/>
      <c r="V1" s="394"/>
      <c r="W1" s="394"/>
      <c r="X1" s="394"/>
      <c r="Y1" s="394"/>
      <c r="Z1" s="394"/>
    </row>
    <row r="2" customFormat="false" ht="18.75" hidden="false" customHeight="true" outlineLevel="0" collapsed="false">
      <c r="A2" s="397"/>
      <c r="B2" s="398" t="s">
        <v>115</v>
      </c>
      <c r="C2" s="398" t="s">
        <v>116</v>
      </c>
      <c r="D2" s="398" t="s">
        <v>117</v>
      </c>
      <c r="E2" s="399" t="s">
        <v>118</v>
      </c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  <c r="Y2" s="394"/>
      <c r="Z2" s="394"/>
    </row>
    <row r="3" customFormat="false" ht="18.75" hidden="false" customHeight="true" outlineLevel="0" collapsed="false">
      <c r="A3" s="291" t="s">
        <v>121</v>
      </c>
      <c r="B3" s="400" t="n">
        <v>46854.17</v>
      </c>
      <c r="C3" s="400" t="n">
        <v>0</v>
      </c>
      <c r="D3" s="400" t="n">
        <v>833.33</v>
      </c>
      <c r="E3" s="14" t="n">
        <v>0</v>
      </c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</row>
    <row r="4" customFormat="false" ht="18.75" hidden="false" customHeight="true" outlineLevel="0" collapsed="false">
      <c r="A4" s="291" t="s">
        <v>122</v>
      </c>
      <c r="B4" s="401" t="n">
        <v>0</v>
      </c>
      <c r="C4" s="401" t="n">
        <v>0</v>
      </c>
      <c r="D4" s="401" t="n">
        <v>0</v>
      </c>
      <c r="E4" s="352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  <c r="R4" s="394"/>
      <c r="S4" s="394"/>
      <c r="T4" s="394"/>
      <c r="U4" s="394"/>
      <c r="V4" s="394"/>
      <c r="W4" s="394"/>
      <c r="X4" s="394"/>
      <c r="Y4" s="394"/>
      <c r="Z4" s="394"/>
    </row>
    <row r="5" customFormat="false" ht="18.75" hidden="false" customHeight="true" outlineLevel="0" collapsed="false">
      <c r="A5" s="291" t="s">
        <v>123</v>
      </c>
      <c r="B5" s="400" t="n">
        <v>0</v>
      </c>
      <c r="C5" s="400" t="n">
        <v>0</v>
      </c>
      <c r="D5" s="400" t="n">
        <v>0</v>
      </c>
      <c r="E5" s="20"/>
      <c r="F5" s="394"/>
      <c r="G5" s="394"/>
      <c r="H5" s="394"/>
      <c r="I5" s="394"/>
      <c r="J5" s="394"/>
      <c r="K5" s="394"/>
      <c r="L5" s="394"/>
      <c r="M5" s="394"/>
      <c r="N5" s="394"/>
      <c r="O5" s="394"/>
      <c r="P5" s="394"/>
      <c r="Q5" s="394"/>
      <c r="R5" s="394"/>
      <c r="S5" s="394"/>
      <c r="T5" s="394"/>
      <c r="U5" s="394"/>
      <c r="V5" s="394"/>
      <c r="W5" s="394"/>
      <c r="X5" s="394"/>
      <c r="Y5" s="394"/>
      <c r="Z5" s="394"/>
    </row>
    <row r="6" customFormat="false" ht="18.75" hidden="false" customHeight="true" outlineLevel="0" collapsed="false">
      <c r="A6" s="291" t="s">
        <v>124</v>
      </c>
      <c r="B6" s="178" t="n">
        <f aca="false">(B3*B4/100)+B5</f>
        <v>0</v>
      </c>
      <c r="C6" s="178" t="n">
        <f aca="false">(C3*C4/100)+C5</f>
        <v>0</v>
      </c>
      <c r="D6" s="178" t="n">
        <f aca="false">(D3*D4/100)+D5</f>
        <v>0</v>
      </c>
      <c r="E6" s="20"/>
      <c r="F6" s="394"/>
      <c r="G6" s="394"/>
      <c r="H6" s="394"/>
      <c r="I6" s="394"/>
      <c r="J6" s="394"/>
      <c r="K6" s="394"/>
      <c r="L6" s="394"/>
      <c r="M6" s="394"/>
      <c r="N6" s="394"/>
      <c r="O6" s="394"/>
      <c r="P6" s="394"/>
      <c r="Q6" s="394"/>
      <c r="R6" s="394"/>
      <c r="S6" s="394"/>
      <c r="T6" s="394"/>
      <c r="U6" s="394"/>
      <c r="V6" s="394"/>
      <c r="W6" s="394"/>
      <c r="X6" s="394"/>
      <c r="Y6" s="394"/>
      <c r="Z6" s="394"/>
    </row>
    <row r="7" customFormat="false" ht="18.75" hidden="false" customHeight="true" outlineLevel="0" collapsed="false">
      <c r="A7" s="291" t="s">
        <v>125</v>
      </c>
      <c r="B7" s="178" t="n">
        <f aca="false">B3-B6</f>
        <v>46854.17</v>
      </c>
      <c r="C7" s="178" t="n">
        <f aca="false">C3-C6</f>
        <v>0</v>
      </c>
      <c r="D7" s="178" t="n">
        <f aca="false">D3-D6</f>
        <v>833.33</v>
      </c>
      <c r="E7" s="20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394"/>
      <c r="V7" s="394"/>
      <c r="W7" s="394"/>
      <c r="X7" s="394"/>
      <c r="Y7" s="394"/>
      <c r="Z7" s="394"/>
    </row>
    <row r="8" customFormat="false" ht="18.75" hidden="false" customHeight="true" outlineLevel="0" collapsed="false">
      <c r="A8" s="291"/>
      <c r="B8" s="292"/>
      <c r="C8" s="292"/>
      <c r="D8" s="292"/>
      <c r="E8" s="293"/>
      <c r="F8" s="394"/>
      <c r="G8" s="394"/>
      <c r="H8" s="394"/>
      <c r="I8" s="26" t="s">
        <v>3</v>
      </c>
      <c r="J8" s="27" t="n">
        <f aca="false">E13+E14</f>
        <v>640</v>
      </c>
      <c r="K8" s="394"/>
      <c r="L8" s="394"/>
      <c r="M8" s="394"/>
      <c r="N8" s="394"/>
      <c r="O8" s="394"/>
      <c r="P8" s="394"/>
      <c r="Q8" s="394"/>
      <c r="R8" s="394"/>
      <c r="S8" s="394"/>
      <c r="T8" s="394"/>
      <c r="U8" s="394"/>
      <c r="V8" s="394"/>
      <c r="W8" s="394"/>
      <c r="X8" s="394"/>
      <c r="Y8" s="394"/>
      <c r="Z8" s="394"/>
    </row>
    <row r="9" customFormat="false" ht="18.75" hidden="false" customHeight="true" outlineLevel="0" collapsed="false">
      <c r="A9" s="402" t="s">
        <v>133</v>
      </c>
      <c r="B9" s="402"/>
      <c r="C9" s="402"/>
      <c r="D9" s="402"/>
      <c r="E9" s="403" t="n">
        <f aca="false">B7+C7+D7+E3</f>
        <v>47687.5</v>
      </c>
      <c r="F9" s="394"/>
      <c r="G9" s="394"/>
      <c r="H9" s="394"/>
      <c r="I9" s="27"/>
      <c r="J9" s="27"/>
      <c r="K9" s="394"/>
      <c r="L9" s="394"/>
      <c r="M9" s="394"/>
      <c r="N9" s="394"/>
      <c r="O9" s="394"/>
      <c r="P9" s="394"/>
      <c r="Q9" s="394"/>
      <c r="R9" s="394"/>
      <c r="S9" s="394"/>
      <c r="T9" s="394"/>
      <c r="U9" s="394"/>
      <c r="V9" s="394"/>
      <c r="W9" s="394"/>
      <c r="X9" s="394"/>
      <c r="Y9" s="394"/>
      <c r="Z9" s="394"/>
    </row>
    <row r="10" customFormat="false" ht="18.75" hidden="false" customHeight="true" outlineLevel="0" collapsed="false">
      <c r="A10" s="404" t="s">
        <v>134</v>
      </c>
      <c r="B10" s="404"/>
      <c r="C10" s="404"/>
      <c r="D10" s="404"/>
      <c r="E10" s="14" t="n">
        <v>550</v>
      </c>
      <c r="F10" s="394"/>
      <c r="G10" s="394"/>
      <c r="H10" s="394"/>
      <c r="I10" s="32" t="s">
        <v>1</v>
      </c>
      <c r="J10" s="27" t="n">
        <f aca="false">E15-E11-J8</f>
        <v>48237.5</v>
      </c>
      <c r="K10" s="394"/>
      <c r="L10" s="394"/>
      <c r="M10" s="394"/>
      <c r="N10" s="394"/>
      <c r="O10" s="394"/>
      <c r="P10" s="394"/>
      <c r="Q10" s="394"/>
      <c r="R10" s="394"/>
      <c r="S10" s="394"/>
      <c r="T10" s="394"/>
      <c r="U10" s="394"/>
      <c r="V10" s="394"/>
      <c r="W10" s="394"/>
      <c r="X10" s="394"/>
      <c r="Y10" s="394"/>
      <c r="Z10" s="394"/>
    </row>
    <row r="11" customFormat="false" ht="18.75" hidden="false" customHeight="true" outlineLevel="0" collapsed="false">
      <c r="A11" s="404" t="s">
        <v>135</v>
      </c>
      <c r="B11" s="404"/>
      <c r="C11" s="404"/>
      <c r="D11" s="404"/>
      <c r="E11" s="20" t="n">
        <f aca="false">(E9+E10)*20%</f>
        <v>9647.5</v>
      </c>
      <c r="F11" s="394"/>
      <c r="G11" s="394"/>
      <c r="H11" s="394"/>
      <c r="I11" s="27"/>
      <c r="J11" s="27"/>
      <c r="K11" s="394"/>
      <c r="L11" s="394"/>
      <c r="M11" s="394"/>
      <c r="N11" s="394"/>
      <c r="O11" s="394"/>
      <c r="P11" s="394"/>
      <c r="Q11" s="394"/>
      <c r="R11" s="394"/>
      <c r="S11" s="394"/>
      <c r="T11" s="394"/>
      <c r="U11" s="394"/>
      <c r="V11" s="394"/>
      <c r="W11" s="394"/>
      <c r="X11" s="394"/>
      <c r="Y11" s="394"/>
      <c r="Z11" s="394"/>
    </row>
    <row r="12" customFormat="false" ht="18.75" hidden="false" customHeight="true" outlineLevel="0" collapsed="false">
      <c r="A12" s="404" t="s">
        <v>136</v>
      </c>
      <c r="B12" s="404"/>
      <c r="C12" s="404"/>
      <c r="D12" s="404"/>
      <c r="E12" s="14" t="n">
        <v>0</v>
      </c>
      <c r="F12" s="394"/>
      <c r="G12" s="394"/>
      <c r="H12" s="394"/>
      <c r="I12" s="394"/>
      <c r="J12" s="394"/>
      <c r="K12" s="394"/>
      <c r="L12" s="394"/>
      <c r="M12" s="394"/>
      <c r="N12" s="394"/>
      <c r="O12" s="394"/>
      <c r="P12" s="394"/>
      <c r="Q12" s="394"/>
      <c r="R12" s="394"/>
      <c r="S12" s="394"/>
      <c r="T12" s="394"/>
      <c r="U12" s="394"/>
      <c r="V12" s="394"/>
      <c r="W12" s="394"/>
      <c r="X12" s="394"/>
      <c r="Y12" s="394"/>
      <c r="Z12" s="394"/>
    </row>
    <row r="13" customFormat="false" ht="18.75" hidden="false" customHeight="true" outlineLevel="0" collapsed="false">
      <c r="A13" s="404" t="s">
        <v>137</v>
      </c>
      <c r="B13" s="404"/>
      <c r="C13" s="404"/>
      <c r="D13" s="404"/>
      <c r="E13" s="14" t="n">
        <v>585</v>
      </c>
      <c r="F13" s="394"/>
      <c r="G13" s="394"/>
      <c r="H13" s="394"/>
      <c r="I13" s="394"/>
      <c r="J13" s="394"/>
      <c r="K13" s="394"/>
      <c r="L13" s="394"/>
      <c r="M13" s="394"/>
      <c r="N13" s="394"/>
      <c r="O13" s="394"/>
      <c r="P13" s="394"/>
      <c r="Q13" s="394"/>
      <c r="R13" s="394"/>
      <c r="S13" s="394"/>
      <c r="T13" s="394"/>
      <c r="U13" s="394"/>
      <c r="V13" s="394"/>
      <c r="W13" s="394"/>
      <c r="X13" s="394"/>
      <c r="Y13" s="394"/>
      <c r="Z13" s="394"/>
    </row>
    <row r="14" customFormat="false" ht="18.75" hidden="false" customHeight="true" outlineLevel="0" collapsed="false">
      <c r="A14" s="404" t="s">
        <v>138</v>
      </c>
      <c r="B14" s="404"/>
      <c r="C14" s="404"/>
      <c r="D14" s="404"/>
      <c r="E14" s="14" t="n">
        <v>55</v>
      </c>
      <c r="F14" s="394"/>
      <c r="G14" s="394" t="s">
        <v>13</v>
      </c>
      <c r="H14" s="394"/>
      <c r="I14" s="394"/>
      <c r="J14" s="394"/>
      <c r="K14" s="394"/>
      <c r="L14" s="394"/>
      <c r="M14" s="394"/>
      <c r="N14" s="394"/>
      <c r="O14" s="394"/>
      <c r="P14" s="394"/>
      <c r="Q14" s="394"/>
      <c r="R14" s="394"/>
      <c r="S14" s="394"/>
      <c r="T14" s="394"/>
      <c r="U14" s="394"/>
      <c r="V14" s="394"/>
      <c r="W14" s="394"/>
      <c r="X14" s="394"/>
      <c r="Y14" s="394"/>
      <c r="Z14" s="394"/>
    </row>
    <row r="15" customFormat="false" ht="18.75" hidden="false" customHeight="true" outlineLevel="0" collapsed="false">
      <c r="A15" s="404" t="s">
        <v>139</v>
      </c>
      <c r="B15" s="404"/>
      <c r="C15" s="404"/>
      <c r="D15" s="404"/>
      <c r="E15" s="33" t="n">
        <f aca="false">(E9+E10+E13+E14+E11)-E12</f>
        <v>58525</v>
      </c>
      <c r="F15" s="394"/>
      <c r="G15" s="34" t="n">
        <f aca="false">E15</f>
        <v>58525</v>
      </c>
      <c r="H15" s="394"/>
      <c r="I15" s="394"/>
      <c r="J15" s="394"/>
      <c r="K15" s="394"/>
      <c r="L15" s="394"/>
      <c r="M15" s="394"/>
      <c r="N15" s="394"/>
      <c r="O15" s="394"/>
      <c r="P15" s="394"/>
      <c r="Q15" s="394"/>
      <c r="R15" s="394"/>
      <c r="S15" s="394"/>
      <c r="T15" s="394"/>
      <c r="U15" s="394"/>
      <c r="V15" s="394"/>
      <c r="W15" s="394"/>
      <c r="X15" s="394"/>
      <c r="Y15" s="394"/>
      <c r="Z15" s="394"/>
    </row>
    <row r="16" customFormat="false" ht="18.75" hidden="false" customHeight="true" outlineLevel="0" collapsed="false">
      <c r="A16" s="404" t="s">
        <v>140</v>
      </c>
      <c r="B16" s="404"/>
      <c r="C16" s="404"/>
      <c r="D16" s="404"/>
      <c r="E16" s="14" t="n">
        <v>0</v>
      </c>
      <c r="F16" s="394"/>
      <c r="G16" s="394"/>
      <c r="H16" s="394"/>
      <c r="I16" s="394"/>
      <c r="J16" s="394"/>
      <c r="K16" s="394"/>
      <c r="L16" s="394"/>
      <c r="M16" s="394"/>
      <c r="N16" s="394"/>
      <c r="O16" s="394"/>
      <c r="P16" s="394"/>
      <c r="Q16" s="394"/>
      <c r="R16" s="394"/>
      <c r="S16" s="394"/>
      <c r="T16" s="394"/>
      <c r="U16" s="394"/>
      <c r="V16" s="394"/>
      <c r="W16" s="394"/>
      <c r="X16" s="394"/>
      <c r="Y16" s="206" t="s">
        <v>15</v>
      </c>
      <c r="Z16" s="394"/>
    </row>
    <row r="17" customFormat="false" ht="18.75" hidden="false" customHeight="true" outlineLevel="0" collapsed="false">
      <c r="A17" s="349" t="s">
        <v>141</v>
      </c>
      <c r="B17" s="349"/>
      <c r="C17" s="349"/>
      <c r="D17" s="349"/>
      <c r="E17" s="293"/>
      <c r="F17" s="394"/>
      <c r="G17" s="394" t="s">
        <v>16</v>
      </c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394"/>
      <c r="V17" s="394"/>
      <c r="W17" s="394"/>
      <c r="X17" s="394"/>
      <c r="Y17" s="206" t="s">
        <v>17</v>
      </c>
      <c r="Z17" s="394"/>
    </row>
    <row r="18" customFormat="false" ht="18.75" hidden="false" customHeight="true" outlineLevel="0" collapsed="false">
      <c r="A18" s="405" t="s">
        <v>15</v>
      </c>
      <c r="B18" s="406" t="s">
        <v>142</v>
      </c>
      <c r="C18" s="406"/>
      <c r="D18" s="406"/>
      <c r="E18" s="39" t="n">
        <v>0</v>
      </c>
      <c r="F18" s="394"/>
      <c r="G18" s="34" t="n">
        <f aca="false">(B3+C3+D3+E3+E10)*1.2</f>
        <v>57885</v>
      </c>
      <c r="H18" s="394"/>
      <c r="I18" s="394"/>
      <c r="J18" s="394"/>
      <c r="K18" s="394"/>
      <c r="L18" s="394"/>
      <c r="M18" s="394"/>
      <c r="N18" s="394"/>
      <c r="O18" s="394"/>
      <c r="P18" s="394"/>
      <c r="Q18" s="394"/>
      <c r="R18" s="394"/>
      <c r="S18" s="394"/>
      <c r="T18" s="394"/>
      <c r="U18" s="394"/>
      <c r="V18" s="394"/>
      <c r="W18" s="394"/>
      <c r="X18" s="394"/>
      <c r="Y18" s="206" t="s">
        <v>18</v>
      </c>
      <c r="Z18" s="394"/>
    </row>
    <row r="19" customFormat="false" ht="18.75" hidden="false" customHeight="true" outlineLevel="0" collapsed="false">
      <c r="A19" s="405" t="s">
        <v>17</v>
      </c>
      <c r="B19" s="406" t="s">
        <v>142</v>
      </c>
      <c r="C19" s="406"/>
      <c r="D19" s="406"/>
      <c r="E19" s="39" t="n">
        <v>0</v>
      </c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394"/>
      <c r="Z19" s="394" t="s">
        <v>9</v>
      </c>
    </row>
    <row r="20" customFormat="false" ht="18.75" hidden="false" customHeight="true" outlineLevel="0" collapsed="false">
      <c r="A20" s="405" t="s">
        <v>18</v>
      </c>
      <c r="B20" s="406" t="s">
        <v>142</v>
      </c>
      <c r="C20" s="406"/>
      <c r="D20" s="406"/>
      <c r="E20" s="39" t="n">
        <v>0</v>
      </c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 t="s">
        <v>10</v>
      </c>
    </row>
    <row r="21" customFormat="false" ht="18.75" hidden="false" customHeight="true" outlineLevel="0" collapsed="false">
      <c r="A21" s="407" t="s">
        <v>143</v>
      </c>
      <c r="B21" s="407"/>
      <c r="C21" s="407"/>
      <c r="D21" s="407"/>
      <c r="E21" s="44" t="n">
        <f aca="false">E15-((E18*1.2)+(E19*1.2)+(E20*1.2)+(E16*1.2))</f>
        <v>58525</v>
      </c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</row>
    <row r="22" customFormat="false" ht="18.75" hidden="false" customHeight="true" outlineLevel="0" collapsed="false">
      <c r="A22" s="292"/>
      <c r="B22" s="292"/>
      <c r="C22" s="292"/>
      <c r="D22" s="292"/>
      <c r="E22" s="292"/>
      <c r="F22" s="394"/>
      <c r="G22" s="394"/>
      <c r="H22" s="394"/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94"/>
      <c r="T22" s="394"/>
      <c r="U22" s="394"/>
      <c r="V22" s="394"/>
      <c r="W22" s="394"/>
      <c r="X22" s="394"/>
      <c r="Y22" s="394"/>
      <c r="Z22" s="394"/>
    </row>
    <row r="23" customFormat="false" ht="17.35" hidden="false" customHeight="false" outlineLevel="0" collapsed="false">
      <c r="A23" s="292"/>
      <c r="B23" s="292"/>
      <c r="C23" s="292"/>
      <c r="D23" s="292"/>
      <c r="E23" s="292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  <c r="V23" s="394"/>
      <c r="W23" s="394"/>
      <c r="X23" s="394"/>
      <c r="Y23" s="394"/>
      <c r="Z23" s="394"/>
    </row>
    <row r="24" customFormat="false" ht="56.65" hidden="false" customHeight="true" outlineLevel="0" collapsed="false">
      <c r="A24" s="208" t="s">
        <v>208</v>
      </c>
      <c r="B24" s="208"/>
      <c r="C24" s="208"/>
      <c r="D24" s="208"/>
      <c r="E24" s="208"/>
      <c r="F24" s="394"/>
      <c r="G24" s="394"/>
      <c r="H24" s="394"/>
      <c r="I24" s="394"/>
      <c r="J24" s="394"/>
      <c r="K24" s="394"/>
      <c r="L24" s="394"/>
      <c r="M24" s="394"/>
      <c r="N24" s="394"/>
      <c r="O24" s="394"/>
      <c r="P24" s="394"/>
      <c r="Q24" s="394"/>
      <c r="R24" s="394"/>
      <c r="S24" s="394"/>
      <c r="T24" s="394"/>
      <c r="U24" s="394"/>
      <c r="V24" s="394"/>
      <c r="W24" s="394"/>
      <c r="X24" s="394"/>
      <c r="Y24" s="394"/>
      <c r="Z24" s="394"/>
    </row>
    <row r="25" customFormat="false" ht="18.75" hidden="false" customHeight="true" outlineLevel="0" collapsed="false">
      <c r="A25" s="291"/>
      <c r="B25" s="329"/>
      <c r="C25" s="329"/>
      <c r="D25" s="329"/>
      <c r="E25" s="293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</row>
    <row r="26" customFormat="false" ht="18.75" hidden="false" customHeight="true" outlineLevel="0" collapsed="false">
      <c r="A26" s="211" t="s">
        <v>209</v>
      </c>
      <c r="B26" s="211"/>
      <c r="C26" s="211"/>
      <c r="D26" s="211"/>
      <c r="E26" s="211"/>
      <c r="F26" s="394"/>
      <c r="G26" s="53" t="s">
        <v>23</v>
      </c>
      <c r="H26" s="54" t="s">
        <v>24</v>
      </c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94"/>
    </row>
    <row r="27" customFormat="false" ht="18.75" hidden="false" customHeight="true" outlineLevel="0" collapsed="false">
      <c r="A27" s="291"/>
      <c r="B27" s="329"/>
      <c r="C27" s="329"/>
      <c r="D27" s="329"/>
      <c r="E27" s="293"/>
      <c r="F27" s="394"/>
      <c r="G27" s="56" t="s">
        <v>25</v>
      </c>
      <c r="H27" s="57" t="n">
        <v>1</v>
      </c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394"/>
      <c r="V27" s="394"/>
      <c r="W27" s="394"/>
      <c r="X27" s="394"/>
      <c r="Y27" s="394"/>
      <c r="Z27" s="394"/>
    </row>
    <row r="28" customFormat="false" ht="18.75" hidden="false" customHeight="true" outlineLevel="0" collapsed="false">
      <c r="A28" s="350" t="s">
        <v>210</v>
      </c>
      <c r="B28" s="336" t="s">
        <v>211</v>
      </c>
      <c r="C28" s="329"/>
      <c r="D28" s="336" t="s">
        <v>212</v>
      </c>
      <c r="E28" s="293"/>
      <c r="F28" s="394"/>
      <c r="G28" s="56" t="s">
        <v>27</v>
      </c>
      <c r="H28" s="57"/>
      <c r="I28" s="394"/>
      <c r="J28" s="394"/>
      <c r="K28" s="394"/>
      <c r="L28" s="394"/>
      <c r="M28" s="394"/>
      <c r="N28" s="394"/>
      <c r="O28" s="394"/>
      <c r="P28" s="394"/>
      <c r="Q28" s="394"/>
      <c r="R28" s="394"/>
      <c r="S28" s="394"/>
      <c r="T28" s="394"/>
      <c r="U28" s="394"/>
      <c r="V28" s="394"/>
      <c r="W28" s="394"/>
      <c r="X28" s="394"/>
      <c r="Y28" s="394"/>
      <c r="Z28" s="394"/>
    </row>
    <row r="29" customFormat="false" ht="18.75" hidden="false" customHeight="true" outlineLevel="0" collapsed="false">
      <c r="A29" s="408" t="s">
        <v>213</v>
      </c>
      <c r="B29" s="217" t="n">
        <v>12345</v>
      </c>
      <c r="C29" s="217"/>
      <c r="D29" s="409" t="n">
        <f aca="true">TODAY()+1</f>
        <v>45008</v>
      </c>
      <c r="E29" s="409"/>
      <c r="F29" s="394"/>
      <c r="G29" s="53" t="s">
        <v>214</v>
      </c>
      <c r="H29" s="61" t="n">
        <f aca="false">A32</f>
        <v>12</v>
      </c>
      <c r="I29" s="443" t="n">
        <f aca="false">ISNUMBER(I31)</f>
        <v>0</v>
      </c>
      <c r="J29" s="394"/>
      <c r="K29" s="394"/>
      <c r="L29" s="394"/>
      <c r="M29" s="394"/>
      <c r="N29" s="394"/>
      <c r="O29" s="394"/>
      <c r="P29" s="394"/>
      <c r="Q29" s="394"/>
      <c r="R29" s="394"/>
      <c r="S29" s="394"/>
      <c r="T29" s="394"/>
      <c r="U29" s="394"/>
      <c r="V29" s="394"/>
      <c r="W29" s="394"/>
      <c r="X29" s="394"/>
      <c r="Y29" s="394"/>
      <c r="Z29" s="394"/>
    </row>
    <row r="30" customFormat="false" ht="18.75" hidden="false" customHeight="true" outlineLevel="0" collapsed="false">
      <c r="A30" s="291"/>
      <c r="B30" s="21"/>
      <c r="C30" s="21"/>
      <c r="D30" s="329"/>
      <c r="E30" s="293"/>
      <c r="F30" s="394"/>
      <c r="G30" s="53" t="s">
        <v>31</v>
      </c>
      <c r="H30" s="61" t="n">
        <f aca="false">B32</f>
        <v>5000</v>
      </c>
      <c r="I30" s="394"/>
      <c r="J30" s="394"/>
      <c r="K30" s="394"/>
      <c r="L30" s="394"/>
      <c r="M30" s="394"/>
      <c r="N30" s="394"/>
      <c r="O30" s="394"/>
      <c r="P30" s="394"/>
      <c r="Q30" s="394"/>
      <c r="R30" s="394"/>
      <c r="S30" s="394"/>
      <c r="T30" s="394"/>
      <c r="U30" s="394"/>
      <c r="V30" s="394"/>
      <c r="W30" s="394"/>
      <c r="X30" s="394"/>
      <c r="Y30" s="394"/>
      <c r="Z30" s="394"/>
    </row>
    <row r="31" customFormat="false" ht="18.75" hidden="false" customHeight="true" outlineLevel="0" collapsed="false">
      <c r="A31" s="350" t="s">
        <v>174</v>
      </c>
      <c r="B31" s="336" t="s">
        <v>175</v>
      </c>
      <c r="C31" s="329"/>
      <c r="D31" s="336" t="s">
        <v>223</v>
      </c>
      <c r="E31" s="293"/>
      <c r="F31" s="394"/>
      <c r="G31" s="53" t="s">
        <v>32</v>
      </c>
      <c r="H31" s="410" t="str">
        <f aca="false">A41</f>
        <v>6000</v>
      </c>
      <c r="I31" s="394"/>
      <c r="J31" s="394"/>
      <c r="K31" s="394"/>
      <c r="L31" s="394"/>
      <c r="M31" s="394"/>
      <c r="N31" s="394"/>
      <c r="O31" s="394"/>
      <c r="P31" s="394"/>
      <c r="Q31" s="394"/>
      <c r="R31" s="394"/>
      <c r="S31" s="394"/>
      <c r="T31" s="394"/>
      <c r="U31" s="394"/>
      <c r="V31" s="394"/>
      <c r="W31" s="394"/>
      <c r="X31" s="394"/>
      <c r="Y31" s="394"/>
      <c r="Z31" s="394"/>
    </row>
    <row r="32" customFormat="false" ht="18.75" hidden="false" customHeight="true" outlineLevel="0" collapsed="false">
      <c r="A32" s="60" t="n">
        <v>12</v>
      </c>
      <c r="B32" s="217" t="n">
        <v>5000</v>
      </c>
      <c r="C32" s="217"/>
      <c r="D32" s="60" t="n">
        <f aca="false">(A32/12)*B32</f>
        <v>5000</v>
      </c>
      <c r="E32" s="60"/>
      <c r="F32" s="394"/>
      <c r="G32" s="53" t="s">
        <v>35</v>
      </c>
      <c r="H32" s="410" t="n">
        <f aca="false">A44*A32</f>
        <v>0</v>
      </c>
      <c r="I32" s="394"/>
      <c r="J32" s="394"/>
      <c r="K32" s="394"/>
      <c r="L32" s="394"/>
      <c r="M32" s="394"/>
      <c r="N32" s="394"/>
      <c r="O32" s="394"/>
      <c r="P32" s="394"/>
      <c r="Q32" s="394"/>
      <c r="R32" s="394"/>
      <c r="S32" s="394"/>
      <c r="T32" s="394"/>
      <c r="U32" s="394"/>
      <c r="V32" s="394"/>
      <c r="W32" s="394"/>
      <c r="X32" s="394"/>
      <c r="Y32" s="394"/>
      <c r="Z32" s="394"/>
    </row>
    <row r="33" customFormat="false" ht="18.75" hidden="false" customHeight="true" outlineLevel="0" collapsed="false">
      <c r="A33" s="222"/>
      <c r="B33" s="411"/>
      <c r="C33" s="223"/>
      <c r="D33" s="412"/>
      <c r="E33" s="293"/>
      <c r="F33" s="394"/>
      <c r="G33" s="56"/>
      <c r="H33" s="66"/>
      <c r="I33" s="394"/>
      <c r="J33" s="394"/>
      <c r="K33" s="394"/>
      <c r="L33" s="394"/>
      <c r="M33" s="394"/>
      <c r="N33" s="394"/>
      <c r="O33" s="394"/>
      <c r="P33" s="394"/>
      <c r="Q33" s="394"/>
      <c r="R33" s="394"/>
      <c r="S33" s="394"/>
      <c r="T33" s="394"/>
      <c r="U33" s="394"/>
      <c r="V33" s="394"/>
      <c r="W33" s="394"/>
      <c r="X33" s="394"/>
      <c r="Y33" s="394"/>
      <c r="Z33" s="394"/>
    </row>
    <row r="34" customFormat="false" ht="18.75" hidden="false" customHeight="true" outlineLevel="0" collapsed="false">
      <c r="A34" s="222" t="s">
        <v>239</v>
      </c>
      <c r="B34" s="224" t="s">
        <v>325</v>
      </c>
      <c r="C34" s="223" t="s">
        <v>4</v>
      </c>
      <c r="D34" s="64" t="s">
        <v>327</v>
      </c>
      <c r="E34" s="293"/>
      <c r="F34" s="394"/>
      <c r="G34" s="2"/>
      <c r="H34" s="2"/>
      <c r="I34" s="394"/>
      <c r="J34" s="394"/>
      <c r="K34" s="394"/>
      <c r="L34" s="394"/>
      <c r="M34" s="394"/>
      <c r="N34" s="394"/>
      <c r="O34" s="394"/>
      <c r="P34" s="394"/>
      <c r="Q34" s="394"/>
      <c r="R34" s="394"/>
      <c r="S34" s="394"/>
      <c r="T34" s="394"/>
      <c r="U34" s="394"/>
      <c r="V34" s="394"/>
      <c r="W34" s="394"/>
      <c r="X34" s="394"/>
      <c r="Y34" s="394"/>
      <c r="Z34" s="394"/>
    </row>
    <row r="35" customFormat="false" ht="18.75" hidden="false" customHeight="true" outlineLevel="0" collapsed="false">
      <c r="A35" s="123" t="n">
        <f aca="false">E9+E10+E13+E14</f>
        <v>48877.5</v>
      </c>
      <c r="B35" s="217" t="s">
        <v>328</v>
      </c>
      <c r="C35" s="217"/>
      <c r="D35" s="364" t="n">
        <f aca="false">A35-B35</f>
        <v>47877.5</v>
      </c>
      <c r="E35" s="364"/>
      <c r="F35" s="394"/>
      <c r="G35" s="68" t="s">
        <v>40</v>
      </c>
      <c r="H35" s="413" t="n">
        <v>0.065</v>
      </c>
      <c r="I35" s="394"/>
      <c r="J35" s="394"/>
      <c r="K35" s="394"/>
      <c r="L35" s="394"/>
      <c r="M35" s="394"/>
      <c r="N35" s="394"/>
      <c r="O35" s="394"/>
      <c r="P35" s="394"/>
      <c r="Q35" s="394"/>
      <c r="R35" s="394"/>
      <c r="S35" s="394"/>
      <c r="T35" s="394"/>
      <c r="U35" s="394"/>
      <c r="V35" s="394"/>
      <c r="W35" s="394"/>
      <c r="X35" s="394"/>
      <c r="Y35" s="394"/>
      <c r="Z35" s="394"/>
    </row>
    <row r="36" customFormat="false" ht="18.75" hidden="false" customHeight="true" outlineLevel="0" collapsed="false">
      <c r="A36" s="291"/>
      <c r="B36" s="329"/>
      <c r="C36" s="329"/>
      <c r="D36" s="329"/>
      <c r="E36" s="293"/>
      <c r="F36" s="394"/>
      <c r="G36" s="2" t="s">
        <v>41</v>
      </c>
      <c r="H36" s="2" t="n">
        <f aca="false">B38</f>
        <v>11</v>
      </c>
      <c r="I36" s="394"/>
      <c r="J36" s="394"/>
      <c r="K36" s="394"/>
      <c r="L36" s="394"/>
      <c r="M36" s="394"/>
      <c r="N36" s="394"/>
      <c r="O36" s="394"/>
      <c r="P36" s="394"/>
      <c r="Q36" s="394"/>
      <c r="R36" s="394"/>
      <c r="S36" s="394"/>
      <c r="T36" s="394"/>
      <c r="U36" s="394"/>
      <c r="V36" s="394"/>
      <c r="W36" s="394"/>
      <c r="X36" s="394"/>
      <c r="Y36" s="394"/>
      <c r="Z36" s="394"/>
    </row>
    <row r="37" customFormat="false" ht="18.75" hidden="false" customHeight="true" outlineLevel="0" collapsed="false">
      <c r="A37" s="350" t="s">
        <v>152</v>
      </c>
      <c r="B37" s="336" t="s">
        <v>329</v>
      </c>
      <c r="C37" s="329" t="s">
        <v>4</v>
      </c>
      <c r="D37" s="336" t="s">
        <v>330</v>
      </c>
      <c r="E37" s="293"/>
      <c r="F37" s="394"/>
      <c r="G37" s="2"/>
      <c r="H37" s="2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394"/>
      <c r="V37" s="394"/>
      <c r="W37" s="394"/>
      <c r="X37" s="394"/>
      <c r="Y37" s="394"/>
      <c r="Z37" s="394"/>
    </row>
    <row r="38" customFormat="false" ht="18.75" hidden="false" customHeight="true" outlineLevel="0" collapsed="false">
      <c r="A38" s="217" t="s">
        <v>232</v>
      </c>
      <c r="B38" s="233" t="n">
        <f aca="false">A32-1</f>
        <v>11</v>
      </c>
      <c r="C38" s="233"/>
      <c r="D38" s="60" t="s">
        <v>226</v>
      </c>
      <c r="E38" s="60"/>
      <c r="F38" s="394"/>
      <c r="G38" s="71" t="s">
        <v>42</v>
      </c>
      <c r="H38" s="71"/>
      <c r="I38" s="2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94"/>
    </row>
    <row r="39" customFormat="false" ht="18.75" hidden="false" customHeight="true" outlineLevel="0" collapsed="false">
      <c r="A39" s="229"/>
      <c r="B39" s="223"/>
      <c r="C39" s="223"/>
      <c r="D39" s="329"/>
      <c r="E39" s="293"/>
      <c r="F39" s="394"/>
      <c r="G39" s="2" t="s">
        <v>331</v>
      </c>
      <c r="H39" s="2" t="str">
        <f aca="false">D38</f>
        <v>500</v>
      </c>
      <c r="I39" s="2"/>
      <c r="J39" s="2"/>
      <c r="K39" s="394"/>
      <c r="L39" s="394"/>
      <c r="M39" s="394"/>
      <c r="N39" s="394"/>
      <c r="O39" s="394"/>
      <c r="P39" s="394"/>
      <c r="Q39" s="394"/>
      <c r="R39" s="394"/>
      <c r="S39" s="394"/>
      <c r="T39" s="394"/>
      <c r="U39" s="394"/>
      <c r="V39" s="394"/>
      <c r="W39" s="394"/>
      <c r="X39" s="394"/>
      <c r="Y39" s="394"/>
      <c r="Z39" s="394"/>
    </row>
    <row r="40" customFormat="false" ht="18.75" hidden="false" customHeight="true" outlineLevel="0" collapsed="false">
      <c r="A40" s="230" t="s">
        <v>332</v>
      </c>
      <c r="B40" s="231" t="s">
        <v>333</v>
      </c>
      <c r="C40" s="223"/>
      <c r="D40" s="73" t="s">
        <v>334</v>
      </c>
      <c r="E40" s="293"/>
      <c r="F40" s="394" t="s">
        <v>4</v>
      </c>
      <c r="G40" s="2" t="s">
        <v>335</v>
      </c>
      <c r="H40" s="2" t="n">
        <f aca="false">E11</f>
        <v>9647.5</v>
      </c>
      <c r="I40" s="2"/>
      <c r="J40" s="394"/>
      <c r="K40" s="394"/>
      <c r="L40" s="394"/>
      <c r="M40" s="394"/>
      <c r="N40" s="394"/>
      <c r="O40" s="394"/>
      <c r="P40" s="394"/>
      <c r="Q40" s="394"/>
      <c r="R40" s="394"/>
      <c r="S40" s="394"/>
      <c r="T40" s="394"/>
      <c r="U40" s="394"/>
      <c r="V40" s="394"/>
      <c r="W40" s="394"/>
      <c r="X40" s="394"/>
      <c r="Y40" s="394"/>
      <c r="Z40" s="394"/>
    </row>
    <row r="41" customFormat="false" ht="18.75" hidden="false" customHeight="true" outlineLevel="0" collapsed="false">
      <c r="A41" s="60" t="s">
        <v>336</v>
      </c>
      <c r="B41" s="60" t="s">
        <v>337</v>
      </c>
      <c r="C41" s="60"/>
      <c r="D41" s="217" t="s">
        <v>9</v>
      </c>
      <c r="E41" s="217"/>
      <c r="F41" s="394"/>
      <c r="G41" s="2" t="s">
        <v>338</v>
      </c>
      <c r="H41" s="2" t="n">
        <f aca="false">IF(D41="Yes",A44, 0)</f>
        <v>0</v>
      </c>
      <c r="I41" s="2" t="s">
        <v>4</v>
      </c>
      <c r="J41" s="394"/>
      <c r="K41" s="394"/>
      <c r="L41" s="394"/>
      <c r="M41" s="394"/>
      <c r="N41" s="394"/>
      <c r="O41" s="394"/>
      <c r="P41" s="394"/>
      <c r="Q41" s="394"/>
      <c r="R41" s="394"/>
      <c r="S41" s="394"/>
      <c r="T41" s="394"/>
      <c r="U41" s="394"/>
      <c r="V41" s="394"/>
      <c r="W41" s="394"/>
      <c r="X41" s="394"/>
      <c r="Y41" s="394"/>
      <c r="Z41" s="394"/>
    </row>
    <row r="42" customFormat="false" ht="18.75" hidden="false" customHeight="true" outlineLevel="0" collapsed="false">
      <c r="A42" s="229"/>
      <c r="B42" s="223"/>
      <c r="C42" s="223"/>
      <c r="D42" s="223"/>
      <c r="E42" s="236"/>
      <c r="F42" s="394"/>
      <c r="G42" s="2" t="s">
        <v>332</v>
      </c>
      <c r="H42" s="2" t="str">
        <f aca="false">A41</f>
        <v>6000</v>
      </c>
      <c r="I42" s="2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94"/>
    </row>
    <row r="43" customFormat="false" ht="18.75" hidden="false" customHeight="true" outlineLevel="0" collapsed="false">
      <c r="A43" s="336" t="s">
        <v>91</v>
      </c>
      <c r="B43" s="231" t="s">
        <v>180</v>
      </c>
      <c r="C43" s="223" t="s">
        <v>4</v>
      </c>
      <c r="D43" s="231" t="s">
        <v>181</v>
      </c>
      <c r="E43" s="236"/>
      <c r="F43" s="394"/>
      <c r="G43" s="2" t="s">
        <v>339</v>
      </c>
      <c r="H43" s="2" t="n">
        <f aca="false">A32</f>
        <v>12</v>
      </c>
      <c r="I43" s="2"/>
      <c r="J43" s="394"/>
      <c r="K43" s="394"/>
      <c r="L43" s="394"/>
      <c r="M43" s="394"/>
      <c r="N43" s="394"/>
      <c r="O43" s="394"/>
      <c r="P43" s="394"/>
      <c r="Q43" s="394"/>
      <c r="R43" s="394"/>
      <c r="S43" s="394"/>
      <c r="T43" s="394"/>
      <c r="U43" s="394"/>
      <c r="V43" s="394"/>
      <c r="W43" s="394"/>
      <c r="X43" s="394"/>
      <c r="Y43" s="394"/>
      <c r="Z43" s="394"/>
    </row>
    <row r="44" customFormat="false" ht="18.75" hidden="false" customHeight="true" outlineLevel="0" collapsed="false">
      <c r="A44" s="60" t="n">
        <v>0</v>
      </c>
      <c r="B44" s="60" t="s">
        <v>341</v>
      </c>
      <c r="C44" s="60"/>
      <c r="D44" s="60" t="n">
        <v>0</v>
      </c>
      <c r="E44" s="60"/>
      <c r="F44" s="394"/>
      <c r="G44" s="2" t="s">
        <v>342</v>
      </c>
      <c r="H44" s="2" t="n">
        <f aca="false">((H40-(((H42/(1.2))*0.2)))/(H43))</f>
        <v>720.625</v>
      </c>
      <c r="I44" s="238" t="n">
        <f aca="false">((A41*(B35-1))+D32)/B35</f>
        <v>5999</v>
      </c>
      <c r="J44" s="394"/>
      <c r="K44" s="394"/>
      <c r="L44" s="394"/>
      <c r="M44" s="394"/>
      <c r="N44" s="394"/>
      <c r="O44" s="394"/>
      <c r="P44" s="394"/>
      <c r="Q44" s="394"/>
      <c r="R44" s="394"/>
      <c r="S44" s="394"/>
      <c r="T44" s="394"/>
      <c r="U44" s="394"/>
      <c r="V44" s="394"/>
      <c r="W44" s="394"/>
      <c r="X44" s="394"/>
      <c r="Y44" s="394"/>
      <c r="Z44" s="394"/>
    </row>
    <row r="45" customFormat="false" ht="18.75" hidden="false" customHeight="true" outlineLevel="0" collapsed="false">
      <c r="A45" s="229"/>
      <c r="B45" s="223"/>
      <c r="C45" s="223"/>
      <c r="D45" s="223"/>
      <c r="E45" s="236"/>
      <c r="F45" s="394"/>
      <c r="G45" s="2" t="s">
        <v>343</v>
      </c>
      <c r="H45" s="2" t="n">
        <f aca="false">(H39-H44)+H41</f>
        <v>-220.625</v>
      </c>
      <c r="I45" s="2"/>
      <c r="J45" s="394"/>
      <c r="K45" s="394"/>
      <c r="L45" s="394"/>
      <c r="M45" s="394"/>
      <c r="N45" s="394"/>
      <c r="O45" s="394"/>
      <c r="P45" s="394"/>
      <c r="Q45" s="394"/>
      <c r="R45" s="394"/>
      <c r="S45" s="394"/>
      <c r="T45" s="394"/>
      <c r="U45" s="394"/>
      <c r="V45" s="394"/>
      <c r="W45" s="394"/>
      <c r="X45" s="394"/>
      <c r="Y45" s="394"/>
      <c r="Z45" s="394"/>
    </row>
    <row r="46" customFormat="false" ht="18.75" hidden="false" customHeight="true" outlineLevel="0" collapsed="false">
      <c r="A46" s="230" t="s">
        <v>239</v>
      </c>
      <c r="B46" s="223" t="s">
        <v>344</v>
      </c>
      <c r="C46" s="223" t="s">
        <v>4</v>
      </c>
      <c r="D46" s="223"/>
      <c r="E46" s="236"/>
      <c r="F46" s="394" t="n">
        <v>0</v>
      </c>
      <c r="G46" s="2" t="s">
        <v>345</v>
      </c>
      <c r="H46" s="2" t="n">
        <v>0</v>
      </c>
      <c r="I46" s="2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94"/>
    </row>
    <row r="47" customFormat="false" ht="18.75" hidden="false" customHeight="true" outlineLevel="0" collapsed="false">
      <c r="A47" s="123" t="s">
        <v>239</v>
      </c>
      <c r="B47" s="223"/>
      <c r="C47" s="223"/>
      <c r="D47" s="223"/>
      <c r="E47" s="236"/>
      <c r="F47" s="394"/>
      <c r="G47" s="2" t="s">
        <v>346</v>
      </c>
      <c r="H47" s="2" t="n">
        <f aca="false">A38/H29</f>
        <v>1</v>
      </c>
      <c r="I47" s="2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394"/>
      <c r="V47" s="394"/>
      <c r="W47" s="394"/>
      <c r="X47" s="394"/>
      <c r="Y47" s="394"/>
      <c r="Z47" s="394"/>
    </row>
    <row r="48" customFormat="false" ht="18.75" hidden="false" customHeight="true" outlineLevel="0" collapsed="false">
      <c r="A48" s="229"/>
      <c r="B48" s="223"/>
      <c r="C48" s="223"/>
      <c r="D48" s="223"/>
      <c r="E48" s="236"/>
      <c r="F48" s="394"/>
      <c r="G48" s="86" t="s">
        <v>347</v>
      </c>
      <c r="H48" s="2" t="n">
        <f aca="false">B41/H29</f>
        <v>1.66666666666667</v>
      </c>
      <c r="I48" s="2"/>
      <c r="J48" s="394"/>
      <c r="K48" s="394"/>
      <c r="L48" s="394"/>
      <c r="M48" s="394"/>
      <c r="N48" s="394"/>
      <c r="O48" s="394"/>
      <c r="P48" s="394"/>
      <c r="Q48" s="394"/>
      <c r="R48" s="394"/>
      <c r="S48" s="394"/>
      <c r="T48" s="394"/>
      <c r="U48" s="394"/>
      <c r="V48" s="394"/>
      <c r="W48" s="394"/>
      <c r="X48" s="394"/>
      <c r="Y48" s="394"/>
      <c r="Z48" s="394"/>
    </row>
    <row r="49" customFormat="false" ht="18.75" hidden="false" customHeight="true" outlineLevel="0" collapsed="false">
      <c r="A49" s="229"/>
      <c r="B49" s="223"/>
      <c r="C49" s="223"/>
      <c r="D49" s="223"/>
      <c r="E49" s="236"/>
      <c r="F49" s="394"/>
      <c r="G49" s="86" t="s">
        <v>348</v>
      </c>
      <c r="H49" s="2" t="n">
        <f aca="false">H45+H48+H47</f>
        <v>-217.958333333333</v>
      </c>
      <c r="I49" s="2"/>
      <c r="J49" s="394"/>
      <c r="K49" s="394"/>
      <c r="L49" s="394"/>
      <c r="M49" s="394"/>
      <c r="N49" s="394"/>
      <c r="O49" s="394"/>
      <c r="P49" s="394"/>
      <c r="Q49" s="394"/>
      <c r="R49" s="394"/>
      <c r="S49" s="394"/>
      <c r="T49" s="394"/>
      <c r="U49" s="394"/>
      <c r="V49" s="394"/>
      <c r="W49" s="394"/>
      <c r="X49" s="394"/>
      <c r="Y49" s="394"/>
      <c r="Z49" s="394"/>
    </row>
    <row r="50" customFormat="false" ht="18.75" hidden="false" customHeight="true" outlineLevel="0" collapsed="false">
      <c r="A50" s="123"/>
      <c r="B50" s="223"/>
      <c r="C50" s="223"/>
      <c r="D50" s="223"/>
      <c r="E50" s="236"/>
      <c r="F50" s="394"/>
      <c r="G50" s="2" t="s">
        <v>349</v>
      </c>
      <c r="H50" s="2" t="n">
        <f aca="false">H49-H41</f>
        <v>-217.958333333333</v>
      </c>
      <c r="I50" s="2"/>
      <c r="J50" s="394"/>
      <c r="K50" s="394"/>
      <c r="L50" s="394"/>
      <c r="M50" s="394"/>
      <c r="N50" s="394"/>
      <c r="O50" s="394"/>
      <c r="P50" s="394"/>
      <c r="Q50" s="394"/>
      <c r="R50" s="394"/>
      <c r="S50" s="394"/>
      <c r="T50" s="394"/>
      <c r="U50" s="394"/>
      <c r="V50" s="394"/>
      <c r="W50" s="394"/>
      <c r="X50" s="394"/>
      <c r="Y50" s="394"/>
      <c r="Z50" s="394"/>
    </row>
    <row r="51" customFormat="false" ht="18.75" hidden="false" customHeight="true" outlineLevel="0" collapsed="false">
      <c r="A51" s="229"/>
      <c r="B51" s="223"/>
      <c r="C51" s="223"/>
      <c r="D51" s="223"/>
      <c r="E51" s="236"/>
      <c r="F51" s="394"/>
      <c r="G51" s="394"/>
      <c r="H51" s="2"/>
      <c r="I51" s="2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394"/>
      <c r="V51" s="394"/>
      <c r="W51" s="394"/>
      <c r="X51" s="394"/>
      <c r="Y51" s="394"/>
      <c r="Z51" s="394"/>
    </row>
    <row r="52" customFormat="false" ht="18.75" hidden="false" customHeight="true" outlineLevel="0" collapsed="false">
      <c r="A52" s="251"/>
      <c r="B52" s="92"/>
      <c r="C52" s="92"/>
      <c r="D52" s="223"/>
      <c r="E52" s="236"/>
      <c r="F52" s="394"/>
      <c r="G52" s="394"/>
      <c r="H52" s="2"/>
      <c r="I52" s="2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94"/>
    </row>
    <row r="53" customFormat="false" ht="18.75" hidden="false" customHeight="true" outlineLevel="0" collapsed="false">
      <c r="A53" s="229"/>
      <c r="B53" s="223"/>
      <c r="C53" s="223"/>
      <c r="D53" s="223"/>
      <c r="E53" s="236"/>
      <c r="F53" s="394"/>
      <c r="G53" s="394"/>
      <c r="H53" s="2"/>
      <c r="I53" s="2"/>
      <c r="J53" s="394"/>
      <c r="K53" s="394"/>
      <c r="L53" s="394"/>
      <c r="M53" s="394"/>
      <c r="N53" s="394"/>
      <c r="O53" s="394"/>
      <c r="P53" s="394"/>
      <c r="Q53" s="394"/>
      <c r="R53" s="394"/>
      <c r="S53" s="394"/>
      <c r="T53" s="394"/>
      <c r="U53" s="394"/>
      <c r="V53" s="394"/>
      <c r="W53" s="394"/>
      <c r="X53" s="394"/>
      <c r="Y53" s="394"/>
      <c r="Z53" s="394"/>
    </row>
    <row r="54" customFormat="false" ht="18.75" hidden="false" customHeight="true" outlineLevel="0" collapsed="false">
      <c r="A54" s="324" t="s">
        <v>239</v>
      </c>
      <c r="B54" s="329"/>
      <c r="C54" s="329"/>
      <c r="D54" s="325"/>
      <c r="E54" s="326"/>
      <c r="F54" s="394"/>
      <c r="G54" s="394"/>
      <c r="H54" s="2"/>
      <c r="I54" s="2"/>
      <c r="J54" s="394"/>
      <c r="K54" s="394"/>
      <c r="L54" s="394"/>
      <c r="M54" s="394"/>
      <c r="N54" s="394"/>
      <c r="O54" s="394"/>
      <c r="P54" s="394"/>
      <c r="Q54" s="394"/>
      <c r="R54" s="394"/>
      <c r="S54" s="394"/>
      <c r="T54" s="394"/>
      <c r="U54" s="394"/>
      <c r="V54" s="394"/>
      <c r="W54" s="394"/>
      <c r="X54" s="394"/>
      <c r="Y54" s="394"/>
      <c r="Z54" s="394"/>
    </row>
    <row r="55" customFormat="false" ht="18.75" hidden="false" customHeight="true" outlineLevel="0" collapsed="false">
      <c r="A55" s="291"/>
      <c r="B55" s="327"/>
      <c r="C55" s="327"/>
      <c r="D55" s="329"/>
      <c r="E55" s="293"/>
      <c r="F55" s="394"/>
      <c r="G55" s="394"/>
      <c r="H55" s="414"/>
      <c r="I55" s="2"/>
      <c r="J55" s="394"/>
      <c r="K55" s="394"/>
      <c r="L55" s="394"/>
      <c r="M55" s="394"/>
      <c r="N55" s="394"/>
      <c r="O55" s="394"/>
      <c r="P55" s="394"/>
      <c r="Q55" s="394"/>
      <c r="R55" s="394"/>
      <c r="S55" s="394"/>
      <c r="T55" s="394"/>
      <c r="U55" s="394"/>
      <c r="V55" s="394"/>
      <c r="W55" s="394"/>
      <c r="X55" s="394"/>
      <c r="Y55" s="394"/>
      <c r="Z55" s="394"/>
    </row>
    <row r="56" customFormat="false" ht="18.75" hidden="false" customHeight="true" outlineLevel="0" collapsed="false">
      <c r="A56" s="248" t="s">
        <v>28</v>
      </c>
      <c r="B56" s="249" t="s">
        <v>33</v>
      </c>
      <c r="C56" s="249"/>
      <c r="D56" s="329"/>
      <c r="E56" s="293"/>
      <c r="F56" s="394"/>
      <c r="G56" s="394"/>
      <c r="H56" s="394"/>
      <c r="I56" s="2"/>
      <c r="J56" s="394"/>
      <c r="K56" s="394"/>
      <c r="L56" s="394"/>
      <c r="M56" s="394"/>
      <c r="N56" s="394"/>
      <c r="O56" s="394"/>
      <c r="P56" s="394"/>
      <c r="Q56" s="394"/>
      <c r="R56" s="394"/>
      <c r="S56" s="394"/>
      <c r="T56" s="394"/>
      <c r="U56" s="394"/>
      <c r="V56" s="394"/>
      <c r="W56" s="394"/>
      <c r="X56" s="394"/>
      <c r="Y56" s="394"/>
      <c r="Z56" s="394"/>
    </row>
    <row r="57" customFormat="false" ht="18.75" hidden="false" customHeight="true" outlineLevel="0" collapsed="false">
      <c r="A57" s="248"/>
      <c r="B57" s="250" t="n">
        <f aca="false">H30</f>
        <v>5000</v>
      </c>
      <c r="C57" s="250"/>
      <c r="D57" s="329"/>
      <c r="E57" s="293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394"/>
      <c r="V57" s="394"/>
      <c r="W57" s="394"/>
      <c r="X57" s="394"/>
      <c r="Y57" s="394"/>
      <c r="Z57" s="394"/>
    </row>
    <row r="58" customFormat="false" ht="18.75" hidden="false" customHeight="true" outlineLevel="0" collapsed="false">
      <c r="A58" s="251" t="n">
        <f aca="false">H29</f>
        <v>12</v>
      </c>
      <c r="B58" s="92" t="n">
        <f aca="false">H49</f>
        <v>-217.958333333333</v>
      </c>
      <c r="C58" s="92"/>
      <c r="D58" s="444"/>
      <c r="E58" s="293"/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394"/>
      <c r="S58" s="394"/>
      <c r="T58" s="394"/>
      <c r="U58" s="394"/>
      <c r="V58" s="394"/>
      <c r="W58" s="394"/>
      <c r="X58" s="394"/>
      <c r="Y58" s="394"/>
      <c r="Z58" s="394"/>
    </row>
    <row r="59" customFormat="false" ht="18.75" hidden="false" customHeight="true" outlineLevel="0" collapsed="false">
      <c r="A59" s="291"/>
      <c r="B59" s="329"/>
      <c r="C59" s="329"/>
      <c r="D59" s="329"/>
      <c r="E59" s="293"/>
      <c r="F59" s="394"/>
      <c r="G59" s="394"/>
      <c r="H59" s="394"/>
      <c r="I59" s="394"/>
      <c r="J59" s="394"/>
      <c r="K59" s="394"/>
      <c r="L59" s="394"/>
      <c r="M59" s="394"/>
      <c r="N59" s="394"/>
      <c r="O59" s="394"/>
      <c r="P59" s="394"/>
      <c r="Q59" s="394"/>
      <c r="R59" s="394"/>
      <c r="S59" s="394"/>
      <c r="T59" s="394"/>
      <c r="U59" s="394"/>
      <c r="V59" s="394"/>
      <c r="W59" s="394"/>
      <c r="X59" s="394"/>
      <c r="Y59" s="394"/>
      <c r="Z59" s="394"/>
    </row>
    <row r="60" customFormat="false" ht="18.75" hidden="false" customHeight="true" outlineLevel="0" collapsed="false">
      <c r="A60" s="342"/>
      <c r="B60" s="343"/>
      <c r="C60" s="343"/>
      <c r="D60" s="343"/>
      <c r="E60" s="344"/>
      <c r="F60" s="394"/>
      <c r="G60" s="394"/>
      <c r="H60" s="394"/>
      <c r="I60" s="394"/>
      <c r="J60" s="394"/>
      <c r="K60" s="394"/>
      <c r="L60" s="394"/>
      <c r="M60" s="394"/>
      <c r="N60" s="394"/>
      <c r="O60" s="394"/>
      <c r="P60" s="394"/>
      <c r="Q60" s="394"/>
      <c r="R60" s="394"/>
      <c r="S60" s="394"/>
      <c r="T60" s="394"/>
      <c r="U60" s="394"/>
      <c r="V60" s="394"/>
      <c r="W60" s="394"/>
      <c r="X60" s="394"/>
      <c r="Y60" s="394"/>
      <c r="Z60" s="394"/>
    </row>
    <row r="61" customFormat="false" ht="18.75" hidden="false" customHeight="true" outlineLevel="0" collapsed="false">
      <c r="A61" s="292"/>
      <c r="B61" s="292"/>
      <c r="C61" s="292"/>
      <c r="D61" s="292"/>
      <c r="E61" s="292"/>
      <c r="F61" s="394"/>
      <c r="G61" s="292"/>
      <c r="H61" s="292"/>
      <c r="I61" s="292"/>
      <c r="J61" s="292"/>
      <c r="K61" s="292"/>
      <c r="L61" s="394"/>
      <c r="M61" s="292"/>
      <c r="N61" s="292"/>
      <c r="O61" s="292"/>
      <c r="P61" s="292"/>
      <c r="Q61" s="292"/>
      <c r="R61" s="394"/>
      <c r="S61" s="394"/>
      <c r="T61" s="394"/>
      <c r="U61" s="394"/>
      <c r="V61" s="394"/>
      <c r="W61" s="394"/>
      <c r="X61" s="394"/>
      <c r="Y61" s="394"/>
      <c r="Z61" s="394"/>
    </row>
    <row r="62" customFormat="false" ht="18.75" hidden="false" customHeight="true" outlineLevel="0" collapsed="false">
      <c r="A62" s="415"/>
      <c r="B62" s="416"/>
      <c r="C62" s="416"/>
      <c r="D62" s="416"/>
      <c r="E62" s="417"/>
      <c r="F62" s="394"/>
      <c r="G62" s="415"/>
      <c r="H62" s="416"/>
      <c r="I62" s="416"/>
      <c r="J62" s="416"/>
      <c r="K62" s="417"/>
      <c r="L62" s="394"/>
      <c r="M62" s="415"/>
      <c r="N62" s="416"/>
      <c r="O62" s="416"/>
      <c r="P62" s="416"/>
      <c r="Q62" s="417"/>
      <c r="R62" s="394"/>
      <c r="S62" s="394"/>
      <c r="T62" s="394"/>
      <c r="U62" s="394"/>
      <c r="V62" s="394"/>
      <c r="W62" s="394"/>
      <c r="X62" s="394"/>
      <c r="Y62" s="394"/>
      <c r="Z62" s="394"/>
    </row>
    <row r="63" customFormat="false" ht="18.75" hidden="false" customHeight="true" outlineLevel="0" collapsed="false">
      <c r="A63" s="291" t="s">
        <v>46</v>
      </c>
      <c r="B63" s="292" t="n">
        <f aca="false">IF(B105=Z103,1,IF(B105=Z104,1,IF(B105=Z105,3,IF(B105=Z106,6,IF(B105=Z107,9,IF(B105=Z108,12,IF(B105=Z109,3,IF(B105=Z110,6,IF(B105=Z111,9,0)))))))))</f>
        <v>9</v>
      </c>
      <c r="C63" s="292"/>
      <c r="D63" s="292"/>
      <c r="E63" s="293"/>
      <c r="F63" s="394"/>
      <c r="G63" s="291" t="s">
        <v>46</v>
      </c>
      <c r="H63" s="292" t="n">
        <f aca="false">IF(H105=Y103,1,IF(H105=Y104,1,IF(H105=Y105,3,IF(H105=Y106,6,IF(H105=Y107,9,IF(H105=Y108,12,IF(H105=Y109,3,IF(H105=Y110,6,IF(H105=Y111,9,0)))))))))</f>
        <v>0</v>
      </c>
      <c r="I63" s="292"/>
      <c r="J63" s="292"/>
      <c r="K63" s="293"/>
      <c r="L63" s="394"/>
      <c r="M63" s="291" t="s">
        <v>46</v>
      </c>
      <c r="N63" s="292" t="n">
        <f aca="false">IF(N105=Y103,1,IF(N105=Y104,1,IF(N105=Y105,3,IF(N105=Y106,6,IF(N105=Y107,9,IF(N105=Y108,12,IF(N105=Y109,3,IF(N105=Y110,6,IF(N105=Y111,9,0)))))))))</f>
        <v>0</v>
      </c>
      <c r="O63" s="292"/>
      <c r="P63" s="292"/>
      <c r="Q63" s="293"/>
      <c r="R63" s="394"/>
      <c r="S63" s="394"/>
      <c r="T63" s="394"/>
      <c r="U63" s="394"/>
      <c r="V63" s="394"/>
      <c r="W63" s="394"/>
      <c r="X63" s="394"/>
      <c r="Y63" s="394"/>
      <c r="Z63" s="394"/>
    </row>
    <row r="64" customFormat="false" ht="18.75" hidden="false" customHeight="true" outlineLevel="0" collapsed="false">
      <c r="A64" s="291" t="s">
        <v>60</v>
      </c>
      <c r="B64" s="292" t="n">
        <f aca="false">IF(B105=Z103,H29-B63,IF(B105=Z104,H29-B63,IF(B105=Z105,H29-1,IF(B105=Z106,H29-1,IF(B105=Z107,H29-1,IF(B105=Z108,H29-1,IF(B105=Z109,H29-B63,IF(B105=Z110,H29-B63,IF(B105=Z111,H29-B63,0)))))))))</f>
        <v>3</v>
      </c>
      <c r="C64" s="292" t="s">
        <v>4</v>
      </c>
      <c r="D64" s="292"/>
      <c r="E64" s="293"/>
      <c r="F64" s="394"/>
      <c r="G64" s="291" t="s">
        <v>60</v>
      </c>
      <c r="H64" s="292" t="n">
        <f aca="false">IF(H105=Y103,H29-H63,IF(H105=Y104,H29-H63,IF(H105=Y105,H29-1,IF(H105=Y106,H29-1,IF(H105=Y107,H29-1,IF(H105=Y108,H29-1,IF(H105=Y109,H29-H63,IF(H105=Y110,H29-H63,IF(H105=Y111,H29-H63,0)))))))))</f>
        <v>0</v>
      </c>
      <c r="I64" s="292"/>
      <c r="J64" s="292"/>
      <c r="K64" s="293"/>
      <c r="L64" s="394"/>
      <c r="M64" s="291" t="s">
        <v>60</v>
      </c>
      <c r="N64" s="292" t="n">
        <f aca="false">IF(N105=Y103,H29-N63,IF(N105=Y104,H29-N63,IF(N105=Y105,H29-1,IF(N105=Y106,H29-1,IF(N105=Y107,H29-1,IF(N105=Y108,H29-1,IF(N105=Y109,H29-N63,IF(N105=Y110,H29-N63,IF(N105=Y111,H29-N63,0)))))))))</f>
        <v>0</v>
      </c>
      <c r="O64" s="292"/>
      <c r="P64" s="292"/>
      <c r="Q64" s="293"/>
      <c r="R64" s="394"/>
      <c r="S64" s="394"/>
      <c r="T64" s="394"/>
      <c r="U64" s="394"/>
      <c r="V64" s="394"/>
      <c r="W64" s="394"/>
      <c r="X64" s="394"/>
      <c r="Y64" s="394"/>
      <c r="Z64" s="394"/>
    </row>
    <row r="65" customFormat="false" ht="18.75" hidden="false" customHeight="true" outlineLevel="0" collapsed="false">
      <c r="A65" s="291"/>
      <c r="C65" s="292"/>
      <c r="D65" s="292"/>
      <c r="E65" s="293"/>
      <c r="F65" s="394"/>
      <c r="G65" s="291"/>
      <c r="H65" s="292"/>
      <c r="I65" s="292"/>
      <c r="J65" s="292"/>
      <c r="K65" s="293"/>
      <c r="L65" s="394"/>
      <c r="M65" s="291"/>
      <c r="N65" s="292"/>
      <c r="O65" s="292"/>
      <c r="P65" s="292"/>
      <c r="Q65" s="293"/>
      <c r="R65" s="394"/>
      <c r="S65" s="394"/>
      <c r="T65" s="394"/>
      <c r="U65" s="394"/>
      <c r="V65" s="394"/>
      <c r="W65" s="394"/>
      <c r="X65" s="394"/>
      <c r="Y65" s="394"/>
      <c r="Z65" s="394"/>
    </row>
    <row r="66" customFormat="false" ht="18.75" hidden="false" customHeight="true" outlineLevel="0" collapsed="false">
      <c r="A66" s="291"/>
      <c r="B66" s="292"/>
      <c r="C66" s="292"/>
      <c r="D66" s="292"/>
      <c r="E66" s="293"/>
      <c r="F66" s="394"/>
      <c r="G66" s="291"/>
      <c r="H66" s="292"/>
      <c r="I66" s="292"/>
      <c r="J66" s="292"/>
      <c r="K66" s="293"/>
      <c r="L66" s="394"/>
      <c r="M66" s="291"/>
      <c r="N66" s="292"/>
      <c r="O66" s="292"/>
      <c r="P66" s="292"/>
      <c r="Q66" s="293"/>
      <c r="R66" s="394"/>
      <c r="S66" s="394"/>
      <c r="T66" s="394"/>
      <c r="U66" s="394"/>
      <c r="V66" s="394"/>
      <c r="W66" s="394"/>
      <c r="X66" s="394"/>
      <c r="Y66" s="394"/>
      <c r="Z66" s="394"/>
    </row>
    <row r="67" customFormat="false" ht="18.75" hidden="false" customHeight="true" outlineLevel="0" collapsed="false">
      <c r="A67" s="291" t="s">
        <v>16</v>
      </c>
      <c r="B67" s="178" t="n">
        <f aca="false">G18</f>
        <v>57885</v>
      </c>
      <c r="C67" s="292"/>
      <c r="D67" s="292"/>
      <c r="E67" s="293"/>
      <c r="F67" s="394"/>
      <c r="G67" s="291" t="s">
        <v>16</v>
      </c>
      <c r="H67" s="178" t="n">
        <f aca="false">G18</f>
        <v>57885</v>
      </c>
      <c r="I67" s="292"/>
      <c r="J67" s="292"/>
      <c r="K67" s="293"/>
      <c r="L67" s="394"/>
      <c r="M67" s="291" t="s">
        <v>16</v>
      </c>
      <c r="N67" s="178" t="n">
        <f aca="false">G18</f>
        <v>57885</v>
      </c>
      <c r="O67" s="292"/>
      <c r="P67" s="292"/>
      <c r="Q67" s="293"/>
      <c r="R67" s="394"/>
      <c r="S67" s="394"/>
      <c r="T67" s="394"/>
      <c r="U67" s="394"/>
      <c r="V67" s="394"/>
      <c r="W67" s="394"/>
      <c r="X67" s="394"/>
      <c r="Y67" s="394"/>
      <c r="Z67" s="394"/>
    </row>
    <row r="68" customFormat="false" ht="18.75" hidden="false" customHeight="true" outlineLevel="0" collapsed="false">
      <c r="A68" s="418" t="s">
        <v>241</v>
      </c>
      <c r="B68" s="419" t="n">
        <v>0.07</v>
      </c>
      <c r="C68" s="292"/>
      <c r="D68" s="292"/>
      <c r="E68" s="293"/>
      <c r="F68" s="394"/>
      <c r="G68" s="418" t="s">
        <v>241</v>
      </c>
      <c r="H68" s="419" t="n">
        <v>0.07</v>
      </c>
      <c r="I68" s="292"/>
      <c r="J68" s="292"/>
      <c r="K68" s="293"/>
      <c r="L68" s="394"/>
      <c r="M68" s="418" t="s">
        <v>241</v>
      </c>
      <c r="N68" s="419" t="n">
        <v>0.07</v>
      </c>
      <c r="O68" s="292"/>
      <c r="P68" s="292"/>
      <c r="Q68" s="293"/>
      <c r="R68" s="394"/>
      <c r="S68" s="394"/>
      <c r="T68" s="394"/>
      <c r="U68" s="394"/>
      <c r="V68" s="394"/>
      <c r="W68" s="394"/>
      <c r="X68" s="394"/>
      <c r="Y68" s="394"/>
      <c r="Z68" s="394"/>
    </row>
    <row r="69" customFormat="false" ht="18.75" hidden="false" customHeight="true" outlineLevel="0" collapsed="false">
      <c r="A69" s="291" t="s">
        <v>242</v>
      </c>
      <c r="B69" s="352" t="n">
        <f aca="false">B68+(B68*0.25*(H29/12-1))</f>
        <v>0.07</v>
      </c>
      <c r="C69" s="292"/>
      <c r="D69" s="292"/>
      <c r="E69" s="293"/>
      <c r="F69" s="394"/>
      <c r="G69" s="291" t="s">
        <v>242</v>
      </c>
      <c r="H69" s="352" t="n">
        <f aca="false">H68+(H68*0.25*(H29/12-1))</f>
        <v>0.07</v>
      </c>
      <c r="I69" s="292"/>
      <c r="J69" s="292"/>
      <c r="K69" s="293"/>
      <c r="L69" s="394"/>
      <c r="M69" s="291" t="s">
        <v>242</v>
      </c>
      <c r="N69" s="352" t="n">
        <f aca="false">N68+(N68*0.25*(H29/12-1))</f>
        <v>0.07</v>
      </c>
      <c r="O69" s="292"/>
      <c r="P69" s="292"/>
      <c r="Q69" s="293"/>
      <c r="R69" s="394"/>
      <c r="S69" s="394"/>
      <c r="T69" s="394"/>
      <c r="U69" s="394"/>
      <c r="V69" s="394"/>
      <c r="W69" s="394"/>
      <c r="X69" s="394"/>
      <c r="Y69" s="394"/>
      <c r="Z69" s="394"/>
    </row>
    <row r="70" customFormat="false" ht="18.75" hidden="false" customHeight="true" outlineLevel="0" collapsed="false">
      <c r="A70" s="342" t="s">
        <v>65</v>
      </c>
      <c r="B70" s="82" t="n">
        <f aca="false">B67*B69</f>
        <v>4051.95</v>
      </c>
      <c r="C70" s="292" t="n">
        <v>10000</v>
      </c>
      <c r="D70" s="178" t="n">
        <f aca="false">B70-A149</f>
        <v>4051.95</v>
      </c>
      <c r="E70" s="293" t="n">
        <f aca="false">D70/12</f>
        <v>337.6625</v>
      </c>
      <c r="F70" s="394"/>
      <c r="G70" s="342" t="s">
        <v>65</v>
      </c>
      <c r="H70" s="82" t="n">
        <f aca="false">H67*H69</f>
        <v>4051.95</v>
      </c>
      <c r="I70" s="292"/>
      <c r="J70" s="178" t="n">
        <f aca="false">H70-G151</f>
        <v>4051.95</v>
      </c>
      <c r="K70" s="293"/>
      <c r="L70" s="394"/>
      <c r="M70" s="342" t="s">
        <v>65</v>
      </c>
      <c r="N70" s="82" t="n">
        <f aca="false">N67*N69</f>
        <v>4051.95</v>
      </c>
      <c r="O70" s="292"/>
      <c r="P70" s="178" t="n">
        <f aca="false">N70-M151</f>
        <v>4051.95</v>
      </c>
      <c r="Q70" s="293"/>
      <c r="R70" s="394"/>
      <c r="S70" s="394"/>
      <c r="T70" s="394"/>
      <c r="U70" s="394"/>
      <c r="V70" s="394"/>
      <c r="W70" s="394"/>
      <c r="X70" s="394"/>
      <c r="Y70" s="394"/>
      <c r="Z70" s="394"/>
    </row>
    <row r="71" customFormat="false" ht="18.75" hidden="false" customHeight="true" outlineLevel="0" collapsed="false">
      <c r="A71" s="418" t="s">
        <v>66</v>
      </c>
      <c r="B71" s="419" t="n">
        <v>0.01</v>
      </c>
      <c r="C71" s="292"/>
      <c r="D71" s="292"/>
      <c r="E71" s="293"/>
      <c r="F71" s="394"/>
      <c r="G71" s="418" t="s">
        <v>66</v>
      </c>
      <c r="H71" s="419" t="n">
        <v>0.005</v>
      </c>
      <c r="I71" s="292"/>
      <c r="J71" s="292"/>
      <c r="K71" s="293"/>
      <c r="L71" s="394"/>
      <c r="M71" s="418" t="s">
        <v>66</v>
      </c>
      <c r="N71" s="419" t="n">
        <v>0.005</v>
      </c>
      <c r="O71" s="292"/>
      <c r="P71" s="292"/>
      <c r="Q71" s="293"/>
      <c r="R71" s="394"/>
      <c r="S71" s="394"/>
      <c r="T71" s="394"/>
      <c r="U71" s="394"/>
      <c r="V71" s="394"/>
      <c r="W71" s="394"/>
      <c r="X71" s="394"/>
      <c r="Y71" s="394"/>
      <c r="Z71" s="394"/>
    </row>
    <row r="72" customFormat="false" ht="18.75" hidden="false" customHeight="true" outlineLevel="0" collapsed="false">
      <c r="A72" s="291" t="s">
        <v>67</v>
      </c>
      <c r="B72" s="352" t="n">
        <f aca="false">B71+(B71*0.5*(H29/12-1))</f>
        <v>0.01</v>
      </c>
      <c r="C72" s="292"/>
      <c r="D72" s="292"/>
      <c r="E72" s="293"/>
      <c r="F72" s="394"/>
      <c r="G72" s="291" t="s">
        <v>67</v>
      </c>
      <c r="H72" s="352" t="n">
        <f aca="false">H71+(H71*0.5*(H29/12-1))</f>
        <v>0.005</v>
      </c>
      <c r="I72" s="292"/>
      <c r="J72" s="292"/>
      <c r="K72" s="293"/>
      <c r="L72" s="394"/>
      <c r="M72" s="291" t="s">
        <v>67</v>
      </c>
      <c r="N72" s="352" t="n">
        <f aca="false">N71+(N71*0.5*(H29/12-1))</f>
        <v>0.005</v>
      </c>
      <c r="O72" s="292"/>
      <c r="P72" s="292"/>
      <c r="Q72" s="293"/>
      <c r="R72" s="394"/>
      <c r="S72" s="394"/>
      <c r="T72" s="394"/>
      <c r="U72" s="394"/>
      <c r="V72" s="394"/>
      <c r="W72" s="394"/>
      <c r="X72" s="394"/>
      <c r="Y72" s="394"/>
      <c r="Z72" s="394"/>
    </row>
    <row r="73" customFormat="false" ht="18.75" hidden="false" customHeight="true" outlineLevel="0" collapsed="false">
      <c r="A73" s="342" t="s">
        <v>68</v>
      </c>
      <c r="B73" s="82" t="n">
        <f aca="false">B67*B72</f>
        <v>578.85</v>
      </c>
      <c r="C73" s="292"/>
      <c r="D73" s="178"/>
      <c r="E73" s="293"/>
      <c r="F73" s="394"/>
      <c r="G73" s="342" t="s">
        <v>68</v>
      </c>
      <c r="H73" s="82" t="n">
        <f aca="false">H67*H72</f>
        <v>289.425</v>
      </c>
      <c r="I73" s="292"/>
      <c r="J73" s="178"/>
      <c r="K73" s="293"/>
      <c r="L73" s="394"/>
      <c r="M73" s="342" t="s">
        <v>68</v>
      </c>
      <c r="N73" s="82" t="n">
        <f aca="false">N67*N72</f>
        <v>289.425</v>
      </c>
      <c r="O73" s="292"/>
      <c r="P73" s="178"/>
      <c r="Q73" s="293"/>
      <c r="R73" s="394"/>
      <c r="S73" s="394"/>
      <c r="T73" s="394"/>
      <c r="U73" s="394"/>
      <c r="V73" s="394"/>
      <c r="W73" s="394"/>
      <c r="X73" s="394"/>
      <c r="Y73" s="394"/>
      <c r="Z73" s="394"/>
    </row>
    <row r="74" customFormat="false" ht="18.75" hidden="false" customHeight="true" outlineLevel="0" collapsed="false">
      <c r="A74" s="418" t="s">
        <v>69</v>
      </c>
      <c r="B74" s="419" t="n">
        <v>0.0075</v>
      </c>
      <c r="C74" s="292"/>
      <c r="D74" s="292"/>
      <c r="E74" s="293"/>
      <c r="F74" s="394"/>
      <c r="G74" s="418" t="s">
        <v>69</v>
      </c>
      <c r="H74" s="419" t="n">
        <v>0.0075</v>
      </c>
      <c r="I74" s="292"/>
      <c r="J74" s="292"/>
      <c r="K74" s="293"/>
      <c r="L74" s="394"/>
      <c r="M74" s="418" t="s">
        <v>69</v>
      </c>
      <c r="N74" s="419" t="n">
        <v>0.0075</v>
      </c>
      <c r="O74" s="292"/>
      <c r="P74" s="292"/>
      <c r="Q74" s="293"/>
      <c r="R74" s="394"/>
      <c r="S74" s="394"/>
      <c r="T74" s="394"/>
      <c r="U74" s="394"/>
      <c r="V74" s="394"/>
      <c r="W74" s="394"/>
      <c r="X74" s="394"/>
      <c r="Y74" s="394"/>
      <c r="Z74" s="394"/>
    </row>
    <row r="75" customFormat="false" ht="18.75" hidden="false" customHeight="true" outlineLevel="0" collapsed="false">
      <c r="A75" s="397" t="s">
        <v>70</v>
      </c>
      <c r="B75" s="420" t="n">
        <v>0.12</v>
      </c>
      <c r="C75" s="292"/>
      <c r="D75" s="292"/>
      <c r="E75" s="293"/>
      <c r="F75" s="394"/>
      <c r="G75" s="397" t="s">
        <v>70</v>
      </c>
      <c r="H75" s="420" t="n">
        <v>0.12</v>
      </c>
      <c r="I75" s="292"/>
      <c r="J75" s="292"/>
      <c r="K75" s="293"/>
      <c r="L75" s="394"/>
      <c r="M75" s="397" t="s">
        <v>70</v>
      </c>
      <c r="N75" s="420" t="n">
        <v>0.12</v>
      </c>
      <c r="O75" s="292"/>
      <c r="P75" s="292"/>
      <c r="Q75" s="293"/>
      <c r="R75" s="394"/>
      <c r="S75" s="394"/>
      <c r="T75" s="394"/>
      <c r="U75" s="394"/>
      <c r="V75" s="394"/>
      <c r="W75" s="394"/>
      <c r="X75" s="394"/>
      <c r="Y75" s="394"/>
      <c r="Z75" s="394"/>
    </row>
    <row r="76" customFormat="false" ht="18.75" hidden="false" customHeight="true" outlineLevel="0" collapsed="false">
      <c r="A76" s="342" t="s">
        <v>71</v>
      </c>
      <c r="B76" s="421" t="n">
        <f aca="false">B74*(1+B75)</f>
        <v>0.0084</v>
      </c>
      <c r="C76" s="292"/>
      <c r="D76" s="292"/>
      <c r="E76" s="293"/>
      <c r="F76" s="394"/>
      <c r="G76" s="342" t="s">
        <v>71</v>
      </c>
      <c r="H76" s="421" t="n">
        <f aca="false">H74*(1+H75)</f>
        <v>0.0084</v>
      </c>
      <c r="I76" s="292"/>
      <c r="J76" s="292"/>
      <c r="K76" s="293"/>
      <c r="L76" s="394"/>
      <c r="M76" s="342" t="s">
        <v>71</v>
      </c>
      <c r="N76" s="421" t="n">
        <f aca="false">N74*(1+N75)</f>
        <v>0.0084</v>
      </c>
      <c r="O76" s="292"/>
      <c r="P76" s="292"/>
      <c r="Q76" s="293"/>
      <c r="R76" s="394"/>
      <c r="S76" s="394"/>
      <c r="T76" s="394"/>
      <c r="U76" s="394"/>
      <c r="V76" s="394"/>
      <c r="W76" s="394"/>
      <c r="X76" s="394"/>
      <c r="Y76" s="394"/>
      <c r="Z76" s="394"/>
    </row>
    <row r="77" customFormat="false" ht="18.75" hidden="false" customHeight="true" outlineLevel="0" collapsed="false">
      <c r="A77" s="418" t="s">
        <v>72</v>
      </c>
      <c r="B77" s="105" t="n">
        <v>200</v>
      </c>
      <c r="C77" s="292"/>
      <c r="D77" s="292"/>
      <c r="E77" s="293"/>
      <c r="F77" s="394"/>
      <c r="G77" s="418" t="s">
        <v>72</v>
      </c>
      <c r="H77" s="105" t="n">
        <v>160</v>
      </c>
      <c r="I77" s="292"/>
      <c r="J77" s="292"/>
      <c r="K77" s="293"/>
      <c r="L77" s="394"/>
      <c r="M77" s="418" t="s">
        <v>72</v>
      </c>
      <c r="N77" s="105" t="n">
        <v>160</v>
      </c>
      <c r="O77" s="292"/>
      <c r="P77" s="292"/>
      <c r="Q77" s="293"/>
      <c r="R77" s="394"/>
      <c r="S77" s="394"/>
      <c r="T77" s="394"/>
      <c r="U77" s="394"/>
      <c r="V77" s="394"/>
      <c r="W77" s="394"/>
      <c r="X77" s="394"/>
      <c r="Y77" s="394"/>
      <c r="Z77" s="394"/>
    </row>
    <row r="78" customFormat="false" ht="18.75" hidden="false" customHeight="true" outlineLevel="0" collapsed="false">
      <c r="A78" s="397" t="s">
        <v>73</v>
      </c>
      <c r="B78" s="96" t="n">
        <v>5</v>
      </c>
      <c r="C78" s="292"/>
      <c r="D78" s="292"/>
      <c r="E78" s="293"/>
      <c r="F78" s="394"/>
      <c r="G78" s="397" t="s">
        <v>73</v>
      </c>
      <c r="H78" s="96" t="n">
        <v>4.5</v>
      </c>
      <c r="I78" s="292"/>
      <c r="J78" s="292"/>
      <c r="K78" s="293"/>
      <c r="L78" s="394"/>
      <c r="M78" s="397" t="s">
        <v>73</v>
      </c>
      <c r="N78" s="96" t="n">
        <v>4.5</v>
      </c>
      <c r="O78" s="292"/>
      <c r="P78" s="292"/>
      <c r="Q78" s="293"/>
      <c r="R78" s="394"/>
      <c r="S78" s="394"/>
      <c r="T78" s="394"/>
      <c r="U78" s="394"/>
      <c r="V78" s="394"/>
      <c r="W78" s="394"/>
      <c r="X78" s="394"/>
      <c r="Y78" s="394"/>
      <c r="Z78" s="394"/>
    </row>
    <row r="79" customFormat="false" ht="18.75" hidden="false" customHeight="true" outlineLevel="0" collapsed="false">
      <c r="A79" s="342" t="s">
        <v>74</v>
      </c>
      <c r="B79" s="82" t="n">
        <f aca="false">B78*H29</f>
        <v>60</v>
      </c>
      <c r="C79" s="292"/>
      <c r="D79" s="178" t="n">
        <f aca="false">B79+B77</f>
        <v>260</v>
      </c>
      <c r="E79" s="422" t="n">
        <f aca="false">D79+D85+D86</f>
        <v>660</v>
      </c>
      <c r="F79" s="394"/>
      <c r="G79" s="342" t="s">
        <v>74</v>
      </c>
      <c r="H79" s="82" t="n">
        <f aca="false">H78*H29</f>
        <v>54</v>
      </c>
      <c r="I79" s="292"/>
      <c r="J79" s="178" t="n">
        <f aca="false">H79+H77</f>
        <v>214</v>
      </c>
      <c r="K79" s="293"/>
      <c r="L79" s="394"/>
      <c r="M79" s="342" t="s">
        <v>74</v>
      </c>
      <c r="N79" s="82" t="n">
        <f aca="false">N78*H29</f>
        <v>54</v>
      </c>
      <c r="O79" s="292"/>
      <c r="P79" s="178" t="n">
        <f aca="false">N79+N77</f>
        <v>214</v>
      </c>
      <c r="Q79" s="293"/>
      <c r="R79" s="394"/>
      <c r="S79" s="394"/>
      <c r="T79" s="394"/>
      <c r="U79" s="394"/>
      <c r="V79" s="394"/>
      <c r="W79" s="394"/>
      <c r="X79" s="394"/>
      <c r="Y79" s="394"/>
      <c r="Z79" s="394"/>
    </row>
    <row r="80" customFormat="false" ht="18.75" hidden="false" customHeight="true" outlineLevel="0" collapsed="false">
      <c r="A80" s="418" t="s">
        <v>243</v>
      </c>
      <c r="B80" s="105" t="n">
        <v>165</v>
      </c>
      <c r="C80" s="292"/>
      <c r="D80" s="292"/>
      <c r="E80" s="422" t="n">
        <f aca="false">E79+D82</f>
        <v>703.333333333333</v>
      </c>
      <c r="F80" s="394"/>
      <c r="G80" s="418" t="s">
        <v>243</v>
      </c>
      <c r="H80" s="105" t="n">
        <v>150</v>
      </c>
      <c r="I80" s="292"/>
      <c r="J80" s="292"/>
      <c r="K80" s="293"/>
      <c r="L80" s="394"/>
      <c r="M80" s="423" t="s">
        <v>243</v>
      </c>
      <c r="N80" s="424" t="n">
        <v>0</v>
      </c>
      <c r="O80" s="292"/>
      <c r="P80" s="292"/>
      <c r="Q80" s="293"/>
      <c r="R80" s="394"/>
      <c r="S80" s="394"/>
      <c r="T80" s="394"/>
      <c r="U80" s="394"/>
      <c r="V80" s="394"/>
      <c r="W80" s="394"/>
      <c r="X80" s="394"/>
      <c r="Y80" s="394"/>
      <c r="Z80" s="394"/>
    </row>
    <row r="81" customFormat="false" ht="18.75" hidden="false" customHeight="true" outlineLevel="0" collapsed="false">
      <c r="A81" s="397" t="s">
        <v>244</v>
      </c>
      <c r="B81" s="96" t="n">
        <v>355</v>
      </c>
      <c r="C81" s="292"/>
      <c r="D81" s="292"/>
      <c r="E81" s="293" t="n">
        <f aca="false">E80/12</f>
        <v>58.6111111111111</v>
      </c>
      <c r="F81" s="394"/>
      <c r="G81" s="397" t="s">
        <v>244</v>
      </c>
      <c r="H81" s="96" t="n">
        <f aca="false">IF(G18&gt;40000, 325, 0)</f>
        <v>325</v>
      </c>
      <c r="I81" s="292"/>
      <c r="J81" s="292"/>
      <c r="K81" s="293"/>
      <c r="L81" s="394"/>
      <c r="M81" s="425" t="s">
        <v>244</v>
      </c>
      <c r="N81" s="426" t="n">
        <v>0</v>
      </c>
      <c r="O81" s="292"/>
      <c r="P81" s="292"/>
      <c r="Q81" s="293"/>
      <c r="R81" s="394"/>
      <c r="S81" s="394"/>
      <c r="T81" s="394"/>
      <c r="U81" s="394"/>
      <c r="V81" s="394"/>
      <c r="W81" s="394"/>
      <c r="X81" s="394"/>
      <c r="Y81" s="394"/>
      <c r="Z81" s="394"/>
    </row>
    <row r="82" customFormat="false" ht="18.75" hidden="false" customHeight="true" outlineLevel="0" collapsed="false">
      <c r="A82" s="342" t="s">
        <v>245</v>
      </c>
      <c r="B82" s="82" t="n">
        <f aca="false">((B80+B81)/12)*(H29-11)</f>
        <v>43.3333333333333</v>
      </c>
      <c r="C82" s="292"/>
      <c r="D82" s="178" t="n">
        <f aca="false">IF(A50="YES", 0, B82)</f>
        <v>43.3333333333333</v>
      </c>
      <c r="E82" s="293"/>
      <c r="F82" s="394"/>
      <c r="G82" s="342" t="s">
        <v>245</v>
      </c>
      <c r="H82" s="82" t="n">
        <f aca="false">((H80+H81)/12)*(H29-11)</f>
        <v>39.5833333333333</v>
      </c>
      <c r="I82" s="292"/>
      <c r="J82" s="178" t="n">
        <f aca="false">IF(A50="YES", 0, H82)</f>
        <v>39.5833333333333</v>
      </c>
      <c r="K82" s="293"/>
      <c r="L82" s="394"/>
      <c r="M82" s="427" t="s">
        <v>245</v>
      </c>
      <c r="N82" s="428" t="n">
        <f aca="false">((N80+N81)/12)*(H29-11)</f>
        <v>0</v>
      </c>
      <c r="O82" s="292"/>
      <c r="P82" s="178" t="n">
        <f aca="false">IF(A50="YES", 0, N82)</f>
        <v>0</v>
      </c>
      <c r="Q82" s="293"/>
      <c r="R82" s="394"/>
      <c r="S82" s="394"/>
      <c r="T82" s="394"/>
      <c r="U82" s="394"/>
      <c r="V82" s="394"/>
      <c r="W82" s="394"/>
      <c r="X82" s="394"/>
      <c r="Y82" s="394"/>
      <c r="Z82" s="394"/>
    </row>
    <row r="83" customFormat="false" ht="18.75" hidden="false" customHeight="true" outlineLevel="0" collapsed="false">
      <c r="A83" s="418" t="s">
        <v>246</v>
      </c>
      <c r="B83" s="105" t="n">
        <f aca="false">B108/(1-0.1)</f>
        <v>444.444444444444</v>
      </c>
      <c r="C83" s="292"/>
      <c r="D83" s="178" t="n">
        <f aca="false">B83</f>
        <v>444.444444444444</v>
      </c>
      <c r="E83" s="293" t="n">
        <f aca="false">D83/12</f>
        <v>37.037037037037</v>
      </c>
      <c r="F83" s="394"/>
      <c r="G83" s="418" t="s">
        <v>246</v>
      </c>
      <c r="H83" s="105" t="n">
        <f aca="false">H108</f>
        <v>1200</v>
      </c>
      <c r="I83" s="292"/>
      <c r="J83" s="178" t="n">
        <f aca="false">H83</f>
        <v>1200</v>
      </c>
      <c r="K83" s="293"/>
      <c r="L83" s="394"/>
      <c r="M83" s="418" t="s">
        <v>246</v>
      </c>
      <c r="N83" s="105" t="n">
        <f aca="false">N108</f>
        <v>1200</v>
      </c>
      <c r="O83" s="292"/>
      <c r="P83" s="178" t="n">
        <f aca="false">N83</f>
        <v>1200</v>
      </c>
      <c r="Q83" s="293"/>
      <c r="R83" s="394"/>
      <c r="S83" s="394"/>
      <c r="T83" s="394"/>
      <c r="U83" s="394"/>
      <c r="V83" s="394"/>
      <c r="W83" s="394"/>
      <c r="X83" s="394"/>
      <c r="Y83" s="394"/>
      <c r="Z83" s="394"/>
    </row>
    <row r="84" customFormat="false" ht="18.75" hidden="false" customHeight="true" outlineLevel="0" collapsed="false">
      <c r="A84" s="291" t="s">
        <v>247</v>
      </c>
      <c r="B84" s="20" t="n">
        <f aca="false">D108/(1-0.1)</f>
        <v>222.222222222222</v>
      </c>
      <c r="C84" s="292"/>
      <c r="D84" s="178" t="n">
        <f aca="false">B84</f>
        <v>222.222222222222</v>
      </c>
      <c r="E84" s="293"/>
      <c r="F84" s="394"/>
      <c r="G84" s="291" t="s">
        <v>248</v>
      </c>
      <c r="H84" s="20" t="n">
        <f aca="false">J108</f>
        <v>1500</v>
      </c>
      <c r="I84" s="292"/>
      <c r="J84" s="178" t="n">
        <f aca="false">H84</f>
        <v>1500</v>
      </c>
      <c r="K84" s="293"/>
      <c r="L84" s="394"/>
      <c r="M84" s="291" t="s">
        <v>248</v>
      </c>
      <c r="N84" s="20" t="n">
        <f aca="false">P108</f>
        <v>1500</v>
      </c>
      <c r="O84" s="292"/>
      <c r="P84" s="178" t="n">
        <f aca="false">N84</f>
        <v>1500</v>
      </c>
      <c r="Q84" s="293"/>
      <c r="R84" s="394"/>
      <c r="S84" s="394"/>
      <c r="T84" s="394"/>
      <c r="U84" s="394"/>
      <c r="V84" s="394"/>
      <c r="W84" s="394"/>
      <c r="X84" s="394"/>
      <c r="Y84" s="394"/>
      <c r="Z84" s="394"/>
    </row>
    <row r="85" customFormat="false" ht="18.75" hidden="false" customHeight="true" outlineLevel="0" collapsed="false">
      <c r="A85" s="397" t="s">
        <v>75</v>
      </c>
      <c r="B85" s="96" t="n">
        <v>200</v>
      </c>
      <c r="C85" s="292"/>
      <c r="D85" s="178" t="n">
        <f aca="false">B85</f>
        <v>200</v>
      </c>
      <c r="E85" s="293"/>
      <c r="F85" s="394"/>
      <c r="G85" s="397" t="s">
        <v>75</v>
      </c>
      <c r="H85" s="96" t="n">
        <v>100</v>
      </c>
      <c r="I85" s="292"/>
      <c r="J85" s="178" t="n">
        <f aca="false">H85</f>
        <v>100</v>
      </c>
      <c r="K85" s="293"/>
      <c r="L85" s="394"/>
      <c r="M85" s="397" t="s">
        <v>75</v>
      </c>
      <c r="N85" s="96" t="n">
        <v>100</v>
      </c>
      <c r="O85" s="292"/>
      <c r="P85" s="178" t="n">
        <f aca="false">N85</f>
        <v>100</v>
      </c>
      <c r="Q85" s="293"/>
      <c r="R85" s="394"/>
      <c r="S85" s="394"/>
      <c r="T85" s="394"/>
      <c r="U85" s="394"/>
      <c r="V85" s="394"/>
      <c r="W85" s="394"/>
      <c r="X85" s="394"/>
      <c r="Y85" s="394"/>
      <c r="Z85" s="394"/>
    </row>
    <row r="86" customFormat="false" ht="18.75" hidden="false" customHeight="true" outlineLevel="0" collapsed="false">
      <c r="A86" s="429" t="s">
        <v>76</v>
      </c>
      <c r="B86" s="106" t="n">
        <v>200</v>
      </c>
      <c r="C86" s="292"/>
      <c r="D86" s="178" t="n">
        <f aca="false">B86</f>
        <v>200</v>
      </c>
      <c r="E86" s="293"/>
      <c r="F86" s="394"/>
      <c r="G86" s="429" t="s">
        <v>76</v>
      </c>
      <c r="H86" s="106" t="n">
        <v>100</v>
      </c>
      <c r="I86" s="292"/>
      <c r="J86" s="178" t="n">
        <f aca="false">H86</f>
        <v>100</v>
      </c>
      <c r="K86" s="293"/>
      <c r="L86" s="394"/>
      <c r="M86" s="429" t="s">
        <v>76</v>
      </c>
      <c r="N86" s="106" t="n">
        <v>100</v>
      </c>
      <c r="O86" s="292"/>
      <c r="P86" s="178" t="n">
        <f aca="false">N86</f>
        <v>100</v>
      </c>
      <c r="Q86" s="293"/>
      <c r="R86" s="394"/>
      <c r="S86" s="394"/>
      <c r="T86" s="394"/>
      <c r="U86" s="394"/>
      <c r="V86" s="394"/>
      <c r="W86" s="394"/>
      <c r="X86" s="394"/>
      <c r="Y86" s="394"/>
      <c r="Z86" s="394"/>
    </row>
    <row r="87" customFormat="false" ht="18.75" hidden="false" customHeight="true" outlineLevel="0" collapsed="false">
      <c r="A87" s="430" t="s">
        <v>77</v>
      </c>
      <c r="B87" s="431" t="n">
        <f aca="false">SUM(D70:D86)</f>
        <v>5421.95</v>
      </c>
      <c r="C87" s="292"/>
      <c r="D87" s="292"/>
      <c r="E87" s="293"/>
      <c r="F87" s="394"/>
      <c r="G87" s="430" t="s">
        <v>77</v>
      </c>
      <c r="H87" s="431" t="n">
        <f aca="false">SUM(J70:J86)</f>
        <v>7205.53333333333</v>
      </c>
      <c r="I87" s="292"/>
      <c r="J87" s="292"/>
      <c r="K87" s="293"/>
      <c r="L87" s="394"/>
      <c r="M87" s="430" t="s">
        <v>77</v>
      </c>
      <c r="N87" s="431" t="n">
        <f aca="false">SUM(P70:P86)</f>
        <v>7165.95</v>
      </c>
      <c r="O87" s="292"/>
      <c r="P87" s="292"/>
      <c r="Q87" s="293"/>
      <c r="R87" s="394"/>
      <c r="S87" s="394"/>
      <c r="T87" s="394"/>
      <c r="U87" s="394"/>
      <c r="V87" s="394"/>
      <c r="W87" s="394"/>
      <c r="X87" s="394"/>
      <c r="Y87" s="394"/>
      <c r="Z87" s="394"/>
    </row>
    <row r="88" customFormat="false" ht="18.75" hidden="false" customHeight="true" outlineLevel="0" collapsed="false">
      <c r="A88" s="291" t="s">
        <v>78</v>
      </c>
      <c r="B88" s="20" t="n">
        <f aca="false">B87/H29</f>
        <v>451.829166666667</v>
      </c>
      <c r="C88" s="292"/>
      <c r="D88" s="292"/>
      <c r="E88" s="293"/>
      <c r="F88" s="394"/>
      <c r="G88" s="291" t="s">
        <v>78</v>
      </c>
      <c r="H88" s="20" t="n">
        <f aca="false">H87/H29</f>
        <v>600.461111111111</v>
      </c>
      <c r="I88" s="292"/>
      <c r="J88" s="292"/>
      <c r="K88" s="293"/>
      <c r="L88" s="394"/>
      <c r="M88" s="291" t="s">
        <v>78</v>
      </c>
      <c r="N88" s="20" t="n">
        <f aca="false">N87/H29</f>
        <v>597.1625</v>
      </c>
      <c r="O88" s="292"/>
      <c r="P88" s="292"/>
      <c r="Q88" s="293"/>
      <c r="R88" s="394"/>
      <c r="S88" s="394"/>
      <c r="T88" s="394"/>
      <c r="U88" s="394"/>
      <c r="V88" s="394"/>
      <c r="W88" s="394"/>
      <c r="X88" s="394"/>
      <c r="Y88" s="394"/>
      <c r="Z88" s="394"/>
    </row>
    <row r="89" customFormat="false" ht="18.75" hidden="false" customHeight="true" outlineLevel="0" collapsed="false">
      <c r="A89" s="432" t="s">
        <v>79</v>
      </c>
      <c r="B89" s="77" t="n">
        <f aca="false">H50</f>
        <v>-217.958333333333</v>
      </c>
      <c r="C89" s="292"/>
      <c r="D89" s="292"/>
      <c r="E89" s="293"/>
      <c r="F89" s="394"/>
      <c r="G89" s="432" t="s">
        <v>79</v>
      </c>
      <c r="H89" s="77" t="n">
        <f aca="false">H46</f>
        <v>0</v>
      </c>
      <c r="I89" s="292"/>
      <c r="J89" s="292"/>
      <c r="K89" s="293"/>
      <c r="L89" s="394"/>
      <c r="M89" s="432" t="s">
        <v>79</v>
      </c>
      <c r="N89" s="77" t="n">
        <f aca="false">H46</f>
        <v>0</v>
      </c>
      <c r="O89" s="292"/>
      <c r="P89" s="292"/>
      <c r="Q89" s="293"/>
      <c r="R89" s="394"/>
      <c r="S89" s="394"/>
      <c r="T89" s="394"/>
      <c r="U89" s="394"/>
      <c r="V89" s="394"/>
      <c r="W89" s="394"/>
      <c r="X89" s="394"/>
      <c r="Y89" s="394"/>
      <c r="Z89" s="394"/>
    </row>
    <row r="90" customFormat="false" ht="18.75" hidden="false" customHeight="true" outlineLevel="0" collapsed="false">
      <c r="A90" s="291"/>
      <c r="B90" s="178"/>
      <c r="C90" s="292"/>
      <c r="D90" s="292"/>
      <c r="E90" s="293"/>
      <c r="F90" s="394"/>
      <c r="G90" s="291"/>
      <c r="H90" s="178"/>
      <c r="I90" s="292"/>
      <c r="J90" s="292"/>
      <c r="K90" s="293"/>
      <c r="L90" s="394"/>
      <c r="M90" s="291"/>
      <c r="N90" s="178"/>
      <c r="O90" s="292"/>
      <c r="P90" s="292"/>
      <c r="Q90" s="293"/>
      <c r="R90" s="394"/>
      <c r="S90" s="394"/>
      <c r="T90" s="394"/>
      <c r="U90" s="394"/>
      <c r="V90" s="394"/>
      <c r="W90" s="394"/>
      <c r="X90" s="394"/>
      <c r="Y90" s="394"/>
      <c r="Z90" s="394"/>
    </row>
    <row r="91" customFormat="false" ht="18.75" hidden="false" customHeight="true" outlineLevel="0" collapsed="false">
      <c r="A91" s="415" t="s">
        <v>88</v>
      </c>
      <c r="B91" s="50" t="n">
        <f aca="false">((B89*H29)+B87)</f>
        <v>2806.45</v>
      </c>
      <c r="C91" s="292"/>
      <c r="D91" s="292"/>
      <c r="E91" s="293"/>
      <c r="F91" s="394"/>
      <c r="G91" s="415" t="s">
        <v>88</v>
      </c>
      <c r="H91" s="50" t="n">
        <f aca="false">((H89*H29)+H87)*1.2</f>
        <v>8646.64</v>
      </c>
      <c r="I91" s="292"/>
      <c r="J91" s="292"/>
      <c r="K91" s="293"/>
      <c r="L91" s="394"/>
      <c r="M91" s="415" t="s">
        <v>88</v>
      </c>
      <c r="N91" s="50" t="n">
        <f aca="false">((N89*H29)+N87)</f>
        <v>7165.95</v>
      </c>
      <c r="O91" s="292"/>
      <c r="P91" s="292"/>
      <c r="Q91" s="293"/>
      <c r="R91" s="394"/>
      <c r="S91" s="394"/>
      <c r="T91" s="394"/>
      <c r="U91" s="394"/>
      <c r="V91" s="394"/>
      <c r="W91" s="394"/>
      <c r="X91" s="394"/>
      <c r="Y91" s="394"/>
      <c r="Z91" s="394"/>
    </row>
    <row r="92" customFormat="false" ht="18.75" hidden="false" customHeight="true" outlineLevel="0" collapsed="false">
      <c r="A92" s="291" t="s">
        <v>89</v>
      </c>
      <c r="B92" s="20" t="n">
        <f aca="false">(((B89*H29)+B87)/(1-B76))*B76</f>
        <v>23.7738805970149</v>
      </c>
      <c r="C92" s="292"/>
      <c r="D92" s="292"/>
      <c r="E92" s="433"/>
      <c r="F92" s="394"/>
      <c r="G92" s="291" t="s">
        <v>89</v>
      </c>
      <c r="H92" s="20" t="n">
        <f aca="false">(((H89*H29)+H87)/(1-H76))*H76</f>
        <v>61.0392093586123</v>
      </c>
      <c r="I92" s="292"/>
      <c r="J92" s="292"/>
      <c r="K92" s="293"/>
      <c r="L92" s="394"/>
      <c r="M92" s="291" t="s">
        <v>89</v>
      </c>
      <c r="N92" s="20" t="n">
        <f aca="false">(N91/(1-N76))*N76</f>
        <v>60.7038926986688</v>
      </c>
      <c r="O92" s="292"/>
      <c r="P92" s="292"/>
      <c r="Q92" s="293"/>
      <c r="R92" s="394"/>
      <c r="S92" s="394"/>
      <c r="T92" s="394"/>
      <c r="U92" s="394"/>
      <c r="V92" s="394"/>
      <c r="W92" s="394"/>
      <c r="X92" s="394"/>
      <c r="Y92" s="394"/>
      <c r="Z92" s="394"/>
    </row>
    <row r="93" customFormat="false" ht="18.75" hidden="false" customHeight="true" outlineLevel="0" collapsed="false">
      <c r="A93" s="342" t="s">
        <v>90</v>
      </c>
      <c r="B93" s="82" t="n">
        <f aca="false">IF(B116="YES",((B91+B92)-E120),(B91+B92))</f>
        <v>-1169.77611940298</v>
      </c>
      <c r="C93" s="292"/>
      <c r="D93" s="292"/>
      <c r="E93" s="293"/>
      <c r="F93" s="394"/>
      <c r="G93" s="342" t="s">
        <v>90</v>
      </c>
      <c r="H93" s="82" t="n">
        <f aca="false">IF(H116="YES",((H91+H92)-K120),(H91+H92))</f>
        <v>10707.6792093586</v>
      </c>
      <c r="I93" s="292"/>
      <c r="J93" s="292"/>
      <c r="K93" s="293"/>
      <c r="L93" s="394"/>
      <c r="M93" s="342" t="s">
        <v>90</v>
      </c>
      <c r="N93" s="82" t="n">
        <f aca="false">IF(N116="YES",((N91+N92)-K120),(N91+N92))</f>
        <v>9226.65389269867</v>
      </c>
      <c r="O93" s="292"/>
      <c r="P93" s="292"/>
      <c r="Q93" s="293"/>
      <c r="R93" s="394"/>
      <c r="S93" s="394"/>
      <c r="T93" s="394"/>
      <c r="U93" s="394"/>
      <c r="V93" s="394"/>
      <c r="W93" s="394"/>
      <c r="X93" s="394"/>
      <c r="Y93" s="394"/>
      <c r="Z93" s="394"/>
    </row>
    <row r="94" customFormat="false" ht="18.75" hidden="false" customHeight="true" outlineLevel="0" collapsed="false">
      <c r="A94" s="291"/>
      <c r="B94" s="178"/>
      <c r="C94" s="292"/>
      <c r="D94" s="292"/>
      <c r="E94" s="293"/>
      <c r="F94" s="394"/>
      <c r="G94" s="291"/>
      <c r="H94" s="178"/>
      <c r="I94" s="292"/>
      <c r="J94" s="292"/>
      <c r="K94" s="293"/>
      <c r="L94" s="394"/>
      <c r="M94" s="291"/>
      <c r="N94" s="178"/>
      <c r="O94" s="292"/>
      <c r="P94" s="292"/>
      <c r="Q94" s="293"/>
      <c r="R94" s="394"/>
      <c r="S94" s="394"/>
      <c r="T94" s="394"/>
      <c r="U94" s="394"/>
      <c r="V94" s="394"/>
      <c r="W94" s="394"/>
      <c r="X94" s="394"/>
      <c r="Y94" s="394"/>
      <c r="Z94" s="394"/>
    </row>
    <row r="95" customFormat="false" ht="18.75" hidden="false" customHeight="true" outlineLevel="0" collapsed="false">
      <c r="A95" s="430" t="s">
        <v>91</v>
      </c>
      <c r="B95" s="431" t="n">
        <f aca="false">IF(B105=Z104,(((H41*A32)+(H41*A32)*(B111/100))/(B64)),(((H41*A32)+(H41*A32)*(B111/100))/(B63+B64)))</f>
        <v>0</v>
      </c>
      <c r="C95" s="292"/>
      <c r="D95" s="292"/>
      <c r="E95" s="293"/>
      <c r="F95" s="394"/>
      <c r="G95" s="430" t="s">
        <v>91</v>
      </c>
      <c r="H95" s="431" t="e">
        <f aca="false">(((H44*B35)+((H44*B35)*H111))/(H63+H64))*1.2</f>
        <v>#DIV/0!</v>
      </c>
      <c r="I95" s="292"/>
      <c r="J95" s="292"/>
      <c r="K95" s="293"/>
      <c r="L95" s="394"/>
      <c r="M95" s="430" t="s">
        <v>91</v>
      </c>
      <c r="N95" s="431" t="e">
        <f aca="false">((H44*B35)+((H44*B35)*N111))/(N63+N64)</f>
        <v>#DIV/0!</v>
      </c>
      <c r="O95" s="292"/>
      <c r="P95" s="292"/>
      <c r="Q95" s="293"/>
      <c r="R95" s="394"/>
      <c r="S95" s="394"/>
      <c r="T95" s="394"/>
      <c r="U95" s="394"/>
      <c r="V95" s="394"/>
      <c r="W95" s="394"/>
      <c r="X95" s="394"/>
      <c r="Y95" s="394"/>
      <c r="Z95" s="394"/>
    </row>
    <row r="96" customFormat="false" ht="18.75" hidden="false" customHeight="true" outlineLevel="0" collapsed="false">
      <c r="A96" s="434" t="s">
        <v>92</v>
      </c>
      <c r="B96" s="435" t="n">
        <f aca="false">IF(B105=Z104, (B93-D111)/(B64), B93/(B63+B64))</f>
        <v>-97.481343283582</v>
      </c>
      <c r="C96" s="292" t="s">
        <v>4</v>
      </c>
      <c r="D96" s="292"/>
      <c r="E96" s="293"/>
      <c r="F96" s="394"/>
      <c r="G96" s="434" t="s">
        <v>92</v>
      </c>
      <c r="H96" s="435" t="e">
        <f aca="false">IF(H105=Y104, (H93-J111)/(H64), H93/(H63+H64))</f>
        <v>#DIV/0!</v>
      </c>
      <c r="I96" s="292"/>
      <c r="J96" s="292"/>
      <c r="K96" s="293"/>
      <c r="L96" s="394"/>
      <c r="M96" s="434" t="s">
        <v>92</v>
      </c>
      <c r="N96" s="435" t="e">
        <f aca="false">IF(N105=Y104, (N93-P111)/(N64), N93/(N63+N64))</f>
        <v>#DIV/0!</v>
      </c>
      <c r="O96" s="292"/>
      <c r="P96" s="292"/>
      <c r="Q96" s="293"/>
      <c r="R96" s="394"/>
      <c r="S96" s="394"/>
      <c r="T96" s="394"/>
      <c r="U96" s="394"/>
      <c r="V96" s="394"/>
      <c r="W96" s="394"/>
      <c r="X96" s="394"/>
      <c r="Y96" s="394"/>
      <c r="Z96" s="394"/>
    </row>
    <row r="97" customFormat="false" ht="18.75" hidden="false" customHeight="true" outlineLevel="0" collapsed="false">
      <c r="A97" s="436" t="s">
        <v>93</v>
      </c>
      <c r="B97" s="437" t="n">
        <f aca="false">IF(A111="YES", B96+B95, B96)</f>
        <v>-97.481343283582</v>
      </c>
      <c r="C97" s="292"/>
      <c r="D97" s="438"/>
      <c r="E97" s="293"/>
      <c r="F97" s="394"/>
      <c r="G97" s="436" t="s">
        <v>93</v>
      </c>
      <c r="H97" s="437" t="e">
        <f aca="false">IF(G111="YES", H96+H95, H96)</f>
        <v>#DIV/0!</v>
      </c>
      <c r="I97" s="292"/>
      <c r="J97" s="292"/>
      <c r="K97" s="293"/>
      <c r="L97" s="394"/>
      <c r="M97" s="436" t="s">
        <v>93</v>
      </c>
      <c r="N97" s="437" t="e">
        <f aca="false">IF(M111="YES", N96+N95, N96)</f>
        <v>#DIV/0!</v>
      </c>
      <c r="O97" s="292"/>
      <c r="P97" s="292"/>
      <c r="Q97" s="293"/>
      <c r="R97" s="394"/>
      <c r="S97" s="394"/>
      <c r="T97" s="394"/>
      <c r="U97" s="394"/>
      <c r="V97" s="394"/>
      <c r="W97" s="394"/>
      <c r="X97" s="394"/>
      <c r="Y97" s="394"/>
      <c r="Z97" s="394"/>
    </row>
    <row r="98" customFormat="false" ht="18.75" hidden="false" customHeight="true" outlineLevel="0" collapsed="false">
      <c r="A98" s="342"/>
      <c r="B98" s="343"/>
      <c r="C98" s="343"/>
      <c r="D98" s="343"/>
      <c r="E98" s="344"/>
      <c r="F98" s="394"/>
      <c r="G98" s="342"/>
      <c r="H98" s="343"/>
      <c r="I98" s="343"/>
      <c r="J98" s="343"/>
      <c r="K98" s="344"/>
      <c r="L98" s="394"/>
      <c r="M98" s="342"/>
      <c r="N98" s="343"/>
      <c r="O98" s="343"/>
      <c r="P98" s="343"/>
      <c r="Q98" s="344"/>
      <c r="R98" s="394"/>
      <c r="S98" s="394"/>
      <c r="T98" s="394"/>
      <c r="U98" s="394"/>
      <c r="V98" s="394"/>
      <c r="W98" s="394"/>
      <c r="X98" s="394"/>
      <c r="Y98" s="394"/>
      <c r="Z98" s="394"/>
    </row>
    <row r="99" customFormat="false" ht="18.75" hidden="false" customHeight="true" outlineLevel="0" collapsed="false">
      <c r="A99" s="292"/>
      <c r="B99" s="292"/>
      <c r="C99" s="292"/>
      <c r="D99" s="292"/>
      <c r="E99" s="292"/>
      <c r="F99" s="394"/>
      <c r="G99" s="292"/>
      <c r="H99" s="292"/>
      <c r="I99" s="292"/>
      <c r="J99" s="292"/>
      <c r="K99" s="292"/>
      <c r="L99" s="394"/>
      <c r="M99" s="292"/>
      <c r="N99" s="292"/>
      <c r="O99" s="292"/>
      <c r="P99" s="292"/>
      <c r="Q99" s="292"/>
      <c r="R99" s="394"/>
      <c r="S99" s="394"/>
      <c r="T99" s="394"/>
      <c r="U99" s="394"/>
      <c r="V99" s="394"/>
      <c r="W99" s="394"/>
      <c r="X99" s="394"/>
      <c r="Y99" s="394"/>
      <c r="Z99" s="394"/>
    </row>
    <row r="100" customFormat="false" ht="48.75" hidden="false" customHeight="true" outlineLevel="0" collapsed="false">
      <c r="A100" s="208" t="s">
        <v>249</v>
      </c>
      <c r="B100" s="208"/>
      <c r="C100" s="208"/>
      <c r="D100" s="208"/>
      <c r="E100" s="208"/>
      <c r="F100" s="394"/>
      <c r="G100" s="208" t="s">
        <v>250</v>
      </c>
      <c r="H100" s="208"/>
      <c r="I100" s="208"/>
      <c r="J100" s="208"/>
      <c r="K100" s="208"/>
      <c r="L100" s="394"/>
      <c r="M100" s="208" t="s">
        <v>251</v>
      </c>
      <c r="N100" s="208"/>
      <c r="O100" s="208"/>
      <c r="P100" s="208"/>
      <c r="Q100" s="208"/>
      <c r="R100" s="394"/>
      <c r="S100" s="394"/>
      <c r="T100" s="394"/>
      <c r="U100" s="394"/>
      <c r="V100" s="394"/>
      <c r="W100" s="394"/>
      <c r="X100" s="394"/>
      <c r="Y100" s="394"/>
      <c r="Z100" s="394"/>
    </row>
    <row r="101" customFormat="false" ht="18.75" hidden="false" customHeight="true" outlineLevel="0" collapsed="false">
      <c r="A101" s="291"/>
      <c r="B101" s="292"/>
      <c r="C101" s="292"/>
      <c r="D101" s="292"/>
      <c r="E101" s="293"/>
      <c r="F101" s="394"/>
      <c r="G101" s="291"/>
      <c r="H101" s="292"/>
      <c r="I101" s="292"/>
      <c r="J101" s="292"/>
      <c r="K101" s="293"/>
      <c r="L101" s="394"/>
      <c r="M101" s="291"/>
      <c r="N101" s="292"/>
      <c r="O101" s="292"/>
      <c r="P101" s="292"/>
      <c r="Q101" s="293"/>
      <c r="R101" s="394"/>
      <c r="S101" s="394"/>
      <c r="T101" s="394"/>
      <c r="U101" s="394"/>
      <c r="V101" s="394"/>
      <c r="W101" s="394"/>
      <c r="X101" s="394"/>
      <c r="Y101" s="394"/>
      <c r="Z101" s="394"/>
    </row>
    <row r="102" customFormat="false" ht="18.75" hidden="false" customHeight="true" outlineLevel="0" collapsed="false">
      <c r="A102" s="211" t="s">
        <v>26</v>
      </c>
      <c r="B102" s="211"/>
      <c r="C102" s="211"/>
      <c r="D102" s="211"/>
      <c r="E102" s="211"/>
      <c r="F102" s="394"/>
      <c r="G102" s="211" t="s">
        <v>26</v>
      </c>
      <c r="H102" s="211"/>
      <c r="I102" s="211"/>
      <c r="J102" s="211"/>
      <c r="K102" s="211"/>
      <c r="L102" s="394"/>
      <c r="M102" s="211" t="s">
        <v>26</v>
      </c>
      <c r="N102" s="211"/>
      <c r="O102" s="211"/>
      <c r="P102" s="211"/>
      <c r="Q102" s="211"/>
      <c r="R102" s="394"/>
      <c r="S102" s="394"/>
      <c r="T102" s="394"/>
      <c r="U102" s="394"/>
      <c r="V102" s="394"/>
      <c r="W102" s="394"/>
      <c r="X102" s="394"/>
      <c r="Y102" s="394"/>
      <c r="Z102" s="394"/>
    </row>
    <row r="103" customFormat="false" ht="18.75" hidden="false" customHeight="true" outlineLevel="0" collapsed="false">
      <c r="A103" s="291"/>
      <c r="B103" s="292"/>
      <c r="C103" s="292"/>
      <c r="D103" s="292"/>
      <c r="E103" s="293"/>
      <c r="F103" s="394"/>
      <c r="G103" s="291"/>
      <c r="H103" s="292"/>
      <c r="I103" s="292"/>
      <c r="J103" s="292"/>
      <c r="K103" s="293"/>
      <c r="L103" s="394"/>
      <c r="M103" s="291"/>
      <c r="N103" s="292"/>
      <c r="O103" s="292"/>
      <c r="P103" s="292"/>
      <c r="Q103" s="293"/>
      <c r="R103" s="394"/>
      <c r="S103" s="394"/>
      <c r="T103" s="394"/>
      <c r="U103" s="394"/>
      <c r="V103" s="394"/>
      <c r="W103" s="394"/>
      <c r="X103" s="394"/>
      <c r="Y103" s="394"/>
      <c r="Z103" s="394" t="s">
        <v>100</v>
      </c>
    </row>
    <row r="104" customFormat="false" ht="18.75" hidden="false" customHeight="true" outlineLevel="0" collapsed="false">
      <c r="A104" s="291" t="s">
        <v>98</v>
      </c>
      <c r="B104" s="292" t="s">
        <v>23</v>
      </c>
      <c r="C104" s="292"/>
      <c r="D104" s="292" t="s">
        <v>252</v>
      </c>
      <c r="E104" s="293"/>
      <c r="F104" s="394"/>
      <c r="G104" s="291" t="s">
        <v>98</v>
      </c>
      <c r="H104" s="292" t="s">
        <v>23</v>
      </c>
      <c r="I104" s="292"/>
      <c r="J104" s="292" t="s">
        <v>252</v>
      </c>
      <c r="K104" s="293"/>
      <c r="L104" s="394"/>
      <c r="M104" s="291" t="s">
        <v>98</v>
      </c>
      <c r="N104" s="292" t="s">
        <v>23</v>
      </c>
      <c r="O104" s="292"/>
      <c r="P104" s="292" t="s">
        <v>252</v>
      </c>
      <c r="Q104" s="293"/>
      <c r="R104" s="394"/>
      <c r="S104" s="394"/>
      <c r="T104" s="394"/>
      <c r="U104" s="394"/>
      <c r="V104" s="394"/>
      <c r="W104" s="394"/>
      <c r="X104" s="394"/>
      <c r="Y104" s="394"/>
      <c r="Z104" s="394" t="s">
        <v>253</v>
      </c>
    </row>
    <row r="105" customFormat="false" ht="18.75" hidden="false" customHeight="true" outlineLevel="0" collapsed="false">
      <c r="A105" s="350"/>
      <c r="B105" s="286" t="s">
        <v>315</v>
      </c>
      <c r="C105" s="286"/>
      <c r="D105" s="287" t="n">
        <v>1000</v>
      </c>
      <c r="E105" s="287"/>
      <c r="F105" s="394"/>
      <c r="G105" s="350" t="s">
        <v>254</v>
      </c>
      <c r="H105" s="286" t="s">
        <v>255</v>
      </c>
      <c r="I105" s="286"/>
      <c r="J105" s="287" t="n">
        <v>5000</v>
      </c>
      <c r="K105" s="287"/>
      <c r="L105" s="394"/>
      <c r="M105" s="350" t="s">
        <v>254</v>
      </c>
      <c r="N105" s="286" t="s">
        <v>256</v>
      </c>
      <c r="O105" s="286"/>
      <c r="P105" s="287" t="n">
        <v>0</v>
      </c>
      <c r="Q105" s="287"/>
      <c r="R105" s="394"/>
      <c r="S105" s="394"/>
      <c r="T105" s="394"/>
      <c r="U105" s="394"/>
      <c r="V105" s="394"/>
      <c r="W105" s="394"/>
      <c r="X105" s="394"/>
      <c r="Y105" s="394"/>
      <c r="Z105" s="394" t="s">
        <v>257</v>
      </c>
    </row>
    <row r="106" customFormat="false" ht="18.75" hidden="false" customHeight="true" outlineLevel="0" collapsed="false">
      <c r="A106" s="291"/>
      <c r="B106" s="292"/>
      <c r="C106" s="292"/>
      <c r="D106" s="292"/>
      <c r="E106" s="293"/>
      <c r="F106" s="394"/>
      <c r="G106" s="291"/>
      <c r="H106" s="292"/>
      <c r="I106" s="292"/>
      <c r="J106" s="292"/>
      <c r="K106" s="293"/>
      <c r="L106" s="394"/>
      <c r="M106" s="291"/>
      <c r="N106" s="292"/>
      <c r="O106" s="292"/>
      <c r="P106" s="292"/>
      <c r="Q106" s="293"/>
      <c r="R106" s="394"/>
      <c r="S106" s="394"/>
      <c r="T106" s="394"/>
      <c r="U106" s="394"/>
      <c r="V106" s="394"/>
      <c r="W106" s="394"/>
      <c r="X106" s="394"/>
      <c r="Y106" s="394"/>
      <c r="Z106" s="394" t="s">
        <v>258</v>
      </c>
    </row>
    <row r="107" customFormat="false" ht="18.75" hidden="false" customHeight="true" outlineLevel="0" collapsed="false">
      <c r="A107" s="291" t="s">
        <v>259</v>
      </c>
      <c r="B107" s="292" t="s">
        <v>260</v>
      </c>
      <c r="C107" s="292"/>
      <c r="D107" s="292" t="s">
        <v>261</v>
      </c>
      <c r="E107" s="293"/>
      <c r="F107" s="394"/>
      <c r="G107" s="291" t="s">
        <v>259</v>
      </c>
      <c r="H107" s="292" t="s">
        <v>260</v>
      </c>
      <c r="I107" s="292"/>
      <c r="J107" s="292" t="s">
        <v>261</v>
      </c>
      <c r="K107" s="293"/>
      <c r="L107" s="394"/>
      <c r="M107" s="291" t="s">
        <v>259</v>
      </c>
      <c r="N107" s="292" t="s">
        <v>260</v>
      </c>
      <c r="O107" s="292"/>
      <c r="P107" s="292" t="s">
        <v>261</v>
      </c>
      <c r="Q107" s="293"/>
      <c r="R107" s="394"/>
      <c r="S107" s="394"/>
      <c r="T107" s="394"/>
      <c r="U107" s="394"/>
      <c r="V107" s="394"/>
      <c r="W107" s="394"/>
      <c r="X107" s="394"/>
      <c r="Y107" s="394"/>
      <c r="Z107" s="394" t="s">
        <v>262</v>
      </c>
    </row>
    <row r="108" customFormat="false" ht="18.75" hidden="false" customHeight="true" outlineLevel="0" collapsed="false">
      <c r="A108" s="288" t="n">
        <v>199.99</v>
      </c>
      <c r="B108" s="72" t="n">
        <v>400</v>
      </c>
      <c r="C108" s="72"/>
      <c r="D108" s="72" t="n">
        <v>200</v>
      </c>
      <c r="E108" s="72"/>
      <c r="F108" s="394"/>
      <c r="G108" s="288" t="n">
        <f aca="false">199.99*1.2</f>
        <v>239.988</v>
      </c>
      <c r="H108" s="72" t="n">
        <v>1200</v>
      </c>
      <c r="I108" s="72"/>
      <c r="J108" s="72" t="n">
        <v>1500</v>
      </c>
      <c r="K108" s="72"/>
      <c r="L108" s="394"/>
      <c r="M108" s="288" t="n">
        <v>199.99</v>
      </c>
      <c r="N108" s="72" t="n">
        <v>1200</v>
      </c>
      <c r="O108" s="72"/>
      <c r="P108" s="72" t="n">
        <v>1500</v>
      </c>
      <c r="Q108" s="72"/>
      <c r="R108" s="394"/>
      <c r="S108" s="394"/>
      <c r="T108" s="394"/>
      <c r="U108" s="394"/>
      <c r="V108" s="394"/>
      <c r="W108" s="394"/>
      <c r="X108" s="394"/>
      <c r="Y108" s="394"/>
      <c r="Z108" s="394" t="s">
        <v>256</v>
      </c>
    </row>
    <row r="109" customFormat="false" ht="18.75" hidden="false" customHeight="true" outlineLevel="0" collapsed="false">
      <c r="A109" s="291"/>
      <c r="B109" s="292"/>
      <c r="C109" s="292"/>
      <c r="D109" s="292"/>
      <c r="E109" s="293"/>
      <c r="F109" s="394"/>
      <c r="G109" s="291"/>
      <c r="H109" s="292"/>
      <c r="I109" s="292"/>
      <c r="J109" s="292"/>
      <c r="K109" s="293"/>
      <c r="L109" s="394"/>
      <c r="M109" s="291"/>
      <c r="N109" s="292"/>
      <c r="O109" s="292"/>
      <c r="P109" s="292"/>
      <c r="Q109" s="293"/>
      <c r="R109" s="394"/>
      <c r="S109" s="394"/>
      <c r="T109" s="394"/>
      <c r="U109" s="394"/>
      <c r="V109" s="394"/>
      <c r="W109" s="394"/>
      <c r="X109" s="394"/>
      <c r="Y109" s="394"/>
      <c r="Z109" s="394" t="s">
        <v>255</v>
      </c>
    </row>
    <row r="110" customFormat="false" ht="18.75" hidden="false" customHeight="true" outlineLevel="0" collapsed="false">
      <c r="A110" s="350" t="s">
        <v>22</v>
      </c>
      <c r="B110" s="394" t="s">
        <v>101</v>
      </c>
      <c r="C110" s="292"/>
      <c r="D110" s="292" t="s">
        <v>112</v>
      </c>
      <c r="E110" s="293"/>
      <c r="F110" s="394"/>
      <c r="G110" s="350" t="s">
        <v>22</v>
      </c>
      <c r="H110" s="394" t="s">
        <v>101</v>
      </c>
      <c r="I110" s="292"/>
      <c r="J110" s="292" t="s">
        <v>112</v>
      </c>
      <c r="K110" s="293"/>
      <c r="L110" s="394"/>
      <c r="M110" s="350" t="s">
        <v>22</v>
      </c>
      <c r="N110" s="394" t="s">
        <v>101</v>
      </c>
      <c r="O110" s="292"/>
      <c r="P110" s="292" t="s">
        <v>112</v>
      </c>
      <c r="Q110" s="293"/>
      <c r="R110" s="394"/>
      <c r="S110" s="394"/>
      <c r="T110" s="394"/>
      <c r="U110" s="394"/>
      <c r="V110" s="394"/>
      <c r="W110" s="394"/>
      <c r="X110" s="394"/>
      <c r="Y110" s="394"/>
      <c r="Z110" s="394" t="s">
        <v>263</v>
      </c>
    </row>
    <row r="111" customFormat="false" ht="18.75" hidden="false" customHeight="true" outlineLevel="0" collapsed="false">
      <c r="A111" s="408" t="s">
        <v>10</v>
      </c>
      <c r="B111" s="286" t="n">
        <v>0</v>
      </c>
      <c r="C111" s="286"/>
      <c r="D111" s="72" t="s">
        <v>264</v>
      </c>
      <c r="E111" s="72"/>
      <c r="F111" s="394"/>
      <c r="G111" s="408" t="s">
        <v>9</v>
      </c>
      <c r="H111" s="289" t="n">
        <v>0.2</v>
      </c>
      <c r="I111" s="289"/>
      <c r="J111" s="72" t="n">
        <v>5000</v>
      </c>
      <c r="K111" s="72"/>
      <c r="L111" s="394"/>
      <c r="M111" s="408" t="s">
        <v>9</v>
      </c>
      <c r="N111" s="289" t="n">
        <v>0.2</v>
      </c>
      <c r="O111" s="289"/>
      <c r="P111" s="72" t="n">
        <v>5000</v>
      </c>
      <c r="Q111" s="72"/>
      <c r="R111" s="394"/>
      <c r="S111" s="394"/>
      <c r="T111" s="394"/>
      <c r="U111" s="394"/>
      <c r="V111" s="394"/>
      <c r="W111" s="394"/>
      <c r="X111" s="394"/>
      <c r="Y111" s="394"/>
      <c r="Z111" s="394" t="s">
        <v>265</v>
      </c>
    </row>
    <row r="112" customFormat="false" ht="18.75" hidden="false" customHeight="true" outlineLevel="0" collapsed="false">
      <c r="A112" s="291"/>
      <c r="B112" s="292"/>
      <c r="C112" s="292"/>
      <c r="D112" s="292" t="s">
        <v>4</v>
      </c>
      <c r="E112" s="293"/>
      <c r="F112" s="394"/>
      <c r="G112" s="291"/>
      <c r="H112" s="292"/>
      <c r="I112" s="292"/>
      <c r="J112" s="292"/>
      <c r="K112" s="293"/>
      <c r="L112" s="394"/>
      <c r="M112" s="291"/>
      <c r="N112" s="292"/>
      <c r="O112" s="292"/>
      <c r="P112" s="292"/>
      <c r="Q112" s="293"/>
      <c r="R112" s="394"/>
      <c r="S112" s="394"/>
      <c r="T112" s="394"/>
      <c r="U112" s="394"/>
      <c r="V112" s="394"/>
      <c r="W112" s="394"/>
      <c r="X112" s="394"/>
      <c r="Y112" s="394"/>
      <c r="Z112" s="394"/>
    </row>
    <row r="113" customFormat="false" ht="18.75" hidden="false" customHeight="true" outlineLevel="0" collapsed="false">
      <c r="A113" s="291"/>
      <c r="B113" s="292"/>
      <c r="C113" s="292"/>
      <c r="D113" s="292"/>
      <c r="E113" s="293"/>
      <c r="F113" s="394"/>
      <c r="G113" s="291"/>
      <c r="H113" s="292"/>
      <c r="I113" s="292"/>
      <c r="J113" s="292"/>
      <c r="K113" s="293"/>
      <c r="L113" s="394"/>
      <c r="M113" s="291"/>
      <c r="N113" s="292" t="s">
        <v>266</v>
      </c>
      <c r="O113" s="408" t="s">
        <v>9</v>
      </c>
      <c r="P113" s="292"/>
      <c r="Q113" s="293"/>
      <c r="R113" s="394"/>
      <c r="S113" s="394"/>
      <c r="T113" s="394"/>
      <c r="U113" s="394"/>
      <c r="V113" s="394"/>
      <c r="W113" s="394"/>
      <c r="X113" s="394"/>
      <c r="Y113" s="394"/>
      <c r="Z113" s="394"/>
    </row>
    <row r="114" customFormat="false" ht="18.75" hidden="false" customHeight="true" outlineLevel="0" collapsed="false">
      <c r="A114" s="211" t="s">
        <v>267</v>
      </c>
      <c r="B114" s="211"/>
      <c r="C114" s="211"/>
      <c r="D114" s="211"/>
      <c r="E114" s="211"/>
      <c r="F114" s="394"/>
      <c r="G114" s="211" t="s">
        <v>267</v>
      </c>
      <c r="H114" s="211"/>
      <c r="I114" s="211"/>
      <c r="J114" s="211"/>
      <c r="K114" s="211"/>
      <c r="L114" s="394"/>
      <c r="M114" s="211" t="s">
        <v>267</v>
      </c>
      <c r="N114" s="211"/>
      <c r="O114" s="211"/>
      <c r="P114" s="211"/>
      <c r="Q114" s="211"/>
      <c r="R114" s="394"/>
      <c r="S114" s="394"/>
      <c r="T114" s="394"/>
      <c r="U114" s="394"/>
      <c r="V114" s="394"/>
      <c r="W114" s="394"/>
      <c r="X114" s="394"/>
      <c r="Y114" s="394"/>
      <c r="Z114" s="394"/>
    </row>
    <row r="115" customFormat="false" ht="18.75" hidden="false" customHeight="true" outlineLevel="0" collapsed="false">
      <c r="A115" s="291"/>
      <c r="B115" s="292"/>
      <c r="C115" s="292"/>
      <c r="D115" s="292"/>
      <c r="E115" s="293"/>
      <c r="F115" s="394"/>
      <c r="G115" s="291"/>
      <c r="H115" s="292"/>
      <c r="I115" s="292"/>
      <c r="J115" s="292"/>
      <c r="K115" s="293"/>
      <c r="L115" s="394"/>
      <c r="M115" s="291"/>
      <c r="N115" s="292"/>
      <c r="O115" s="292"/>
      <c r="P115" s="292"/>
      <c r="Q115" s="293"/>
      <c r="R115" s="394"/>
      <c r="S115" s="394"/>
      <c r="T115" s="394"/>
      <c r="U115" s="394"/>
      <c r="V115" s="394"/>
      <c r="W115" s="394"/>
      <c r="X115" s="394"/>
      <c r="Y115" s="394"/>
      <c r="Z115" s="394"/>
    </row>
    <row r="116" customFormat="false" ht="18.75" hidden="false" customHeight="true" outlineLevel="0" collapsed="false">
      <c r="A116" s="291" t="s">
        <v>268</v>
      </c>
      <c r="B116" s="408" t="s">
        <v>9</v>
      </c>
      <c r="C116" s="292"/>
      <c r="D116" s="292"/>
      <c r="E116" s="293"/>
      <c r="F116" s="394"/>
      <c r="G116" s="291" t="s">
        <v>268</v>
      </c>
      <c r="H116" s="408" t="s">
        <v>9</v>
      </c>
      <c r="I116" s="292"/>
      <c r="J116" s="292"/>
      <c r="K116" s="293"/>
      <c r="L116" s="394"/>
      <c r="M116" s="291" t="s">
        <v>268</v>
      </c>
      <c r="N116" s="408" t="s">
        <v>9</v>
      </c>
      <c r="O116" s="292"/>
      <c r="P116" s="292"/>
      <c r="Q116" s="293"/>
      <c r="R116" s="394"/>
      <c r="S116" s="394"/>
      <c r="T116" s="394"/>
      <c r="U116" s="394"/>
      <c r="V116" s="394"/>
      <c r="W116" s="394"/>
      <c r="X116" s="394"/>
      <c r="Y116" s="394"/>
      <c r="Z116" s="394"/>
    </row>
    <row r="117" customFormat="false" ht="18.75" hidden="false" customHeight="true" outlineLevel="0" collapsed="false">
      <c r="A117" s="291"/>
      <c r="B117" s="292"/>
      <c r="C117" s="292"/>
      <c r="D117" s="292"/>
      <c r="E117" s="293"/>
      <c r="F117" s="394"/>
      <c r="G117" s="291"/>
      <c r="H117" s="292"/>
      <c r="I117" s="292"/>
      <c r="J117" s="292"/>
      <c r="K117" s="293"/>
      <c r="L117" s="394"/>
      <c r="M117" s="291"/>
      <c r="N117" s="292"/>
      <c r="O117" s="292"/>
      <c r="P117" s="292"/>
      <c r="Q117" s="293"/>
      <c r="R117" s="394"/>
      <c r="S117" s="394"/>
      <c r="T117" s="394"/>
      <c r="U117" s="394"/>
      <c r="V117" s="394"/>
      <c r="W117" s="394"/>
      <c r="X117" s="394"/>
      <c r="Y117" s="394"/>
      <c r="Z117" s="394"/>
    </row>
    <row r="118" customFormat="false" ht="18.75" hidden="false" customHeight="true" outlineLevel="0" collapsed="false">
      <c r="A118" s="291" t="s">
        <v>146</v>
      </c>
      <c r="B118" s="292"/>
      <c r="C118" s="292"/>
      <c r="D118" s="288" t="n">
        <v>10000</v>
      </c>
      <c r="E118" s="72" t="n">
        <v>6000</v>
      </c>
      <c r="F118" s="394"/>
      <c r="G118" s="291" t="s">
        <v>146</v>
      </c>
      <c r="H118" s="292"/>
      <c r="I118" s="292"/>
      <c r="J118" s="288" t="n">
        <v>10000</v>
      </c>
      <c r="K118" s="72" t="n">
        <v>5000</v>
      </c>
      <c r="L118" s="394"/>
      <c r="M118" s="291" t="s">
        <v>146</v>
      </c>
      <c r="N118" s="292"/>
      <c r="O118" s="292"/>
      <c r="P118" s="288" t="n">
        <v>10000</v>
      </c>
      <c r="Q118" s="72" t="n">
        <v>5000</v>
      </c>
      <c r="R118" s="394"/>
      <c r="S118" s="394"/>
      <c r="T118" s="394"/>
      <c r="U118" s="394"/>
      <c r="V118" s="394"/>
      <c r="W118" s="394"/>
      <c r="X118" s="394"/>
      <c r="Y118" s="394"/>
      <c r="Z118" s="394"/>
    </row>
    <row r="119" customFormat="false" ht="18.75" hidden="false" customHeight="true" outlineLevel="0" collapsed="false">
      <c r="A119" s="291" t="s">
        <v>147</v>
      </c>
      <c r="B119" s="292"/>
      <c r="C119" s="292"/>
      <c r="D119" s="200" t="n">
        <f aca="false">E119</f>
        <v>2000</v>
      </c>
      <c r="E119" s="72" t="n">
        <v>2000</v>
      </c>
      <c r="F119" s="394"/>
      <c r="G119" s="291" t="s">
        <v>147</v>
      </c>
      <c r="H119" s="292"/>
      <c r="I119" s="292"/>
      <c r="J119" s="200" t="n">
        <f aca="false">K119</f>
        <v>7000</v>
      </c>
      <c r="K119" s="72" t="n">
        <v>7000</v>
      </c>
      <c r="L119" s="394"/>
      <c r="M119" s="291" t="s">
        <v>147</v>
      </c>
      <c r="N119" s="292"/>
      <c r="O119" s="292"/>
      <c r="P119" s="200" t="n">
        <f aca="false">Q119</f>
        <v>7000</v>
      </c>
      <c r="Q119" s="72" t="n">
        <v>7000</v>
      </c>
      <c r="R119" s="394"/>
      <c r="S119" s="394"/>
      <c r="T119" s="394"/>
      <c r="U119" s="394"/>
      <c r="V119" s="394"/>
      <c r="W119" s="394"/>
      <c r="X119" s="394"/>
      <c r="Y119" s="394"/>
      <c r="Z119" s="394"/>
    </row>
    <row r="120" customFormat="false" ht="18.75" hidden="false" customHeight="true" outlineLevel="0" collapsed="false">
      <c r="A120" s="291" t="s">
        <v>148</v>
      </c>
      <c r="B120" s="292"/>
      <c r="C120" s="292"/>
      <c r="D120" s="200" t="n">
        <f aca="false">D118-D119</f>
        <v>8000</v>
      </c>
      <c r="E120" s="163" t="n">
        <f aca="false">E118-E119</f>
        <v>4000</v>
      </c>
      <c r="F120" s="394"/>
      <c r="G120" s="291" t="s">
        <v>148</v>
      </c>
      <c r="H120" s="292"/>
      <c r="I120" s="292"/>
      <c r="J120" s="200" t="n">
        <f aca="false">J118-J119</f>
        <v>3000</v>
      </c>
      <c r="K120" s="163" t="n">
        <f aca="false">K118-K119</f>
        <v>-2000</v>
      </c>
      <c r="L120" s="394"/>
      <c r="M120" s="291" t="s">
        <v>148</v>
      </c>
      <c r="N120" s="292"/>
      <c r="O120" s="292"/>
      <c r="P120" s="200" t="n">
        <f aca="false">P118-P119</f>
        <v>3000</v>
      </c>
      <c r="Q120" s="163" t="n">
        <f aca="false">Q118-Q119</f>
        <v>-2000</v>
      </c>
      <c r="R120" s="394"/>
      <c r="S120" s="394"/>
      <c r="T120" s="394"/>
      <c r="U120" s="394"/>
      <c r="V120" s="394"/>
      <c r="W120" s="394"/>
      <c r="X120" s="394"/>
      <c r="Y120" s="394"/>
      <c r="Z120" s="394"/>
    </row>
    <row r="121" customFormat="false" ht="18.75" hidden="false" customHeight="true" outlineLevel="0" collapsed="false">
      <c r="A121" s="291" t="s">
        <v>149</v>
      </c>
      <c r="B121" s="292"/>
      <c r="C121" s="292"/>
      <c r="D121" s="200" t="n">
        <f aca="false">D120-E120</f>
        <v>4000</v>
      </c>
      <c r="E121" s="293"/>
      <c r="F121" s="394"/>
      <c r="G121" s="291" t="s">
        <v>149</v>
      </c>
      <c r="H121" s="292"/>
      <c r="I121" s="292"/>
      <c r="J121" s="200" t="n">
        <f aca="false">J120-K120</f>
        <v>5000</v>
      </c>
      <c r="K121" s="293"/>
      <c r="L121" s="394"/>
      <c r="M121" s="291" t="s">
        <v>149</v>
      </c>
      <c r="N121" s="292"/>
      <c r="O121" s="292"/>
      <c r="P121" s="200" t="n">
        <f aca="false">P120-Q120</f>
        <v>5000</v>
      </c>
      <c r="Q121" s="293"/>
      <c r="R121" s="394"/>
      <c r="S121" s="394"/>
      <c r="T121" s="394"/>
      <c r="U121" s="394"/>
      <c r="V121" s="394"/>
      <c r="W121" s="394"/>
      <c r="X121" s="394"/>
      <c r="Y121" s="394"/>
      <c r="Z121" s="394"/>
    </row>
    <row r="122" customFormat="false" ht="18.75" hidden="false" customHeight="true" outlineLevel="0" collapsed="false">
      <c r="A122" s="291"/>
      <c r="B122" s="292"/>
      <c r="C122" s="292"/>
      <c r="D122" s="292"/>
      <c r="E122" s="293"/>
      <c r="F122" s="394"/>
      <c r="G122" s="291"/>
      <c r="H122" s="292"/>
      <c r="I122" s="292"/>
      <c r="J122" s="292"/>
      <c r="K122" s="293"/>
      <c r="L122" s="394"/>
      <c r="M122" s="291"/>
      <c r="N122" s="292"/>
      <c r="O122" s="292"/>
      <c r="P122" s="292"/>
      <c r="Q122" s="293"/>
      <c r="R122" s="394"/>
      <c r="S122" s="394"/>
      <c r="T122" s="394"/>
      <c r="U122" s="394"/>
      <c r="V122" s="394"/>
      <c r="W122" s="394"/>
      <c r="X122" s="394"/>
      <c r="Y122" s="394"/>
      <c r="Z122" s="394"/>
    </row>
    <row r="123" customFormat="false" ht="18.75" hidden="false" customHeight="true" outlineLevel="0" collapsed="false">
      <c r="A123" s="415" t="s">
        <v>108</v>
      </c>
      <c r="B123" s="416"/>
      <c r="C123" s="416"/>
      <c r="D123" s="416"/>
      <c r="E123" s="50" t="n">
        <f aca="false">D105</f>
        <v>1000</v>
      </c>
      <c r="F123" s="394"/>
      <c r="G123" s="415" t="s">
        <v>108</v>
      </c>
      <c r="H123" s="416"/>
      <c r="I123" s="416"/>
      <c r="J123" s="416"/>
      <c r="K123" s="50" t="n">
        <f aca="false">J105</f>
        <v>5000</v>
      </c>
      <c r="L123" s="394"/>
      <c r="M123" s="415" t="s">
        <v>108</v>
      </c>
      <c r="N123" s="416"/>
      <c r="O123" s="416"/>
      <c r="P123" s="416"/>
      <c r="Q123" s="50" t="n">
        <f aca="false">P105</f>
        <v>0</v>
      </c>
      <c r="R123" s="394"/>
      <c r="S123" s="394"/>
      <c r="T123" s="394"/>
      <c r="U123" s="394"/>
      <c r="V123" s="394"/>
      <c r="W123" s="394"/>
      <c r="X123" s="394"/>
      <c r="Y123" s="394"/>
      <c r="Z123" s="394"/>
    </row>
    <row r="124" customFormat="false" ht="18.75" hidden="false" customHeight="true" outlineLevel="0" collapsed="false">
      <c r="A124" s="291" t="s">
        <v>152</v>
      </c>
      <c r="B124" s="292"/>
      <c r="C124" s="292"/>
      <c r="D124" s="292"/>
      <c r="E124" s="20" t="n">
        <f aca="false">A108</f>
        <v>199.99</v>
      </c>
      <c r="F124" s="394"/>
      <c r="G124" s="291" t="s">
        <v>152</v>
      </c>
      <c r="H124" s="292"/>
      <c r="I124" s="292"/>
      <c r="J124" s="292"/>
      <c r="K124" s="20" t="n">
        <f aca="false">G108</f>
        <v>239.988</v>
      </c>
      <c r="L124" s="394"/>
      <c r="M124" s="291" t="s">
        <v>152</v>
      </c>
      <c r="N124" s="292"/>
      <c r="O124" s="292"/>
      <c r="P124" s="292"/>
      <c r="Q124" s="20" t="n">
        <f aca="false">M108</f>
        <v>199.99</v>
      </c>
      <c r="R124" s="394"/>
      <c r="S124" s="394"/>
      <c r="T124" s="394"/>
      <c r="U124" s="394"/>
      <c r="V124" s="394"/>
      <c r="W124" s="394"/>
      <c r="X124" s="394"/>
      <c r="Y124" s="394"/>
      <c r="Z124" s="394"/>
    </row>
    <row r="125" customFormat="false" ht="18.75" hidden="false" customHeight="true" outlineLevel="0" collapsed="false">
      <c r="A125" s="439" t="s">
        <v>269</v>
      </c>
      <c r="B125" s="343"/>
      <c r="C125" s="343"/>
      <c r="D125" s="343"/>
      <c r="E125" s="82" t="n">
        <f aca="false">(E124+E123)-E120</f>
        <v>-2800.01</v>
      </c>
      <c r="F125" s="394"/>
      <c r="G125" s="439" t="s">
        <v>269</v>
      </c>
      <c r="H125" s="343"/>
      <c r="I125" s="343"/>
      <c r="J125" s="343"/>
      <c r="K125" s="82" t="n">
        <f aca="false">(K124+K123)-K120</f>
        <v>7239.988</v>
      </c>
      <c r="L125" s="394"/>
      <c r="M125" s="439" t="s">
        <v>269</v>
      </c>
      <c r="N125" s="343"/>
      <c r="O125" s="343"/>
      <c r="P125" s="343"/>
      <c r="Q125" s="82" t="n">
        <f aca="false">(Q124+Q123)-Q120</f>
        <v>2199.99</v>
      </c>
      <c r="R125" s="394"/>
      <c r="S125" s="394"/>
      <c r="T125" s="394"/>
      <c r="U125" s="394"/>
      <c r="V125" s="394"/>
      <c r="W125" s="394"/>
      <c r="X125" s="394"/>
      <c r="Y125" s="394"/>
      <c r="Z125" s="394"/>
    </row>
    <row r="126" customFormat="false" ht="18.75" hidden="false" customHeight="true" outlineLevel="0" collapsed="false">
      <c r="A126" s="291"/>
      <c r="B126" s="292"/>
      <c r="C126" s="292"/>
      <c r="D126" s="292"/>
      <c r="E126" s="293"/>
      <c r="F126" s="394"/>
      <c r="G126" s="291"/>
      <c r="H126" s="292"/>
      <c r="I126" s="292"/>
      <c r="J126" s="292"/>
      <c r="K126" s="293"/>
      <c r="L126" s="394"/>
      <c r="M126" s="291"/>
      <c r="N126" s="292"/>
      <c r="O126" s="292"/>
      <c r="P126" s="292"/>
      <c r="Q126" s="293"/>
      <c r="R126" s="394"/>
      <c r="S126" s="394"/>
      <c r="T126" s="394"/>
      <c r="U126" s="394"/>
      <c r="V126" s="394"/>
      <c r="W126" s="394"/>
      <c r="X126" s="394"/>
      <c r="Y126" s="394"/>
      <c r="Z126" s="394"/>
    </row>
    <row r="127" customFormat="false" ht="18.75" hidden="false" customHeight="true" outlineLevel="0" collapsed="false">
      <c r="A127" s="291"/>
      <c r="B127" s="292"/>
      <c r="C127" s="292"/>
      <c r="D127" s="292"/>
      <c r="E127" s="293"/>
      <c r="F127" s="394"/>
      <c r="G127" s="291"/>
      <c r="H127" s="292"/>
      <c r="I127" s="292"/>
      <c r="J127" s="292"/>
      <c r="K127" s="293"/>
      <c r="L127" s="394"/>
      <c r="M127" s="291"/>
      <c r="N127" s="292"/>
      <c r="O127" s="292"/>
      <c r="P127" s="292"/>
      <c r="Q127" s="293"/>
      <c r="R127" s="394"/>
      <c r="S127" s="394"/>
      <c r="T127" s="394"/>
      <c r="U127" s="394"/>
      <c r="V127" s="394"/>
      <c r="W127" s="394"/>
      <c r="X127" s="394"/>
      <c r="Y127" s="394"/>
      <c r="Z127" s="394"/>
    </row>
    <row r="128" customFormat="false" ht="18.75" hidden="false" customHeight="true" outlineLevel="0" collapsed="false">
      <c r="A128" s="211" t="s">
        <v>270</v>
      </c>
      <c r="B128" s="211"/>
      <c r="C128" s="211"/>
      <c r="D128" s="211"/>
      <c r="E128" s="211"/>
      <c r="F128" s="394"/>
      <c r="G128" s="211" t="s">
        <v>270</v>
      </c>
      <c r="H128" s="211"/>
      <c r="I128" s="211"/>
      <c r="J128" s="211"/>
      <c r="K128" s="211"/>
      <c r="L128" s="394"/>
      <c r="M128" s="211" t="s">
        <v>270</v>
      </c>
      <c r="N128" s="211"/>
      <c r="O128" s="211"/>
      <c r="P128" s="211"/>
      <c r="Q128" s="211"/>
      <c r="R128" s="394"/>
      <c r="S128" s="394"/>
      <c r="T128" s="394"/>
      <c r="U128" s="394"/>
      <c r="V128" s="394"/>
      <c r="W128" s="394"/>
      <c r="X128" s="394"/>
      <c r="Y128" s="394"/>
      <c r="Z128" s="394"/>
    </row>
    <row r="129" customFormat="false" ht="18.75" hidden="false" customHeight="true" outlineLevel="0" collapsed="false">
      <c r="A129" s="291"/>
      <c r="B129" s="292"/>
      <c r="C129" s="292"/>
      <c r="D129" s="292"/>
      <c r="E129" s="293"/>
      <c r="F129" s="394"/>
      <c r="G129" s="291"/>
      <c r="H129" s="292"/>
      <c r="I129" s="292"/>
      <c r="J129" s="292"/>
      <c r="K129" s="293"/>
      <c r="L129" s="394"/>
      <c r="M129" s="291"/>
      <c r="N129" s="292"/>
      <c r="O129" s="292"/>
      <c r="P129" s="292"/>
      <c r="Q129" s="293"/>
      <c r="R129" s="394"/>
      <c r="S129" s="394"/>
      <c r="T129" s="394"/>
      <c r="U129" s="394"/>
      <c r="V129" s="394"/>
      <c r="W129" s="394"/>
      <c r="X129" s="394"/>
      <c r="Y129" s="394"/>
      <c r="Z129" s="394"/>
    </row>
    <row r="130" customFormat="false" ht="18.75" hidden="false" customHeight="true" outlineLevel="0" collapsed="false">
      <c r="A130" s="294" t="s">
        <v>98</v>
      </c>
      <c r="B130" s="295" t="n">
        <v>0</v>
      </c>
      <c r="C130" s="296"/>
      <c r="D130" s="295" t="s">
        <v>33</v>
      </c>
      <c r="E130" s="297"/>
      <c r="F130" s="394"/>
      <c r="G130" s="291" t="s">
        <v>29</v>
      </c>
      <c r="H130" s="168" t="n">
        <v>0</v>
      </c>
      <c r="I130" s="168"/>
      <c r="J130" s="292"/>
      <c r="K130" s="293"/>
      <c r="L130" s="394"/>
      <c r="M130" s="291" t="s">
        <v>29</v>
      </c>
      <c r="N130" s="168" t="n">
        <v>0</v>
      </c>
      <c r="O130" s="168"/>
      <c r="P130" s="292"/>
      <c r="Q130" s="293"/>
      <c r="R130" s="394"/>
      <c r="S130" s="394"/>
      <c r="T130" s="394"/>
      <c r="U130" s="394"/>
      <c r="V130" s="394"/>
      <c r="W130" s="394"/>
      <c r="X130" s="394"/>
      <c r="Y130" s="394"/>
      <c r="Z130" s="394"/>
    </row>
    <row r="131" customFormat="false" ht="18.75" hidden="false" customHeight="true" outlineLevel="0" collapsed="false">
      <c r="A131" s="298" t="s">
        <v>254</v>
      </c>
      <c r="B131" s="299" t="n">
        <f aca="false">A167</f>
        <v>12</v>
      </c>
      <c r="C131" s="300"/>
      <c r="D131" s="299" t="n">
        <f aca="false">B166</f>
        <v>5000</v>
      </c>
      <c r="E131" s="297"/>
      <c r="F131" s="394"/>
      <c r="G131" s="291"/>
      <c r="H131" s="292"/>
      <c r="I131" s="292"/>
      <c r="J131" s="292"/>
      <c r="K131" s="293"/>
      <c r="L131" s="394"/>
      <c r="M131" s="291"/>
      <c r="N131" s="292"/>
      <c r="O131" s="292"/>
      <c r="P131" s="292"/>
      <c r="Q131" s="293"/>
      <c r="R131" s="394"/>
      <c r="S131" s="394"/>
      <c r="T131" s="394"/>
      <c r="U131" s="394"/>
      <c r="V131" s="394"/>
      <c r="W131" s="394"/>
      <c r="X131" s="394"/>
      <c r="Y131" s="394"/>
      <c r="Z131" s="394"/>
    </row>
    <row r="132" customFormat="false" ht="18.75" hidden="false" customHeight="true" outlineLevel="0" collapsed="false">
      <c r="A132" s="294"/>
      <c r="B132" s="295"/>
      <c r="C132" s="295"/>
      <c r="D132" s="295"/>
      <c r="E132" s="297"/>
      <c r="F132" s="394"/>
      <c r="G132" s="291" t="s">
        <v>28</v>
      </c>
      <c r="H132" s="292" t="s">
        <v>33</v>
      </c>
      <c r="I132" s="292"/>
      <c r="J132" s="292" t="s">
        <v>60</v>
      </c>
      <c r="K132" s="293"/>
      <c r="L132" s="394"/>
      <c r="M132" s="291" t="s">
        <v>28</v>
      </c>
      <c r="N132" s="292" t="s">
        <v>33</v>
      </c>
      <c r="O132" s="292"/>
      <c r="P132" s="292" t="s">
        <v>60</v>
      </c>
      <c r="Q132" s="293"/>
      <c r="R132" s="394"/>
      <c r="S132" s="394"/>
      <c r="T132" s="394"/>
      <c r="U132" s="394"/>
      <c r="V132" s="394"/>
      <c r="W132" s="394"/>
      <c r="X132" s="394"/>
      <c r="Y132" s="394"/>
      <c r="Z132" s="394"/>
    </row>
    <row r="133" customFormat="false" ht="18.75" hidden="false" customHeight="true" outlineLevel="0" collapsed="false">
      <c r="A133" s="294" t="s">
        <v>92</v>
      </c>
      <c r="B133" s="295" t="s">
        <v>271</v>
      </c>
      <c r="C133" s="296"/>
      <c r="D133" s="295" t="s">
        <v>272</v>
      </c>
      <c r="E133" s="297"/>
      <c r="F133" s="394"/>
      <c r="G133" s="222" t="n">
        <f aca="false">G158</f>
        <v>12</v>
      </c>
      <c r="H133" s="174" t="n">
        <f aca="false">B157</f>
        <v>0</v>
      </c>
      <c r="I133" s="306"/>
      <c r="J133" s="174" t="n">
        <f aca="false">B64</f>
        <v>3</v>
      </c>
      <c r="K133" s="293"/>
      <c r="L133" s="394"/>
      <c r="M133" s="222" t="n">
        <f aca="false">M161</f>
        <v>12</v>
      </c>
      <c r="N133" s="174" t="n">
        <f aca="false">B157</f>
        <v>0</v>
      </c>
      <c r="O133" s="306"/>
      <c r="P133" s="174" t="n">
        <f aca="false">B64</f>
        <v>3</v>
      </c>
      <c r="Q133" s="293"/>
      <c r="R133" s="394"/>
      <c r="S133" s="394"/>
      <c r="T133" s="394"/>
      <c r="U133" s="394"/>
      <c r="V133" s="394"/>
      <c r="W133" s="394"/>
      <c r="X133" s="394"/>
      <c r="Y133" s="394"/>
      <c r="Z133" s="394"/>
    </row>
    <row r="134" customFormat="false" ht="18.75" hidden="false" customHeight="true" outlineLevel="0" collapsed="false">
      <c r="A134" s="298" t="n">
        <f aca="false">B96</f>
        <v>-97.481343283582</v>
      </c>
      <c r="B134" s="296" t="n">
        <f aca="false">IF(A111="YES", B95, 0)</f>
        <v>0</v>
      </c>
      <c r="C134" s="301"/>
      <c r="D134" s="296" t="n">
        <f aca="false">B97</f>
        <v>-97.481343283582</v>
      </c>
      <c r="E134" s="297"/>
      <c r="F134" s="394"/>
      <c r="G134" s="291"/>
      <c r="H134" s="292"/>
      <c r="I134" s="292"/>
      <c r="J134" s="292"/>
      <c r="K134" s="293"/>
      <c r="L134" s="394"/>
      <c r="M134" s="291"/>
      <c r="N134" s="292"/>
      <c r="O134" s="292"/>
      <c r="P134" s="292"/>
      <c r="Q134" s="293"/>
      <c r="R134" s="394"/>
      <c r="S134" s="394"/>
      <c r="T134" s="394"/>
      <c r="U134" s="394"/>
      <c r="V134" s="394"/>
      <c r="W134" s="394"/>
      <c r="X134" s="394"/>
      <c r="Y134" s="394"/>
      <c r="Z134" s="394"/>
    </row>
    <row r="135" customFormat="false" ht="18.75" hidden="false" customHeight="true" outlineLevel="0" collapsed="false">
      <c r="A135" s="291"/>
      <c r="B135" s="292"/>
      <c r="C135" s="292"/>
      <c r="D135" s="292"/>
      <c r="E135" s="293"/>
      <c r="F135" s="394"/>
      <c r="G135" s="440" t="s">
        <v>273</v>
      </c>
      <c r="H135" s="441" t="s">
        <v>274</v>
      </c>
      <c r="I135" s="441"/>
      <c r="J135" s="441" t="s">
        <v>275</v>
      </c>
      <c r="K135" s="293"/>
      <c r="L135" s="394"/>
      <c r="M135" s="440" t="s">
        <v>276</v>
      </c>
      <c r="N135" s="441" t="s">
        <v>227</v>
      </c>
      <c r="O135" s="441"/>
      <c r="P135" s="441" t="s">
        <v>93</v>
      </c>
      <c r="Q135" s="293"/>
      <c r="R135" s="394"/>
      <c r="S135" s="394"/>
      <c r="T135" s="394"/>
      <c r="U135" s="394"/>
      <c r="V135" s="394"/>
      <c r="W135" s="394"/>
      <c r="X135" s="394"/>
      <c r="Y135" s="394"/>
      <c r="Z135" s="394"/>
    </row>
    <row r="136" customFormat="false" ht="18.75" hidden="false" customHeight="true" outlineLevel="0" collapsed="false">
      <c r="A136" s="304" t="s">
        <v>23</v>
      </c>
      <c r="B136" s="305" t="s">
        <v>277</v>
      </c>
      <c r="C136" s="306"/>
      <c r="D136" s="305" t="s">
        <v>278</v>
      </c>
      <c r="E136" s="293"/>
      <c r="F136" s="394"/>
      <c r="G136" s="307" t="e">
        <f aca="false">H96</f>
        <v>#DIV/0!</v>
      </c>
      <c r="H136" s="442" t="e">
        <f aca="false">IF(G111="YES", H95*H63, 0)</f>
        <v>#DIV/0!</v>
      </c>
      <c r="I136" s="442"/>
      <c r="J136" s="308" t="e">
        <f aca="false">H97</f>
        <v>#DIV/0!</v>
      </c>
      <c r="K136" s="293"/>
      <c r="L136" s="394"/>
      <c r="M136" s="307" t="e">
        <f aca="false">N96</f>
        <v>#DIV/0!</v>
      </c>
      <c r="N136" s="442" t="e">
        <f aca="false">IF(M111="YES", N95*N63, 0)</f>
        <v>#DIV/0!</v>
      </c>
      <c r="O136" s="442"/>
      <c r="P136" s="442" t="e">
        <f aca="false">N97</f>
        <v>#DIV/0!</v>
      </c>
      <c r="Q136" s="293"/>
      <c r="R136" s="394"/>
      <c r="S136" s="394"/>
      <c r="T136" s="394"/>
      <c r="U136" s="394"/>
      <c r="V136" s="394"/>
      <c r="W136" s="394"/>
      <c r="X136" s="394"/>
      <c r="Y136" s="394"/>
      <c r="Z136" s="394"/>
    </row>
    <row r="137" customFormat="false" ht="18.75" hidden="false" customHeight="true" outlineLevel="0" collapsed="false">
      <c r="A137" s="309" t="str">
        <f aca="false">B105</f>
        <v>Terminal pause with 9 down</v>
      </c>
      <c r="B137" s="201" t="n">
        <f aca="false">B96*B63</f>
        <v>-877.332089552238</v>
      </c>
      <c r="C137" s="292"/>
      <c r="D137" s="201" t="n">
        <f aca="false">IF(A111="YES", B95*B63, 0)</f>
        <v>0</v>
      </c>
      <c r="E137" s="293"/>
      <c r="F137" s="394"/>
      <c r="G137" s="291"/>
      <c r="H137" s="292"/>
      <c r="I137" s="292"/>
      <c r="J137" s="292"/>
      <c r="K137" s="293"/>
      <c r="L137" s="394"/>
      <c r="M137" s="291"/>
      <c r="N137" s="292"/>
      <c r="O137" s="292"/>
      <c r="P137" s="292"/>
      <c r="Q137" s="293"/>
      <c r="R137" s="394"/>
      <c r="S137" s="394"/>
      <c r="T137" s="394"/>
      <c r="U137" s="394"/>
      <c r="V137" s="394"/>
      <c r="W137" s="394"/>
      <c r="X137" s="394"/>
      <c r="Y137" s="394"/>
      <c r="Z137" s="394"/>
    </row>
    <row r="138" customFormat="false" ht="18.75" hidden="false" customHeight="true" outlineLevel="0" collapsed="false">
      <c r="A138" s="291"/>
      <c r="B138" s="292"/>
      <c r="C138" s="292"/>
      <c r="D138" s="292"/>
      <c r="E138" s="293"/>
      <c r="F138" s="394"/>
      <c r="G138" s="291" t="s">
        <v>279</v>
      </c>
      <c r="H138" s="292" t="s">
        <v>280</v>
      </c>
      <c r="I138" s="292"/>
      <c r="J138" s="292" t="s">
        <v>281</v>
      </c>
      <c r="K138" s="293"/>
      <c r="L138" s="394"/>
      <c r="M138" s="291" t="s">
        <v>282</v>
      </c>
      <c r="N138" s="292" t="s">
        <v>216</v>
      </c>
      <c r="O138" s="292"/>
      <c r="P138" s="292" t="s">
        <v>220</v>
      </c>
      <c r="Q138" s="293"/>
      <c r="R138" s="394"/>
      <c r="S138" s="394"/>
      <c r="T138" s="394"/>
      <c r="U138" s="394"/>
      <c r="V138" s="394"/>
      <c r="W138" s="394"/>
      <c r="X138" s="394"/>
      <c r="Y138" s="394"/>
      <c r="Z138" s="394"/>
    </row>
    <row r="139" customFormat="false" ht="18.75" hidden="false" customHeight="true" outlineLevel="0" collapsed="false">
      <c r="A139" s="123" t="s">
        <v>283</v>
      </c>
      <c r="B139" s="200" t="s">
        <v>284</v>
      </c>
      <c r="C139" s="310"/>
      <c r="D139" s="240" t="s">
        <v>177</v>
      </c>
      <c r="E139" s="293"/>
      <c r="F139" s="394"/>
      <c r="G139" s="69" t="e">
        <f aca="false">H96*H63</f>
        <v>#DIV/0!</v>
      </c>
      <c r="H139" s="201" t="e">
        <f aca="false">IF(G111="YES", H95*H63, 0)</f>
        <v>#DIV/0!</v>
      </c>
      <c r="I139" s="310"/>
      <c r="J139" s="201" t="e">
        <f aca="false">H97*H63</f>
        <v>#DIV/0!</v>
      </c>
      <c r="K139" s="293"/>
      <c r="L139" s="394"/>
      <c r="M139" s="69" t="e">
        <f aca="false">N96*N63</f>
        <v>#DIV/0!</v>
      </c>
      <c r="N139" s="201" t="e">
        <f aca="false">IF(M111="YES", N95*N63, 0)</f>
        <v>#DIV/0!</v>
      </c>
      <c r="O139" s="310"/>
      <c r="P139" s="232" t="e">
        <f aca="false">N97*N63</f>
        <v>#DIV/0!</v>
      </c>
      <c r="Q139" s="293"/>
      <c r="R139" s="394"/>
      <c r="S139" s="394"/>
      <c r="T139" s="394"/>
      <c r="U139" s="394"/>
      <c r="V139" s="394"/>
      <c r="W139" s="394"/>
      <c r="X139" s="394"/>
      <c r="Y139" s="394"/>
      <c r="Z139" s="394"/>
    </row>
    <row r="140" customFormat="false" ht="18.75" hidden="false" customHeight="true" outlineLevel="0" collapsed="false">
      <c r="A140" s="70" t="n">
        <f aca="false">B97*B63</f>
        <v>-877.332089552238</v>
      </c>
      <c r="B140" s="201" t="n">
        <f aca="false">E120</f>
        <v>4000</v>
      </c>
      <c r="C140" s="292"/>
      <c r="D140" s="311" t="n">
        <f aca="false">B64</f>
        <v>3</v>
      </c>
      <c r="E140" s="293"/>
      <c r="F140" s="394"/>
      <c r="G140" s="291"/>
      <c r="H140" s="292"/>
      <c r="I140" s="292"/>
      <c r="J140" s="292"/>
      <c r="K140" s="293"/>
      <c r="L140" s="394"/>
      <c r="M140" s="291"/>
      <c r="N140" s="292"/>
      <c r="O140" s="292"/>
      <c r="P140" s="292"/>
      <c r="Q140" s="293"/>
      <c r="R140" s="394"/>
      <c r="S140" s="394"/>
      <c r="T140" s="394"/>
      <c r="U140" s="394"/>
      <c r="V140" s="394"/>
      <c r="W140" s="394"/>
      <c r="X140" s="394"/>
      <c r="Y140" s="394"/>
      <c r="Z140" s="394"/>
    </row>
    <row r="141" customFormat="false" ht="18.75" hidden="false" customHeight="true" outlineLevel="0" collapsed="false">
      <c r="A141" s="70"/>
      <c r="B141" s="312"/>
      <c r="C141" s="292"/>
      <c r="D141" s="292"/>
      <c r="E141" s="293"/>
      <c r="F141" s="394"/>
      <c r="G141" s="291" t="s">
        <v>285</v>
      </c>
      <c r="H141" s="292" t="s">
        <v>286</v>
      </c>
      <c r="I141" s="292"/>
      <c r="J141" s="292" t="s">
        <v>287</v>
      </c>
      <c r="K141" s="293"/>
      <c r="L141" s="394"/>
      <c r="M141" s="291" t="s">
        <v>229</v>
      </c>
      <c r="N141" s="292" t="s">
        <v>230</v>
      </c>
      <c r="O141" s="292"/>
      <c r="P141" s="292" t="s">
        <v>235</v>
      </c>
      <c r="Q141" s="293"/>
      <c r="R141" s="394"/>
      <c r="S141" s="394"/>
      <c r="T141" s="394"/>
      <c r="U141" s="394"/>
      <c r="V141" s="394"/>
      <c r="W141" s="394"/>
      <c r="X141" s="394"/>
      <c r="Y141" s="394"/>
      <c r="Z141" s="394"/>
    </row>
    <row r="142" customFormat="false" ht="18.75" hidden="false" customHeight="true" outlineLevel="0" collapsed="false">
      <c r="A142" s="78" t="s">
        <v>92</v>
      </c>
      <c r="B142" s="313" t="s">
        <v>271</v>
      </c>
      <c r="C142" s="292"/>
      <c r="D142" s="292" t="s">
        <v>272</v>
      </c>
      <c r="E142" s="293"/>
      <c r="F142" s="394"/>
      <c r="G142" s="70" t="n">
        <f aca="false">E15*0.000006</f>
        <v>0.35115</v>
      </c>
      <c r="H142" s="201" t="n">
        <f aca="false">IF(G111="YES", E15*0.000002, 0)</f>
        <v>0.11705</v>
      </c>
      <c r="I142" s="201"/>
      <c r="J142" s="201" t="n">
        <f aca="false">G142+H142</f>
        <v>0.4682</v>
      </c>
      <c r="K142" s="177"/>
      <c r="L142" s="394"/>
      <c r="M142" s="70" t="n">
        <f aca="false">E15*0.000006</f>
        <v>0.35115</v>
      </c>
      <c r="N142" s="201" t="n">
        <f aca="false">IF(M111="YES", E15*0.000002, 0)</f>
        <v>0.11705</v>
      </c>
      <c r="O142" s="201"/>
      <c r="P142" s="201" t="n">
        <f aca="false">M142+N142</f>
        <v>0.4682</v>
      </c>
      <c r="Q142" s="177"/>
      <c r="R142" s="394"/>
      <c r="S142" s="394"/>
      <c r="T142" s="394"/>
      <c r="U142" s="394"/>
      <c r="V142" s="394"/>
      <c r="W142" s="394"/>
      <c r="X142" s="394"/>
      <c r="Y142" s="394"/>
      <c r="Z142" s="394"/>
    </row>
    <row r="143" customFormat="false" ht="18.75" hidden="false" customHeight="true" outlineLevel="0" collapsed="false">
      <c r="A143" s="70" t="n">
        <f aca="false">B96</f>
        <v>-97.481343283582</v>
      </c>
      <c r="B143" s="201" t="n">
        <f aca="false">IF(A111="YES", B95, 0)</f>
        <v>0</v>
      </c>
      <c r="C143" s="292"/>
      <c r="D143" s="201" t="n">
        <f aca="false">B97</f>
        <v>-97.481343283582</v>
      </c>
      <c r="E143" s="293"/>
      <c r="F143" s="394"/>
      <c r="G143" s="291"/>
      <c r="H143" s="292"/>
      <c r="I143" s="292"/>
      <c r="J143" s="292"/>
      <c r="K143" s="293"/>
      <c r="L143" s="394"/>
      <c r="M143" s="291"/>
      <c r="N143" s="292"/>
      <c r="O143" s="292"/>
      <c r="P143" s="292"/>
      <c r="Q143" s="293"/>
      <c r="R143" s="394"/>
      <c r="S143" s="394"/>
      <c r="T143" s="394"/>
      <c r="U143" s="394"/>
      <c r="V143" s="394"/>
      <c r="W143" s="394"/>
      <c r="X143" s="394"/>
      <c r="Y143" s="394"/>
      <c r="Z143" s="394"/>
    </row>
    <row r="144" customFormat="false" ht="18.75" hidden="false" customHeight="true" outlineLevel="0" collapsed="false">
      <c r="A144" s="291"/>
      <c r="B144" s="292"/>
      <c r="C144" s="292"/>
      <c r="D144" s="292"/>
      <c r="E144" s="293"/>
      <c r="F144" s="394"/>
      <c r="G144" s="291" t="s">
        <v>288</v>
      </c>
      <c r="H144" s="292" t="s">
        <v>289</v>
      </c>
      <c r="I144" s="292"/>
      <c r="J144" s="292" t="s">
        <v>290</v>
      </c>
      <c r="K144" s="293"/>
      <c r="L144" s="394"/>
      <c r="M144" s="291" t="s">
        <v>111</v>
      </c>
      <c r="N144" s="292" t="s">
        <v>289</v>
      </c>
      <c r="O144" s="292"/>
      <c r="P144" s="292" t="s">
        <v>290</v>
      </c>
      <c r="Q144" s="293"/>
      <c r="R144" s="394"/>
      <c r="S144" s="394"/>
      <c r="T144" s="394"/>
      <c r="U144" s="394"/>
      <c r="V144" s="394"/>
      <c r="W144" s="394"/>
      <c r="X144" s="394"/>
      <c r="Y144" s="394"/>
      <c r="Z144" s="394"/>
    </row>
    <row r="145" customFormat="false" ht="18.75" hidden="false" customHeight="true" outlineLevel="0" collapsed="false">
      <c r="A145" s="314" t="s">
        <v>180</v>
      </c>
      <c r="B145" s="315" t="s">
        <v>291</v>
      </c>
      <c r="C145" s="201"/>
      <c r="D145" s="315" t="s">
        <v>182</v>
      </c>
      <c r="E145" s="177"/>
      <c r="F145" s="394"/>
      <c r="G145" s="70" t="n">
        <f aca="false">G108</f>
        <v>239.988</v>
      </c>
      <c r="H145" s="201" t="n">
        <f aca="false">H73/1.2</f>
        <v>241.1875</v>
      </c>
      <c r="I145" s="201"/>
      <c r="J145" s="201" t="n">
        <f aca="false">H108*0.9</f>
        <v>1080</v>
      </c>
      <c r="K145" s="177"/>
      <c r="L145" s="394"/>
      <c r="M145" s="70" t="n">
        <f aca="false">M108</f>
        <v>199.99</v>
      </c>
      <c r="N145" s="201" t="n">
        <f aca="false">N73/1.2</f>
        <v>241.1875</v>
      </c>
      <c r="O145" s="201"/>
      <c r="P145" s="201" t="n">
        <f aca="false">N108*0.9</f>
        <v>1080</v>
      </c>
      <c r="Q145" s="177"/>
      <c r="R145" s="394"/>
      <c r="S145" s="394"/>
      <c r="T145" s="394"/>
      <c r="U145" s="394"/>
      <c r="V145" s="394"/>
      <c r="W145" s="394"/>
      <c r="X145" s="394"/>
      <c r="Y145" s="394"/>
      <c r="Z145" s="394"/>
    </row>
    <row r="146" customFormat="false" ht="18.75" hidden="false" customHeight="true" outlineLevel="0" collapsed="false">
      <c r="A146" s="316" t="n">
        <f aca="false">(G18*0.000006)*1.2*100</f>
        <v>41.6772</v>
      </c>
      <c r="B146" s="317" t="n">
        <f aca="false">G18*0.000002 *1.2*100</f>
        <v>13.8924</v>
      </c>
      <c r="C146" s="292"/>
      <c r="D146" s="317" t="n">
        <f aca="false">A146+B146</f>
        <v>55.5696</v>
      </c>
      <c r="E146" s="293"/>
      <c r="F146" s="394"/>
      <c r="G146" s="291"/>
      <c r="H146" s="292"/>
      <c r="I146" s="292"/>
      <c r="J146" s="292"/>
      <c r="K146" s="293"/>
      <c r="L146" s="394"/>
      <c r="M146" s="291"/>
      <c r="N146" s="292"/>
      <c r="O146" s="292"/>
      <c r="P146" s="292"/>
      <c r="Q146" s="293"/>
      <c r="R146" s="394"/>
      <c r="S146" s="394"/>
      <c r="T146" s="394"/>
      <c r="U146" s="394"/>
      <c r="V146" s="394"/>
      <c r="W146" s="394"/>
      <c r="X146" s="394"/>
      <c r="Y146" s="394"/>
      <c r="Z146" s="394"/>
    </row>
    <row r="147" customFormat="false" ht="18.75" hidden="false" customHeight="true" outlineLevel="0" collapsed="false">
      <c r="A147" s="316"/>
      <c r="B147" s="317"/>
      <c r="C147" s="292"/>
      <c r="D147" s="317"/>
      <c r="E147" s="293"/>
      <c r="F147" s="394"/>
      <c r="G147" s="291" t="s">
        <v>292</v>
      </c>
      <c r="H147" s="292" t="s">
        <v>293</v>
      </c>
      <c r="I147" s="292"/>
      <c r="J147" s="292" t="s">
        <v>294</v>
      </c>
      <c r="K147" s="293"/>
      <c r="L147" s="394"/>
      <c r="M147" s="291" t="s">
        <v>292</v>
      </c>
      <c r="N147" s="292" t="s">
        <v>293</v>
      </c>
      <c r="O147" s="292"/>
      <c r="P147" s="292" t="s">
        <v>294</v>
      </c>
      <c r="Q147" s="293"/>
      <c r="R147" s="394"/>
      <c r="S147" s="394"/>
      <c r="T147" s="394"/>
      <c r="U147" s="394"/>
      <c r="V147" s="394"/>
      <c r="W147" s="394"/>
      <c r="X147" s="394"/>
      <c r="Y147" s="394"/>
      <c r="Z147" s="394"/>
    </row>
    <row r="148" customFormat="false" ht="18.75" hidden="false" customHeight="true" outlineLevel="0" collapsed="false">
      <c r="A148" s="314" t="s">
        <v>295</v>
      </c>
      <c r="B148" s="315" t="s">
        <v>152</v>
      </c>
      <c r="C148" s="201"/>
      <c r="D148" s="315" t="s">
        <v>246</v>
      </c>
      <c r="E148" s="293"/>
      <c r="F148" s="394"/>
      <c r="G148" s="70" t="n">
        <f aca="false">IF(G111="YES", ((A41*H111)*0.1)*(G133), 0)</f>
        <v>1440</v>
      </c>
      <c r="H148" s="201" t="n">
        <f aca="false">G108-100</f>
        <v>139.988</v>
      </c>
      <c r="I148" s="201"/>
      <c r="J148" s="201" t="n">
        <f aca="false">(H145+J145+G148+H148)-H151</f>
        <v>2901.1755</v>
      </c>
      <c r="K148" s="177"/>
      <c r="L148" s="394"/>
      <c r="M148" s="70" t="n">
        <f aca="false">IF(M111="YES", ((A41*N111)*0.1)*(M133), 0)</f>
        <v>1440</v>
      </c>
      <c r="N148" s="201" t="n">
        <f aca="false">M108-100</f>
        <v>99.99</v>
      </c>
      <c r="O148" s="201"/>
      <c r="P148" s="201" t="n">
        <f aca="false">(N145+P145+M148+N148)-N151</f>
        <v>2861.1775</v>
      </c>
      <c r="Q148" s="177"/>
      <c r="R148" s="394"/>
      <c r="S148" s="394"/>
      <c r="T148" s="394"/>
      <c r="U148" s="394"/>
      <c r="V148" s="394"/>
      <c r="W148" s="394"/>
      <c r="X148" s="394"/>
      <c r="Y148" s="394"/>
      <c r="Z148" s="394"/>
    </row>
    <row r="149" customFormat="false" ht="18.75" hidden="false" customHeight="true" outlineLevel="0" collapsed="false">
      <c r="A149" s="70" t="n">
        <v>0</v>
      </c>
      <c r="B149" s="201" t="n">
        <f aca="false">E124</f>
        <v>199.99</v>
      </c>
      <c r="C149" s="292"/>
      <c r="D149" s="152" t="n">
        <f aca="false">B108</f>
        <v>400</v>
      </c>
      <c r="E149" s="293"/>
      <c r="F149" s="394"/>
      <c r="G149" s="291"/>
      <c r="H149" s="292"/>
      <c r="I149" s="292"/>
      <c r="J149" s="292"/>
      <c r="K149" s="293"/>
      <c r="L149" s="394"/>
      <c r="M149" s="291"/>
      <c r="N149" s="292"/>
      <c r="O149" s="292"/>
      <c r="P149" s="292"/>
      <c r="Q149" s="293"/>
      <c r="R149" s="394"/>
      <c r="S149" s="394"/>
      <c r="T149" s="394"/>
      <c r="U149" s="394"/>
      <c r="V149" s="394"/>
      <c r="W149" s="394"/>
      <c r="X149" s="394"/>
      <c r="Y149" s="394"/>
      <c r="Z149" s="394"/>
    </row>
    <row r="150" customFormat="false" ht="18.75" hidden="false" customHeight="true" outlineLevel="0" collapsed="false">
      <c r="A150" s="70"/>
      <c r="B150" s="201"/>
      <c r="C150" s="292"/>
      <c r="D150" s="201"/>
      <c r="E150" s="293"/>
      <c r="F150" s="394"/>
      <c r="G150" s="291" t="s">
        <v>296</v>
      </c>
      <c r="H150" s="292" t="s">
        <v>297</v>
      </c>
      <c r="I150" s="292"/>
      <c r="J150" s="292"/>
      <c r="K150" s="293"/>
      <c r="L150" s="394"/>
      <c r="M150" s="291" t="s">
        <v>296</v>
      </c>
      <c r="N150" s="292" t="s">
        <v>297</v>
      </c>
      <c r="O150" s="292"/>
      <c r="P150" s="292"/>
      <c r="Q150" s="293"/>
      <c r="R150" s="394"/>
      <c r="S150" s="394"/>
      <c r="T150" s="394"/>
      <c r="U150" s="394"/>
      <c r="V150" s="394"/>
      <c r="W150" s="394"/>
      <c r="X150" s="394"/>
      <c r="Y150" s="394"/>
      <c r="Z150" s="394"/>
    </row>
    <row r="151" customFormat="false" ht="18.75" hidden="false" customHeight="true" outlineLevel="0" collapsed="false">
      <c r="A151" s="318" t="s">
        <v>298</v>
      </c>
      <c r="B151" s="319"/>
      <c r="C151" s="320"/>
      <c r="D151" s="319"/>
      <c r="E151" s="321"/>
      <c r="F151" s="394"/>
      <c r="G151" s="70" t="n">
        <f aca="false">IF((1200-H108) &lt;= 0, 0, (1200-H108))</f>
        <v>0</v>
      </c>
      <c r="H151" s="201" t="n">
        <f aca="false">(H145+J145+G148+H148)*(G151/H70)</f>
        <v>0</v>
      </c>
      <c r="I151" s="292"/>
      <c r="J151" s="292"/>
      <c r="K151" s="293"/>
      <c r="L151" s="394"/>
      <c r="M151" s="70" t="n">
        <f aca="false">IF((1200-N108) &lt;= 0, 0, (1200-N108))</f>
        <v>0</v>
      </c>
      <c r="N151" s="201" t="n">
        <f aca="false">(N145+P145+M148+N148)*(M151/N70)</f>
        <v>0</v>
      </c>
      <c r="O151" s="292"/>
      <c r="P151" s="292"/>
      <c r="Q151" s="293"/>
      <c r="R151" s="394"/>
      <c r="S151" s="394"/>
      <c r="T151" s="394"/>
      <c r="U151" s="394"/>
      <c r="V151" s="394"/>
      <c r="W151" s="394"/>
      <c r="X151" s="394"/>
      <c r="Y151" s="394"/>
      <c r="Z151" s="394"/>
    </row>
    <row r="152" customFormat="false" ht="18.75" hidden="false" customHeight="true" outlineLevel="0" collapsed="false">
      <c r="A152" s="316"/>
      <c r="B152" s="317"/>
      <c r="C152" s="292"/>
      <c r="D152" s="317"/>
      <c r="E152" s="293"/>
      <c r="F152" s="394"/>
      <c r="G152" s="291"/>
      <c r="H152" s="292"/>
      <c r="I152" s="292"/>
      <c r="J152" s="292"/>
      <c r="K152" s="293"/>
      <c r="L152" s="394"/>
      <c r="M152" s="70"/>
      <c r="N152" s="201"/>
      <c r="O152" s="292"/>
      <c r="P152" s="292"/>
      <c r="Q152" s="293"/>
      <c r="R152" s="394"/>
      <c r="S152" s="394"/>
      <c r="T152" s="394"/>
      <c r="U152" s="394"/>
      <c r="V152" s="394"/>
      <c r="W152" s="394"/>
      <c r="X152" s="394"/>
      <c r="Y152" s="394"/>
      <c r="Z152" s="394"/>
    </row>
    <row r="153" customFormat="false" ht="18.75" hidden="false" customHeight="true" outlineLevel="0" collapsed="false">
      <c r="A153" s="291" t="s">
        <v>299</v>
      </c>
      <c r="B153" s="292" t="s">
        <v>300</v>
      </c>
      <c r="C153" s="292"/>
      <c r="D153" s="292" t="s">
        <v>301</v>
      </c>
      <c r="E153" s="293"/>
      <c r="F153" s="394"/>
      <c r="G153" s="291"/>
      <c r="H153" s="292"/>
      <c r="I153" s="292"/>
      <c r="J153" s="292"/>
      <c r="K153" s="293"/>
      <c r="L153" s="394"/>
      <c r="M153" s="78" t="s">
        <v>302</v>
      </c>
      <c r="N153" s="200" t="s">
        <v>303</v>
      </c>
      <c r="O153" s="292"/>
      <c r="P153" s="292"/>
      <c r="Q153" s="293"/>
      <c r="R153" s="394"/>
      <c r="S153" s="394"/>
      <c r="T153" s="394"/>
      <c r="U153" s="394"/>
      <c r="V153" s="394"/>
      <c r="W153" s="394"/>
      <c r="X153" s="394"/>
      <c r="Y153" s="394"/>
      <c r="Z153" s="394"/>
    </row>
    <row r="154" customFormat="false" ht="18.75" hidden="false" customHeight="true" outlineLevel="0" collapsed="false">
      <c r="A154" s="70" t="n">
        <f aca="false">B73</f>
        <v>578.85</v>
      </c>
      <c r="B154" s="37" t="n">
        <f aca="false">B108</f>
        <v>400</v>
      </c>
      <c r="C154" s="201"/>
      <c r="D154" s="201" t="n">
        <f aca="false">IF(A111="YES", (A44/100*B111)*B131, 0)*0.1</f>
        <v>0</v>
      </c>
      <c r="E154" s="177"/>
      <c r="F154" s="394"/>
      <c r="G154" s="324" t="s">
        <v>304</v>
      </c>
      <c r="H154" s="292"/>
      <c r="I154" s="292"/>
      <c r="J154" s="325"/>
      <c r="K154" s="326"/>
      <c r="L154" s="394"/>
      <c r="M154" s="322" t="n">
        <f aca="false">H40</f>
        <v>9647.5</v>
      </c>
      <c r="N154" s="323" t="n">
        <v>0.99</v>
      </c>
      <c r="O154" s="323"/>
      <c r="P154" s="292"/>
      <c r="Q154" s="293"/>
      <c r="R154" s="394"/>
      <c r="S154" s="394"/>
      <c r="T154" s="394"/>
      <c r="U154" s="394"/>
      <c r="V154" s="394"/>
      <c r="W154" s="394"/>
      <c r="X154" s="394"/>
      <c r="Y154" s="394"/>
      <c r="Z154" s="394"/>
    </row>
    <row r="155" customFormat="false" ht="18.75" hidden="false" customHeight="true" outlineLevel="0" collapsed="false">
      <c r="A155" s="291"/>
      <c r="B155" s="292"/>
      <c r="C155" s="292"/>
      <c r="D155" s="292"/>
      <c r="E155" s="293"/>
      <c r="F155" s="394"/>
      <c r="G155" s="291"/>
      <c r="H155" s="327"/>
      <c r="I155" s="327"/>
      <c r="J155" s="292"/>
      <c r="K155" s="293"/>
      <c r="L155" s="394"/>
      <c r="M155" s="291"/>
      <c r="N155" s="292"/>
      <c r="O155" s="292"/>
      <c r="P155" s="292"/>
      <c r="Q155" s="293"/>
      <c r="R155" s="394"/>
      <c r="S155" s="394"/>
      <c r="T155" s="394"/>
      <c r="U155" s="394"/>
      <c r="V155" s="394"/>
      <c r="W155" s="394"/>
      <c r="X155" s="394"/>
      <c r="Y155" s="394"/>
      <c r="Z155" s="394"/>
    </row>
    <row r="156" customFormat="false" ht="18.75" hidden="false" customHeight="true" outlineLevel="0" collapsed="false">
      <c r="A156" s="291" t="s">
        <v>305</v>
      </c>
      <c r="B156" s="292" t="s">
        <v>297</v>
      </c>
      <c r="C156" s="292"/>
      <c r="D156" s="292" t="s">
        <v>294</v>
      </c>
      <c r="E156" s="293"/>
      <c r="F156" s="394"/>
      <c r="G156" s="248" t="s">
        <v>28</v>
      </c>
      <c r="H156" s="249" t="s">
        <v>33</v>
      </c>
      <c r="I156" s="249"/>
      <c r="J156" s="292"/>
      <c r="K156" s="293"/>
      <c r="L156" s="394"/>
      <c r="M156" s="291"/>
      <c r="N156" s="292"/>
      <c r="O156" s="292"/>
      <c r="P156" s="292"/>
      <c r="Q156" s="293"/>
      <c r="R156" s="394"/>
      <c r="S156" s="394"/>
      <c r="T156" s="394"/>
      <c r="U156" s="394"/>
      <c r="V156" s="394"/>
      <c r="W156" s="394"/>
      <c r="X156" s="394"/>
      <c r="Y156" s="394"/>
      <c r="Z156" s="394"/>
    </row>
    <row r="157" customFormat="false" ht="18.75" hidden="false" customHeight="true" outlineLevel="0" collapsed="false">
      <c r="A157" s="70" t="n">
        <f aca="false">E124-100</f>
        <v>99.99</v>
      </c>
      <c r="B157" s="201" t="n">
        <f aca="false">(A154+B154+D154+A157)*(A149/B70)</f>
        <v>0</v>
      </c>
      <c r="C157" s="201"/>
      <c r="D157" s="201" t="n">
        <f aca="false">(A154+B154+D154+A157)-B157</f>
        <v>1078.84</v>
      </c>
      <c r="E157" s="177"/>
      <c r="F157" s="394"/>
      <c r="G157" s="248"/>
      <c r="H157" s="250" t="n">
        <f aca="false">B57</f>
        <v>5000</v>
      </c>
      <c r="I157" s="250"/>
      <c r="J157" s="292"/>
      <c r="K157" s="293"/>
      <c r="L157" s="394"/>
      <c r="M157" s="324" t="s">
        <v>304</v>
      </c>
      <c r="N157" s="292"/>
      <c r="O157" s="292"/>
      <c r="P157" s="325"/>
      <c r="Q157" s="326"/>
      <c r="R157" s="394"/>
      <c r="S157" s="394"/>
      <c r="T157" s="394"/>
      <c r="U157" s="394"/>
      <c r="V157" s="394"/>
      <c r="W157" s="394"/>
      <c r="X157" s="394"/>
      <c r="Y157" s="394"/>
      <c r="Z157" s="394"/>
    </row>
    <row r="158" customFormat="false" ht="18.75" hidden="false" customHeight="true" outlineLevel="0" collapsed="false">
      <c r="A158" s="291"/>
      <c r="B158" s="292"/>
      <c r="C158" s="292"/>
      <c r="D158" s="292"/>
      <c r="E158" s="293"/>
      <c r="F158" s="394"/>
      <c r="G158" s="251" t="n">
        <f aca="false">A58</f>
        <v>12</v>
      </c>
      <c r="H158" s="92" t="e">
        <f aca="false">H97</f>
        <v>#DIV/0!</v>
      </c>
      <c r="I158" s="92"/>
      <c r="J158" s="292"/>
      <c r="K158" s="293"/>
      <c r="L158" s="394"/>
      <c r="M158" s="291"/>
      <c r="N158" s="327"/>
      <c r="O158" s="327"/>
      <c r="P158" s="292"/>
      <c r="Q158" s="293"/>
      <c r="R158" s="394"/>
      <c r="S158" s="394"/>
      <c r="T158" s="394"/>
      <c r="U158" s="394"/>
      <c r="V158" s="394"/>
      <c r="W158" s="394"/>
      <c r="X158" s="394"/>
      <c r="Y158" s="394"/>
      <c r="Z158" s="394"/>
    </row>
    <row r="159" customFormat="false" ht="18.75" hidden="false" customHeight="true" outlineLevel="0" collapsed="false">
      <c r="A159" s="291" t="s">
        <v>306</v>
      </c>
      <c r="B159" s="292"/>
      <c r="C159" s="292"/>
      <c r="D159" s="292"/>
      <c r="E159" s="293"/>
      <c r="F159" s="394"/>
      <c r="G159" s="291"/>
      <c r="H159" s="292"/>
      <c r="I159" s="292"/>
      <c r="J159" s="292"/>
      <c r="K159" s="293"/>
      <c r="L159" s="394"/>
      <c r="M159" s="248" t="s">
        <v>28</v>
      </c>
      <c r="N159" s="249" t="s">
        <v>33</v>
      </c>
      <c r="O159" s="249"/>
      <c r="P159" s="292"/>
      <c r="Q159" s="293"/>
      <c r="R159" s="394"/>
      <c r="S159" s="394"/>
      <c r="T159" s="394"/>
      <c r="U159" s="394"/>
      <c r="V159" s="394"/>
      <c r="W159" s="394"/>
      <c r="X159" s="394"/>
      <c r="Y159" s="394"/>
      <c r="Z159" s="394"/>
    </row>
    <row r="160" customFormat="false" ht="18.75" hidden="false" customHeight="true" outlineLevel="0" collapsed="false">
      <c r="A160" s="70" t="n">
        <f aca="false">D108</f>
        <v>200</v>
      </c>
      <c r="B160" s="201"/>
      <c r="C160" s="292"/>
      <c r="D160" s="292"/>
      <c r="E160" s="293"/>
      <c r="F160" s="394"/>
      <c r="G160" s="291"/>
      <c r="H160" s="292"/>
      <c r="I160" s="292"/>
      <c r="J160" s="292"/>
      <c r="K160" s="293"/>
      <c r="L160" s="394"/>
      <c r="M160" s="248"/>
      <c r="N160" s="250" t="n">
        <f aca="false">B57</f>
        <v>5000</v>
      </c>
      <c r="O160" s="250"/>
      <c r="P160" s="292"/>
      <c r="Q160" s="293"/>
      <c r="R160" s="394"/>
      <c r="S160" s="394"/>
      <c r="T160" s="394"/>
      <c r="U160" s="394"/>
      <c r="V160" s="394"/>
      <c r="W160" s="394"/>
      <c r="X160" s="394"/>
      <c r="Y160" s="394"/>
      <c r="Z160" s="394"/>
    </row>
    <row r="161" customFormat="false" ht="18.75" hidden="false" customHeight="true" outlineLevel="0" collapsed="false">
      <c r="A161" s="291"/>
      <c r="B161" s="292"/>
      <c r="C161" s="292"/>
      <c r="D161" s="292"/>
      <c r="E161" s="293"/>
      <c r="F161" s="394"/>
      <c r="G161" s="291"/>
      <c r="H161" s="292"/>
      <c r="I161" s="292"/>
      <c r="J161" s="292"/>
      <c r="K161" s="293"/>
      <c r="L161" s="394"/>
      <c r="M161" s="251" t="n">
        <f aca="false">A58</f>
        <v>12</v>
      </c>
      <c r="N161" s="92" t="e">
        <f aca="false">N97</f>
        <v>#DIV/0!</v>
      </c>
      <c r="O161" s="92"/>
      <c r="P161" s="292"/>
      <c r="Q161" s="293"/>
      <c r="R161" s="394"/>
      <c r="S161" s="394"/>
      <c r="T161" s="394"/>
      <c r="U161" s="394"/>
      <c r="V161" s="394"/>
      <c r="W161" s="394"/>
      <c r="X161" s="394"/>
      <c r="Y161" s="394"/>
      <c r="Z161" s="394"/>
    </row>
    <row r="162" customFormat="false" ht="18.75" hidden="false" customHeight="true" outlineLevel="0" collapsed="false">
      <c r="A162" s="291"/>
      <c r="B162" s="292"/>
      <c r="C162" s="292"/>
      <c r="D162" s="292"/>
      <c r="E162" s="293"/>
      <c r="F162" s="394"/>
      <c r="G162" s="291"/>
      <c r="H162" s="292"/>
      <c r="I162" s="292"/>
      <c r="J162" s="292"/>
      <c r="K162" s="293"/>
      <c r="L162" s="394"/>
      <c r="M162" s="291"/>
      <c r="N162" s="292"/>
      <c r="O162" s="292"/>
      <c r="P162" s="292"/>
      <c r="Q162" s="293"/>
      <c r="R162" s="394"/>
      <c r="S162" s="394"/>
      <c r="T162" s="394"/>
      <c r="U162" s="394"/>
      <c r="V162" s="394"/>
      <c r="W162" s="394"/>
      <c r="X162" s="394"/>
      <c r="Y162" s="394"/>
      <c r="Z162" s="394"/>
    </row>
    <row r="163" customFormat="false" ht="18.75" hidden="false" customHeight="true" outlineLevel="0" collapsed="false">
      <c r="A163" s="324" t="s">
        <v>304</v>
      </c>
      <c r="B163" s="292"/>
      <c r="C163" s="292"/>
      <c r="D163" s="325"/>
      <c r="E163" s="326"/>
      <c r="F163" s="394"/>
      <c r="G163" s="342"/>
      <c r="H163" s="343"/>
      <c r="I163" s="343"/>
      <c r="J163" s="343"/>
      <c r="K163" s="344"/>
      <c r="L163" s="394"/>
      <c r="M163" s="291"/>
      <c r="N163" s="292"/>
      <c r="O163" s="292"/>
      <c r="P163" s="292"/>
      <c r="Q163" s="293"/>
      <c r="R163" s="394"/>
      <c r="S163" s="394"/>
      <c r="T163" s="394"/>
      <c r="U163" s="394"/>
      <c r="V163" s="394"/>
      <c r="W163" s="394"/>
      <c r="X163" s="394"/>
      <c r="Y163" s="394"/>
      <c r="Z163" s="394"/>
    </row>
    <row r="164" customFormat="false" ht="18.75" hidden="false" customHeight="true" outlineLevel="0" collapsed="false">
      <c r="A164" s="291"/>
      <c r="B164" s="327"/>
      <c r="C164" s="327"/>
      <c r="D164" s="292"/>
      <c r="E164" s="293"/>
      <c r="F164" s="394"/>
      <c r="G164" s="394"/>
      <c r="H164" s="394"/>
      <c r="I164" s="394"/>
      <c r="J164" s="394"/>
      <c r="K164" s="394"/>
      <c r="L164" s="394"/>
      <c r="M164" s="291"/>
      <c r="N164" s="292"/>
      <c r="O164" s="292"/>
      <c r="P164" s="292"/>
      <c r="Q164" s="293"/>
      <c r="R164" s="394"/>
      <c r="S164" s="394"/>
      <c r="T164" s="394"/>
      <c r="U164" s="394"/>
      <c r="V164" s="394"/>
      <c r="W164" s="394"/>
      <c r="X164" s="394"/>
      <c r="Y164" s="394"/>
      <c r="Z164" s="394"/>
    </row>
    <row r="165" customFormat="false" ht="18.75" hidden="false" customHeight="true" outlineLevel="0" collapsed="false">
      <c r="A165" s="248" t="s">
        <v>28</v>
      </c>
      <c r="B165" s="249" t="s">
        <v>33</v>
      </c>
      <c r="C165" s="249"/>
      <c r="D165" s="292"/>
      <c r="E165" s="293"/>
      <c r="F165" s="394"/>
      <c r="G165" s="394"/>
      <c r="H165" s="394"/>
      <c r="I165" s="394"/>
      <c r="J165" s="394"/>
      <c r="K165" s="394"/>
      <c r="L165" s="394"/>
      <c r="M165" s="291"/>
      <c r="N165" s="292"/>
      <c r="O165" s="292"/>
      <c r="P165" s="292"/>
      <c r="Q165" s="293"/>
      <c r="R165" s="394"/>
      <c r="S165" s="394"/>
      <c r="T165" s="394"/>
      <c r="U165" s="394"/>
      <c r="V165" s="394"/>
      <c r="W165" s="394"/>
      <c r="X165" s="394"/>
      <c r="Y165" s="394"/>
      <c r="Z165" s="394"/>
    </row>
    <row r="166" customFormat="false" ht="18.75" hidden="false" customHeight="true" outlineLevel="0" collapsed="false">
      <c r="A166" s="248"/>
      <c r="B166" s="250" t="n">
        <f aca="false">B57</f>
        <v>5000</v>
      </c>
      <c r="C166" s="250"/>
      <c r="D166" s="292"/>
      <c r="E166" s="293"/>
      <c r="F166" s="394"/>
      <c r="G166" s="394"/>
      <c r="H166" s="394"/>
      <c r="I166" s="394"/>
      <c r="J166" s="394"/>
      <c r="K166" s="394"/>
      <c r="L166" s="394"/>
      <c r="M166" s="291"/>
      <c r="N166" s="292"/>
      <c r="O166" s="292"/>
      <c r="P166" s="292"/>
      <c r="Q166" s="293"/>
      <c r="R166" s="394"/>
      <c r="S166" s="394"/>
      <c r="T166" s="394"/>
      <c r="U166" s="394"/>
      <c r="V166" s="394"/>
      <c r="W166" s="394"/>
      <c r="X166" s="394"/>
      <c r="Y166" s="394"/>
      <c r="Z166" s="394"/>
    </row>
    <row r="167" customFormat="false" ht="18.75" hidden="false" customHeight="true" outlineLevel="0" collapsed="false">
      <c r="A167" s="251" t="n">
        <f aca="false">A58</f>
        <v>12</v>
      </c>
      <c r="B167" s="92" t="n">
        <f aca="false">B97</f>
        <v>-97.481343283582</v>
      </c>
      <c r="C167" s="92"/>
      <c r="D167" s="292"/>
      <c r="E167" s="293"/>
      <c r="F167" s="394"/>
      <c r="G167" s="394"/>
      <c r="H167" s="394"/>
      <c r="I167" s="394"/>
      <c r="J167" s="394"/>
      <c r="K167" s="394"/>
      <c r="L167" s="394"/>
      <c r="M167" s="291"/>
      <c r="N167" s="292"/>
      <c r="O167" s="292"/>
      <c r="P167" s="292"/>
      <c r="Q167" s="293"/>
      <c r="R167" s="394"/>
      <c r="S167" s="394"/>
      <c r="T167" s="394"/>
      <c r="U167" s="394"/>
      <c r="V167" s="394"/>
      <c r="W167" s="394"/>
      <c r="X167" s="394"/>
      <c r="Y167" s="394"/>
      <c r="Z167" s="394"/>
    </row>
    <row r="168" customFormat="false" ht="18.75" hidden="false" customHeight="true" outlineLevel="0" collapsed="false">
      <c r="A168" s="291"/>
      <c r="B168" s="292"/>
      <c r="C168" s="292"/>
      <c r="D168" s="292"/>
      <c r="E168" s="293"/>
      <c r="F168" s="394"/>
      <c r="G168" s="394"/>
      <c r="H168" s="394"/>
      <c r="I168" s="394"/>
      <c r="J168" s="394"/>
      <c r="K168" s="394"/>
      <c r="L168" s="394"/>
      <c r="M168" s="342"/>
      <c r="N168" s="343"/>
      <c r="O168" s="343"/>
      <c r="P168" s="343"/>
      <c r="Q168" s="344"/>
      <c r="R168" s="394"/>
      <c r="S168" s="394"/>
      <c r="T168" s="394"/>
      <c r="U168" s="394"/>
      <c r="V168" s="394"/>
      <c r="W168" s="394"/>
      <c r="X168" s="394"/>
      <c r="Y168" s="394"/>
      <c r="Z168" s="394"/>
    </row>
    <row r="169" customFormat="false" ht="18.75" hidden="false" customHeight="true" outlineLevel="0" collapsed="false">
      <c r="A169" s="291"/>
      <c r="B169" s="292"/>
      <c r="C169" s="292"/>
      <c r="D169" s="292"/>
      <c r="E169" s="293"/>
      <c r="F169" s="394"/>
      <c r="G169" s="394"/>
      <c r="H169" s="394"/>
      <c r="I169" s="394"/>
      <c r="J169" s="394"/>
      <c r="K169" s="394"/>
      <c r="L169" s="394"/>
      <c r="M169" s="394"/>
      <c r="N169" s="394"/>
      <c r="O169" s="394"/>
      <c r="P169" s="394"/>
      <c r="Q169" s="394"/>
      <c r="R169" s="394"/>
      <c r="S169" s="394"/>
      <c r="T169" s="394"/>
      <c r="U169" s="394"/>
      <c r="V169" s="394"/>
      <c r="W169" s="394"/>
      <c r="X169" s="394"/>
      <c r="Y169" s="394"/>
      <c r="Z169" s="394"/>
    </row>
    <row r="170" customFormat="false" ht="18.75" hidden="false" customHeight="true" outlineLevel="0" collapsed="false">
      <c r="A170" s="291"/>
      <c r="B170" s="292"/>
      <c r="C170" s="292"/>
      <c r="D170" s="292"/>
      <c r="E170" s="293"/>
      <c r="F170" s="394"/>
      <c r="G170" s="394"/>
      <c r="H170" s="394"/>
      <c r="I170" s="394"/>
      <c r="J170" s="394"/>
      <c r="K170" s="394"/>
      <c r="L170" s="394"/>
      <c r="M170" s="394"/>
      <c r="N170" s="394"/>
      <c r="O170" s="394"/>
      <c r="P170" s="394"/>
      <c r="Q170" s="394"/>
      <c r="R170" s="394"/>
      <c r="S170" s="394"/>
      <c r="T170" s="394"/>
      <c r="U170" s="394"/>
      <c r="V170" s="394"/>
      <c r="W170" s="394"/>
      <c r="X170" s="394"/>
      <c r="Y170" s="394"/>
      <c r="Z170" s="394"/>
    </row>
    <row r="171" customFormat="false" ht="18.75" hidden="false" customHeight="true" outlineLevel="0" collapsed="false">
      <c r="A171" s="328" t="s">
        <v>270</v>
      </c>
      <c r="B171" s="328"/>
      <c r="C171" s="328"/>
      <c r="D171" s="328"/>
      <c r="E171" s="328"/>
      <c r="F171" s="394"/>
      <c r="G171" s="394"/>
      <c r="H171" s="394"/>
      <c r="I171" s="394"/>
      <c r="J171" s="394"/>
      <c r="K171" s="394"/>
      <c r="L171" s="394"/>
      <c r="M171" s="394"/>
      <c r="N171" s="394"/>
      <c r="O171" s="394"/>
      <c r="P171" s="394"/>
      <c r="Q171" s="394"/>
      <c r="R171" s="394"/>
      <c r="S171" s="394"/>
      <c r="T171" s="394"/>
      <c r="U171" s="394"/>
      <c r="V171" s="394"/>
      <c r="W171" s="394"/>
      <c r="X171" s="394"/>
      <c r="Y171" s="394"/>
      <c r="Z171" s="394"/>
    </row>
    <row r="172" customFormat="false" ht="18.75" hidden="false" customHeight="true" outlineLevel="0" collapsed="false">
      <c r="A172" s="291"/>
      <c r="B172" s="329"/>
      <c r="C172" s="329"/>
      <c r="D172" s="329"/>
      <c r="E172" s="293"/>
      <c r="F172" s="394"/>
      <c r="G172" s="394"/>
      <c r="H172" s="394"/>
      <c r="I172" s="394"/>
      <c r="J172" s="394"/>
      <c r="K172" s="394"/>
      <c r="L172" s="394"/>
      <c r="M172" s="394"/>
      <c r="N172" s="394"/>
      <c r="O172" s="394"/>
      <c r="P172" s="394"/>
      <c r="Q172" s="394"/>
      <c r="R172" s="394"/>
      <c r="S172" s="394"/>
      <c r="T172" s="394"/>
      <c r="U172" s="394"/>
      <c r="V172" s="394"/>
      <c r="W172" s="394"/>
      <c r="X172" s="394"/>
      <c r="Y172" s="394"/>
      <c r="Z172" s="394"/>
    </row>
    <row r="173" customFormat="false" ht="18.75" hidden="false" customHeight="true" outlineLevel="0" collapsed="false">
      <c r="A173" s="294" t="s">
        <v>98</v>
      </c>
      <c r="B173" s="330" t="s">
        <v>174</v>
      </c>
      <c r="C173" s="331"/>
      <c r="D173" s="330" t="s">
        <v>33</v>
      </c>
      <c r="E173" s="297"/>
      <c r="F173" s="394"/>
      <c r="G173" s="394"/>
      <c r="H173" s="394"/>
      <c r="I173" s="394"/>
      <c r="J173" s="394"/>
      <c r="K173" s="394"/>
      <c r="L173" s="394"/>
      <c r="M173" s="394"/>
      <c r="N173" s="394"/>
      <c r="O173" s="394"/>
      <c r="P173" s="394"/>
      <c r="Q173" s="394"/>
      <c r="R173" s="394"/>
      <c r="S173" s="394"/>
      <c r="T173" s="394"/>
      <c r="U173" s="394"/>
      <c r="V173" s="394"/>
      <c r="W173" s="394"/>
      <c r="X173" s="394"/>
      <c r="Y173" s="394"/>
      <c r="Z173" s="394"/>
    </row>
    <row r="174" customFormat="false" ht="18.75" hidden="false" customHeight="true" outlineLevel="0" collapsed="false">
      <c r="A174" s="298" t="s">
        <v>254</v>
      </c>
      <c r="B174" s="332" t="n">
        <f aca="false">A167</f>
        <v>12</v>
      </c>
      <c r="C174" s="333"/>
      <c r="D174" s="331" t="n">
        <f aca="false">B166</f>
        <v>5000</v>
      </c>
      <c r="E174" s="297"/>
      <c r="F174" s="394"/>
      <c r="G174" s="443" t="n">
        <f aca="false">ISNUMBER(B183)</f>
        <v>1</v>
      </c>
      <c r="H174" s="394"/>
      <c r="I174" s="394"/>
      <c r="J174" s="394"/>
      <c r="K174" s="394"/>
      <c r="L174" s="394"/>
      <c r="M174" s="394"/>
      <c r="N174" s="394"/>
      <c r="O174" s="394"/>
      <c r="P174" s="394"/>
      <c r="Q174" s="394"/>
      <c r="R174" s="394"/>
      <c r="S174" s="394"/>
      <c r="T174" s="394"/>
      <c r="U174" s="394"/>
      <c r="V174" s="394"/>
      <c r="W174" s="394"/>
      <c r="X174" s="394"/>
      <c r="Y174" s="394"/>
      <c r="Z174" s="394"/>
    </row>
    <row r="175" customFormat="false" ht="18.75" hidden="false" customHeight="true" outlineLevel="0" collapsed="false">
      <c r="A175" s="294"/>
      <c r="B175" s="330"/>
      <c r="C175" s="330"/>
      <c r="D175" s="330"/>
      <c r="E175" s="297"/>
      <c r="F175" s="394"/>
      <c r="G175" s="394"/>
      <c r="H175" s="394"/>
      <c r="I175" s="394"/>
      <c r="J175" s="394"/>
      <c r="K175" s="394"/>
      <c r="L175" s="394"/>
      <c r="M175" s="394"/>
      <c r="N175" s="394"/>
      <c r="O175" s="394"/>
      <c r="P175" s="394"/>
      <c r="Q175" s="394"/>
      <c r="R175" s="394"/>
      <c r="S175" s="394"/>
      <c r="T175" s="394"/>
      <c r="U175" s="394"/>
      <c r="V175" s="394"/>
      <c r="W175" s="394"/>
      <c r="X175" s="394"/>
      <c r="Y175" s="394"/>
      <c r="Z175" s="394"/>
    </row>
    <row r="176" customFormat="false" ht="18.75" hidden="false" customHeight="true" outlineLevel="0" collapsed="false">
      <c r="A176" s="294" t="s">
        <v>92</v>
      </c>
      <c r="B176" s="330" t="s">
        <v>271</v>
      </c>
      <c r="C176" s="331"/>
      <c r="D176" s="330" t="s">
        <v>272</v>
      </c>
      <c r="E176" s="297"/>
      <c r="F176" s="394"/>
      <c r="G176" s="394"/>
      <c r="H176" s="394"/>
      <c r="I176" s="394"/>
      <c r="J176" s="394"/>
      <c r="K176" s="394"/>
      <c r="L176" s="394"/>
      <c r="M176" s="394"/>
      <c r="N176" s="394"/>
      <c r="O176" s="394"/>
      <c r="P176" s="394"/>
      <c r="Q176" s="394"/>
      <c r="R176" s="394"/>
      <c r="S176" s="394"/>
      <c r="T176" s="394"/>
      <c r="U176" s="394"/>
      <c r="V176" s="394"/>
      <c r="W176" s="394"/>
      <c r="X176" s="394"/>
      <c r="Y176" s="394"/>
      <c r="Z176" s="394"/>
    </row>
    <row r="177" customFormat="false" ht="18.75" hidden="false" customHeight="true" outlineLevel="0" collapsed="false">
      <c r="A177" s="298" t="n">
        <f aca="false">B96</f>
        <v>-97.481343283582</v>
      </c>
      <c r="B177" s="331" t="n">
        <f aca="false">IF(A111="YES", B95, 0)</f>
        <v>0</v>
      </c>
      <c r="C177" s="334"/>
      <c r="D177" s="331" t="n">
        <f aca="false">B91</f>
        <v>2806.45</v>
      </c>
      <c r="E177" s="297"/>
      <c r="F177" s="394"/>
      <c r="G177" s="394"/>
      <c r="H177" s="394"/>
      <c r="I177" s="394"/>
      <c r="J177" s="394"/>
      <c r="K177" s="394"/>
      <c r="L177" s="394"/>
      <c r="M177" s="394"/>
      <c r="N177" s="394"/>
      <c r="O177" s="394"/>
      <c r="P177" s="394"/>
      <c r="Q177" s="394"/>
      <c r="R177" s="394"/>
      <c r="S177" s="394"/>
      <c r="T177" s="394"/>
      <c r="U177" s="394"/>
      <c r="V177" s="394"/>
      <c r="W177" s="394"/>
      <c r="X177" s="394"/>
      <c r="Y177" s="394"/>
      <c r="Z177" s="394"/>
    </row>
    <row r="178" customFormat="false" ht="18.75" hidden="false" customHeight="true" outlineLevel="0" collapsed="false">
      <c r="A178" s="291"/>
      <c r="B178" s="329"/>
      <c r="C178" s="329"/>
      <c r="D178" s="329"/>
      <c r="E178" s="293"/>
      <c r="F178" s="394"/>
      <c r="G178" s="394"/>
      <c r="H178" s="394"/>
      <c r="I178" s="394"/>
      <c r="J178" s="394"/>
      <c r="K178" s="394"/>
      <c r="L178" s="394"/>
      <c r="M178" s="394"/>
      <c r="N178" s="394"/>
      <c r="O178" s="394"/>
      <c r="P178" s="394"/>
      <c r="Q178" s="394"/>
      <c r="R178" s="394"/>
      <c r="S178" s="394"/>
      <c r="T178" s="394"/>
      <c r="U178" s="394"/>
      <c r="V178" s="394"/>
      <c r="W178" s="394"/>
      <c r="X178" s="394"/>
      <c r="Y178" s="394"/>
      <c r="Z178" s="394"/>
    </row>
    <row r="179" customFormat="false" ht="18.75" hidden="false" customHeight="true" outlineLevel="0" collapsed="false">
      <c r="A179" s="304" t="s">
        <v>23</v>
      </c>
      <c r="B179" s="335" t="s">
        <v>277</v>
      </c>
      <c r="C179" s="223"/>
      <c r="D179" s="335" t="s">
        <v>278</v>
      </c>
      <c r="E179" s="293"/>
      <c r="F179" s="394"/>
      <c r="G179" s="394"/>
      <c r="H179" s="394"/>
      <c r="I179" s="394"/>
      <c r="J179" s="394"/>
      <c r="K179" s="394"/>
      <c r="L179" s="394"/>
      <c r="M179" s="394"/>
      <c r="N179" s="394"/>
      <c r="O179" s="394"/>
      <c r="P179" s="394"/>
      <c r="Q179" s="394"/>
      <c r="R179" s="394"/>
      <c r="S179" s="394"/>
      <c r="T179" s="394"/>
      <c r="U179" s="394"/>
      <c r="V179" s="394"/>
      <c r="W179" s="394"/>
      <c r="X179" s="394"/>
      <c r="Y179" s="394"/>
      <c r="Z179" s="394"/>
    </row>
    <row r="180" customFormat="false" ht="18.75" hidden="false" customHeight="true" outlineLevel="0" collapsed="false">
      <c r="A180" s="309" t="str">
        <f aca="false">B105</f>
        <v>Terminal pause with 9 down</v>
      </c>
      <c r="B180" s="37" t="n">
        <f aca="false">B96*B63</f>
        <v>-877.332089552238</v>
      </c>
      <c r="C180" s="329"/>
      <c r="D180" s="37" t="n">
        <f aca="false">IF(A111="YES", B95*B63, 0)</f>
        <v>0</v>
      </c>
      <c r="E180" s="293"/>
      <c r="F180" s="394"/>
      <c r="G180" s="394"/>
      <c r="H180" s="394"/>
      <c r="I180" s="394"/>
      <c r="J180" s="394"/>
      <c r="K180" s="394"/>
      <c r="L180" s="394"/>
      <c r="M180" s="394"/>
      <c r="N180" s="394"/>
      <c r="O180" s="394"/>
      <c r="P180" s="394"/>
      <c r="Q180" s="394"/>
      <c r="R180" s="394"/>
      <c r="S180" s="394"/>
      <c r="T180" s="394"/>
      <c r="U180" s="394"/>
      <c r="V180" s="394"/>
      <c r="W180" s="394"/>
      <c r="X180" s="394"/>
      <c r="Y180" s="394"/>
      <c r="Z180" s="394"/>
    </row>
    <row r="181" customFormat="false" ht="18.75" hidden="false" customHeight="true" outlineLevel="0" collapsed="false">
      <c r="A181" s="291"/>
      <c r="B181" s="329"/>
      <c r="C181" s="329"/>
      <c r="D181" s="329"/>
      <c r="E181" s="293"/>
      <c r="F181" s="394"/>
      <c r="G181" s="394"/>
      <c r="H181" s="394"/>
      <c r="I181" s="394"/>
      <c r="J181" s="394"/>
      <c r="K181" s="394"/>
      <c r="L181" s="394"/>
      <c r="M181" s="394"/>
      <c r="N181" s="394"/>
      <c r="O181" s="394"/>
      <c r="P181" s="394"/>
      <c r="Q181" s="394"/>
      <c r="R181" s="394"/>
      <c r="S181" s="394"/>
      <c r="T181" s="394"/>
      <c r="U181" s="394"/>
      <c r="V181" s="394"/>
      <c r="W181" s="394"/>
      <c r="X181" s="394"/>
      <c r="Y181" s="394"/>
      <c r="Z181" s="394"/>
    </row>
    <row r="182" customFormat="false" ht="18.75" hidden="false" customHeight="true" outlineLevel="0" collapsed="false">
      <c r="A182" s="123" t="s">
        <v>283</v>
      </c>
      <c r="B182" s="38" t="s">
        <v>284</v>
      </c>
      <c r="C182" s="336"/>
      <c r="D182" s="233" t="s">
        <v>177</v>
      </c>
      <c r="E182" s="293"/>
      <c r="F182" s="394"/>
      <c r="G182" s="394"/>
      <c r="H182" s="394"/>
      <c r="I182" s="394"/>
      <c r="J182" s="394"/>
      <c r="K182" s="394"/>
      <c r="L182" s="394"/>
      <c r="M182" s="394"/>
      <c r="N182" s="394"/>
      <c r="O182" s="394"/>
      <c r="P182" s="394"/>
      <c r="Q182" s="394"/>
      <c r="R182" s="394"/>
      <c r="S182" s="394"/>
      <c r="T182" s="394"/>
      <c r="U182" s="394"/>
      <c r="V182" s="394"/>
      <c r="W182" s="394"/>
      <c r="X182" s="394"/>
      <c r="Y182" s="394"/>
      <c r="Z182" s="394"/>
    </row>
    <row r="183" customFormat="false" ht="18.75" hidden="false" customHeight="true" outlineLevel="0" collapsed="false">
      <c r="A183" s="70" t="n">
        <f aca="false">B97*B63</f>
        <v>-877.332089552238</v>
      </c>
      <c r="B183" s="37" t="n">
        <f aca="false">E120</f>
        <v>4000</v>
      </c>
      <c r="C183" s="329"/>
      <c r="D183" s="337" t="n">
        <f aca="false">B64</f>
        <v>3</v>
      </c>
      <c r="E183" s="293"/>
      <c r="F183" s="394"/>
      <c r="G183" s="394"/>
      <c r="H183" s="394"/>
      <c r="I183" s="394"/>
      <c r="J183" s="394"/>
      <c r="K183" s="394"/>
      <c r="L183" s="394"/>
      <c r="M183" s="394"/>
      <c r="N183" s="394"/>
      <c r="O183" s="394"/>
      <c r="P183" s="394"/>
      <c r="Q183" s="394"/>
      <c r="R183" s="394"/>
      <c r="S183" s="394"/>
      <c r="T183" s="394"/>
      <c r="U183" s="394"/>
      <c r="V183" s="394"/>
      <c r="W183" s="394"/>
      <c r="X183" s="394"/>
      <c r="Y183" s="394"/>
      <c r="Z183" s="394"/>
    </row>
    <row r="184" customFormat="false" ht="18.75" hidden="false" customHeight="true" outlineLevel="0" collapsed="false">
      <c r="A184" s="70"/>
      <c r="B184" s="338"/>
      <c r="C184" s="329"/>
      <c r="D184" s="329"/>
      <c r="E184" s="293"/>
      <c r="F184" s="394"/>
      <c r="G184" s="394"/>
      <c r="H184" s="394"/>
      <c r="I184" s="394"/>
      <c r="J184" s="394"/>
      <c r="K184" s="394"/>
      <c r="L184" s="394"/>
      <c r="M184" s="394"/>
      <c r="N184" s="394"/>
      <c r="O184" s="394"/>
      <c r="P184" s="394"/>
      <c r="Q184" s="394"/>
      <c r="R184" s="394"/>
      <c r="S184" s="394"/>
      <c r="T184" s="394"/>
      <c r="U184" s="394"/>
      <c r="V184" s="394"/>
      <c r="W184" s="394"/>
      <c r="X184" s="394"/>
      <c r="Y184" s="394"/>
      <c r="Z184" s="394"/>
    </row>
    <row r="185" customFormat="false" ht="18.75" hidden="false" customHeight="true" outlineLevel="0" collapsed="false">
      <c r="A185" s="78" t="s">
        <v>92</v>
      </c>
      <c r="B185" s="339" t="s">
        <v>271</v>
      </c>
      <c r="C185" s="329"/>
      <c r="D185" s="329" t="s">
        <v>272</v>
      </c>
      <c r="E185" s="293"/>
      <c r="F185" s="394"/>
      <c r="G185" s="394"/>
      <c r="H185" s="394"/>
      <c r="I185" s="394"/>
      <c r="J185" s="394"/>
      <c r="K185" s="394"/>
      <c r="L185" s="394"/>
      <c r="M185" s="394"/>
      <c r="N185" s="394"/>
      <c r="O185" s="394"/>
      <c r="P185" s="394"/>
      <c r="Q185" s="394"/>
      <c r="R185" s="394"/>
      <c r="S185" s="394"/>
      <c r="T185" s="394"/>
      <c r="U185" s="394"/>
      <c r="V185" s="394"/>
      <c r="W185" s="394"/>
      <c r="X185" s="394"/>
      <c r="Y185" s="394"/>
      <c r="Z185" s="394"/>
    </row>
    <row r="186" customFormat="false" ht="18.75" hidden="false" customHeight="true" outlineLevel="0" collapsed="false">
      <c r="A186" s="70" t="n">
        <f aca="false">B96</f>
        <v>-97.481343283582</v>
      </c>
      <c r="B186" s="37" t="n">
        <f aca="false">IF(A111="YES", B95, 0)</f>
        <v>0</v>
      </c>
      <c r="C186" s="329"/>
      <c r="D186" s="37" t="n">
        <f aca="false">B97</f>
        <v>-97.481343283582</v>
      </c>
      <c r="E186" s="293"/>
      <c r="F186" s="394"/>
      <c r="G186" s="394"/>
      <c r="H186" s="394"/>
      <c r="I186" s="394"/>
      <c r="J186" s="394"/>
      <c r="K186" s="394"/>
      <c r="L186" s="394"/>
      <c r="M186" s="394"/>
      <c r="N186" s="394"/>
      <c r="O186" s="394"/>
      <c r="P186" s="394"/>
      <c r="Q186" s="394"/>
      <c r="R186" s="394"/>
      <c r="S186" s="394"/>
      <c r="T186" s="394"/>
      <c r="U186" s="394"/>
      <c r="V186" s="394"/>
      <c r="W186" s="394"/>
      <c r="X186" s="394"/>
      <c r="Y186" s="394"/>
      <c r="Z186" s="394"/>
    </row>
    <row r="187" customFormat="false" ht="18.75" hidden="false" customHeight="true" outlineLevel="0" collapsed="false">
      <c r="A187" s="291"/>
      <c r="B187" s="329"/>
      <c r="C187" s="329"/>
      <c r="D187" s="329"/>
      <c r="E187" s="293"/>
      <c r="F187" s="394"/>
      <c r="G187" s="394"/>
      <c r="H187" s="394"/>
      <c r="I187" s="394"/>
      <c r="J187" s="394"/>
      <c r="K187" s="394"/>
      <c r="L187" s="394"/>
      <c r="M187" s="394"/>
      <c r="N187" s="394"/>
      <c r="O187" s="394"/>
      <c r="P187" s="394"/>
      <c r="Q187" s="394"/>
      <c r="R187" s="394"/>
      <c r="S187" s="394"/>
      <c r="T187" s="394"/>
      <c r="U187" s="394"/>
      <c r="V187" s="394"/>
      <c r="W187" s="394"/>
      <c r="X187" s="394"/>
      <c r="Y187" s="394"/>
      <c r="Z187" s="394"/>
    </row>
    <row r="188" customFormat="false" ht="18.75" hidden="false" customHeight="true" outlineLevel="0" collapsed="false">
      <c r="A188" s="314" t="s">
        <v>180</v>
      </c>
      <c r="B188" s="340" t="s">
        <v>291</v>
      </c>
      <c r="C188" s="37"/>
      <c r="D188" s="340" t="s">
        <v>182</v>
      </c>
      <c r="E188" s="177"/>
      <c r="F188" s="394"/>
      <c r="G188" s="394"/>
      <c r="H188" s="394"/>
      <c r="I188" s="394"/>
      <c r="J188" s="394"/>
      <c r="K188" s="394"/>
      <c r="L188" s="394"/>
      <c r="M188" s="394"/>
      <c r="N188" s="394"/>
      <c r="O188" s="394"/>
      <c r="P188" s="394"/>
      <c r="Q188" s="394"/>
      <c r="R188" s="394"/>
      <c r="S188" s="394"/>
      <c r="T188" s="394"/>
      <c r="U188" s="394"/>
      <c r="V188" s="394"/>
      <c r="W188" s="394"/>
      <c r="X188" s="394"/>
      <c r="Y188" s="394"/>
      <c r="Z188" s="394"/>
    </row>
    <row r="189" customFormat="false" ht="18.75" hidden="false" customHeight="true" outlineLevel="0" collapsed="false">
      <c r="A189" s="316" t="n">
        <f aca="false">(G18*0.000006)*1.2*100</f>
        <v>41.6772</v>
      </c>
      <c r="B189" s="341" t="n">
        <f aca="false">G18*0.000002 *1.2*100</f>
        <v>13.8924</v>
      </c>
      <c r="C189" s="329"/>
      <c r="D189" s="341" t="n">
        <f aca="false">A189+B189</f>
        <v>55.5696</v>
      </c>
      <c r="E189" s="293"/>
      <c r="F189" s="394"/>
      <c r="G189" s="394"/>
      <c r="H189" s="394"/>
      <c r="I189" s="394"/>
      <c r="J189" s="394"/>
      <c r="K189" s="394"/>
      <c r="L189" s="394"/>
      <c r="M189" s="394"/>
      <c r="N189" s="394"/>
      <c r="O189" s="394"/>
      <c r="P189" s="394"/>
      <c r="Q189" s="394"/>
      <c r="R189" s="394"/>
      <c r="S189" s="394"/>
      <c r="T189" s="394"/>
      <c r="U189" s="394"/>
      <c r="V189" s="394"/>
      <c r="W189" s="394"/>
      <c r="X189" s="394"/>
      <c r="Y189" s="394"/>
      <c r="Z189" s="394"/>
    </row>
    <row r="190" customFormat="false" ht="18.75" hidden="false" customHeight="true" outlineLevel="0" collapsed="false">
      <c r="A190" s="316"/>
      <c r="B190" s="341"/>
      <c r="C190" s="329"/>
      <c r="D190" s="341"/>
      <c r="E190" s="293"/>
      <c r="F190" s="394"/>
      <c r="G190" s="394"/>
      <c r="H190" s="394"/>
      <c r="I190" s="394"/>
      <c r="J190" s="394"/>
      <c r="K190" s="394"/>
      <c r="L190" s="394"/>
      <c r="M190" s="394"/>
      <c r="N190" s="394"/>
      <c r="O190" s="394"/>
      <c r="P190" s="394"/>
      <c r="Q190" s="394"/>
      <c r="R190" s="394"/>
      <c r="S190" s="394"/>
      <c r="T190" s="394"/>
      <c r="U190" s="394"/>
      <c r="V190" s="394"/>
      <c r="W190" s="394"/>
      <c r="X190" s="394"/>
      <c r="Y190" s="394"/>
      <c r="Z190" s="394"/>
    </row>
    <row r="191" customFormat="false" ht="18.75" hidden="false" customHeight="true" outlineLevel="0" collapsed="false">
      <c r="A191" s="314" t="s">
        <v>295</v>
      </c>
      <c r="B191" s="340" t="s">
        <v>152</v>
      </c>
      <c r="C191" s="37"/>
      <c r="D191" s="340" t="s">
        <v>246</v>
      </c>
      <c r="E191" s="293"/>
      <c r="F191" s="394"/>
      <c r="G191" s="394"/>
      <c r="H191" s="394"/>
      <c r="I191" s="394"/>
      <c r="J191" s="394"/>
      <c r="K191" s="394"/>
      <c r="L191" s="394"/>
      <c r="M191" s="394"/>
      <c r="N191" s="394"/>
      <c r="O191" s="394"/>
      <c r="P191" s="394"/>
      <c r="Q191" s="394"/>
      <c r="R191" s="394"/>
      <c r="S191" s="394"/>
      <c r="T191" s="394"/>
      <c r="U191" s="394"/>
      <c r="V191" s="394"/>
      <c r="W191" s="394"/>
      <c r="X191" s="394"/>
      <c r="Y191" s="394"/>
      <c r="Z191" s="394"/>
    </row>
    <row r="192" customFormat="false" ht="18.75" hidden="false" customHeight="true" outlineLevel="0" collapsed="false">
      <c r="A192" s="70" t="n">
        <v>0</v>
      </c>
      <c r="B192" s="37" t="n">
        <f aca="false">E124</f>
        <v>199.99</v>
      </c>
      <c r="C192" s="329"/>
      <c r="D192" s="152" t="n">
        <f aca="false">B108</f>
        <v>400</v>
      </c>
      <c r="E192" s="293"/>
      <c r="F192" s="394"/>
      <c r="G192" s="394"/>
      <c r="H192" s="394"/>
      <c r="I192" s="394"/>
      <c r="J192" s="394"/>
      <c r="K192" s="394"/>
      <c r="L192" s="394"/>
      <c r="M192" s="394"/>
      <c r="N192" s="394"/>
      <c r="O192" s="394"/>
      <c r="P192" s="394"/>
      <c r="Q192" s="394"/>
      <c r="R192" s="394"/>
      <c r="S192" s="394"/>
      <c r="T192" s="394"/>
      <c r="U192" s="394"/>
      <c r="V192" s="394"/>
      <c r="W192" s="394"/>
      <c r="X192" s="394"/>
      <c r="Y192" s="394"/>
      <c r="Z192" s="394"/>
    </row>
    <row r="193" customFormat="false" ht="18.75" hidden="false" customHeight="true" outlineLevel="0" collapsed="false">
      <c r="A193" s="70"/>
      <c r="B193" s="37"/>
      <c r="C193" s="329"/>
      <c r="D193" s="37"/>
      <c r="E193" s="293"/>
      <c r="F193" s="394"/>
      <c r="G193" s="394"/>
      <c r="H193" s="394"/>
      <c r="I193" s="394"/>
      <c r="J193" s="394"/>
      <c r="K193" s="394"/>
      <c r="L193" s="394"/>
      <c r="M193" s="394"/>
      <c r="N193" s="394"/>
      <c r="O193" s="394"/>
      <c r="P193" s="394"/>
      <c r="Q193" s="394"/>
      <c r="R193" s="394"/>
      <c r="S193" s="394"/>
      <c r="T193" s="394"/>
      <c r="U193" s="394"/>
      <c r="V193" s="394"/>
      <c r="W193" s="394"/>
      <c r="X193" s="394"/>
      <c r="Y193" s="394"/>
      <c r="Z193" s="394"/>
    </row>
    <row r="194" customFormat="false" ht="18.75" hidden="false" customHeight="true" outlineLevel="0" collapsed="false">
      <c r="A194" s="318" t="s">
        <v>298</v>
      </c>
      <c r="B194" s="319"/>
      <c r="C194" s="320"/>
      <c r="D194" s="319"/>
      <c r="E194" s="321"/>
      <c r="F194" s="394"/>
      <c r="G194" s="394"/>
      <c r="H194" s="394"/>
      <c r="I194" s="394"/>
      <c r="J194" s="394"/>
      <c r="K194" s="394"/>
      <c r="L194" s="394"/>
      <c r="M194" s="394"/>
      <c r="N194" s="394"/>
      <c r="O194" s="394"/>
      <c r="P194" s="394"/>
      <c r="Q194" s="394"/>
      <c r="R194" s="394"/>
      <c r="S194" s="394"/>
      <c r="T194" s="394"/>
      <c r="U194" s="394"/>
      <c r="V194" s="394"/>
      <c r="W194" s="394"/>
      <c r="X194" s="394"/>
      <c r="Y194" s="394"/>
      <c r="Z194" s="394"/>
    </row>
    <row r="195" customFormat="false" ht="18.75" hidden="false" customHeight="true" outlineLevel="0" collapsed="false">
      <c r="A195" s="316"/>
      <c r="B195" s="341"/>
      <c r="C195" s="329"/>
      <c r="D195" s="341"/>
      <c r="E195" s="293"/>
      <c r="F195" s="394"/>
      <c r="G195" s="394"/>
      <c r="H195" s="394"/>
      <c r="I195" s="394"/>
      <c r="J195" s="394"/>
      <c r="K195" s="394"/>
      <c r="L195" s="394"/>
      <c r="M195" s="394"/>
      <c r="N195" s="394"/>
      <c r="O195" s="394"/>
      <c r="P195" s="394"/>
      <c r="Q195" s="394"/>
      <c r="R195" s="394"/>
      <c r="S195" s="394"/>
      <c r="T195" s="394"/>
      <c r="U195" s="394"/>
      <c r="V195" s="394"/>
      <c r="W195" s="394"/>
      <c r="X195" s="394"/>
      <c r="Y195" s="394"/>
      <c r="Z195" s="394"/>
    </row>
    <row r="196" customFormat="false" ht="18.75" hidden="false" customHeight="true" outlineLevel="0" collapsed="false">
      <c r="A196" s="291" t="s">
        <v>299</v>
      </c>
      <c r="B196" s="329" t="s">
        <v>300</v>
      </c>
      <c r="C196" s="329"/>
      <c r="D196" s="329" t="s">
        <v>301</v>
      </c>
      <c r="E196" s="293"/>
      <c r="F196" s="394"/>
      <c r="G196" s="394"/>
      <c r="H196" s="394"/>
      <c r="I196" s="394"/>
      <c r="J196" s="394"/>
      <c r="K196" s="394"/>
      <c r="L196" s="394"/>
      <c r="M196" s="394"/>
      <c r="N196" s="394"/>
      <c r="O196" s="394"/>
      <c r="P196" s="394"/>
      <c r="Q196" s="394"/>
      <c r="R196" s="394"/>
      <c r="S196" s="394"/>
      <c r="T196" s="394"/>
      <c r="U196" s="394"/>
      <c r="V196" s="394"/>
      <c r="W196" s="394"/>
      <c r="X196" s="394"/>
      <c r="Y196" s="394"/>
      <c r="Z196" s="394"/>
    </row>
    <row r="197" customFormat="false" ht="18.75" hidden="false" customHeight="true" outlineLevel="0" collapsed="false">
      <c r="A197" s="70" t="n">
        <f aca="false">B73</f>
        <v>578.85</v>
      </c>
      <c r="B197" s="37" t="n">
        <f aca="false">B108</f>
        <v>400</v>
      </c>
      <c r="C197" s="37"/>
      <c r="D197" s="37" t="n">
        <f aca="false">IF(A111="YES", (A44/100*B111)*B131, 0)*0.1</f>
        <v>0</v>
      </c>
      <c r="E197" s="177"/>
      <c r="F197" s="394"/>
      <c r="G197" s="394"/>
      <c r="H197" s="394"/>
      <c r="I197" s="394"/>
      <c r="J197" s="394"/>
      <c r="K197" s="394"/>
      <c r="L197" s="394"/>
      <c r="M197" s="394"/>
      <c r="N197" s="394"/>
      <c r="O197" s="394"/>
      <c r="P197" s="394"/>
      <c r="Q197" s="394"/>
      <c r="R197" s="394"/>
      <c r="S197" s="394"/>
      <c r="T197" s="394"/>
      <c r="U197" s="394"/>
      <c r="V197" s="394"/>
      <c r="W197" s="394"/>
      <c r="X197" s="394"/>
      <c r="Y197" s="394"/>
      <c r="Z197" s="394"/>
    </row>
    <row r="198" customFormat="false" ht="18.75" hidden="false" customHeight="true" outlineLevel="0" collapsed="false">
      <c r="A198" s="291"/>
      <c r="B198" s="329"/>
      <c r="C198" s="329"/>
      <c r="D198" s="329"/>
      <c r="E198" s="293"/>
      <c r="F198" s="394"/>
      <c r="G198" s="394"/>
      <c r="H198" s="394"/>
      <c r="I198" s="394"/>
      <c r="J198" s="394"/>
      <c r="K198" s="394"/>
      <c r="L198" s="394"/>
      <c r="M198" s="394"/>
      <c r="N198" s="394"/>
      <c r="O198" s="394"/>
      <c r="P198" s="394"/>
      <c r="Q198" s="394"/>
      <c r="R198" s="394"/>
      <c r="S198" s="394"/>
      <c r="T198" s="394"/>
      <c r="U198" s="394"/>
      <c r="V198" s="394"/>
      <c r="W198" s="394"/>
      <c r="X198" s="394"/>
      <c r="Y198" s="394"/>
      <c r="Z198" s="394"/>
    </row>
    <row r="199" customFormat="false" ht="18.75" hidden="false" customHeight="true" outlineLevel="0" collapsed="false">
      <c r="A199" s="291" t="s">
        <v>305</v>
      </c>
      <c r="B199" s="329" t="s">
        <v>297</v>
      </c>
      <c r="C199" s="329"/>
      <c r="D199" s="329" t="s">
        <v>294</v>
      </c>
      <c r="E199" s="293"/>
      <c r="F199" s="394"/>
      <c r="G199" s="394"/>
      <c r="H199" s="394"/>
      <c r="I199" s="394"/>
      <c r="J199" s="394"/>
      <c r="K199" s="394"/>
      <c r="L199" s="394"/>
      <c r="M199" s="394"/>
      <c r="N199" s="394"/>
      <c r="O199" s="394"/>
      <c r="P199" s="394"/>
      <c r="Q199" s="394"/>
      <c r="R199" s="394"/>
      <c r="S199" s="394"/>
      <c r="T199" s="394"/>
      <c r="U199" s="394"/>
      <c r="V199" s="394"/>
      <c r="W199" s="394"/>
      <c r="X199" s="394"/>
      <c r="Y199" s="394"/>
      <c r="Z199" s="394"/>
    </row>
    <row r="200" customFormat="false" ht="18.75" hidden="false" customHeight="true" outlineLevel="0" collapsed="false">
      <c r="A200" s="70" t="n">
        <f aca="false">E124-100</f>
        <v>99.99</v>
      </c>
      <c r="B200" s="37" t="n">
        <f aca="false">(A154+B154+D154+A157)*(A149/B70)</f>
        <v>0</v>
      </c>
      <c r="C200" s="37"/>
      <c r="D200" s="37" t="n">
        <f aca="false">(A154+B154+D154+A157)-B157</f>
        <v>1078.84</v>
      </c>
      <c r="E200" s="177"/>
      <c r="F200" s="394"/>
      <c r="G200" s="394"/>
      <c r="H200" s="394"/>
      <c r="I200" s="394"/>
      <c r="J200" s="394"/>
      <c r="K200" s="394"/>
      <c r="L200" s="394"/>
      <c r="M200" s="394"/>
      <c r="N200" s="394"/>
      <c r="O200" s="394"/>
      <c r="P200" s="394"/>
      <c r="Q200" s="394"/>
      <c r="R200" s="394"/>
      <c r="S200" s="394"/>
      <c r="T200" s="394"/>
      <c r="U200" s="394"/>
      <c r="V200" s="394"/>
      <c r="W200" s="394"/>
      <c r="X200" s="394"/>
      <c r="Y200" s="394"/>
      <c r="Z200" s="394"/>
    </row>
    <row r="201" customFormat="false" ht="18.75" hidden="false" customHeight="true" outlineLevel="0" collapsed="false">
      <c r="A201" s="291"/>
      <c r="B201" s="329"/>
      <c r="C201" s="329"/>
      <c r="D201" s="329"/>
      <c r="E201" s="293"/>
      <c r="F201" s="394"/>
      <c r="L201" s="394"/>
      <c r="M201" s="394"/>
      <c r="N201" s="394"/>
      <c r="O201" s="394"/>
      <c r="P201" s="394"/>
      <c r="Q201" s="394"/>
      <c r="R201" s="394"/>
      <c r="S201" s="394"/>
      <c r="T201" s="394"/>
      <c r="U201" s="394"/>
      <c r="V201" s="394"/>
      <c r="W201" s="394"/>
      <c r="X201" s="394"/>
      <c r="Y201" s="394"/>
      <c r="Z201" s="394"/>
    </row>
    <row r="202" customFormat="false" ht="18.75" hidden="false" customHeight="true" outlineLevel="0" collapsed="false">
      <c r="A202" s="291" t="s">
        <v>306</v>
      </c>
      <c r="B202" s="329"/>
      <c r="C202" s="329"/>
      <c r="D202" s="329"/>
      <c r="E202" s="293"/>
      <c r="F202" s="394"/>
      <c r="L202" s="394"/>
      <c r="M202" s="394"/>
      <c r="N202" s="394"/>
      <c r="O202" s="394"/>
      <c r="P202" s="394"/>
      <c r="Q202" s="394"/>
      <c r="R202" s="394"/>
      <c r="S202" s="394"/>
      <c r="T202" s="394"/>
      <c r="U202" s="394"/>
      <c r="V202" s="394"/>
      <c r="W202" s="394"/>
      <c r="X202" s="394"/>
      <c r="Y202" s="394"/>
      <c r="Z202" s="394"/>
    </row>
    <row r="203" customFormat="false" ht="18.75" hidden="false" customHeight="true" outlineLevel="0" collapsed="false">
      <c r="A203" s="70" t="n">
        <f aca="false">D108</f>
        <v>200</v>
      </c>
      <c r="B203" s="37"/>
      <c r="C203" s="329"/>
      <c r="D203" s="329"/>
      <c r="E203" s="293"/>
      <c r="F203" s="394"/>
      <c r="L203" s="394"/>
      <c r="M203" s="394"/>
      <c r="N203" s="394"/>
      <c r="O203" s="394"/>
      <c r="P203" s="394"/>
      <c r="Q203" s="394"/>
      <c r="R203" s="394"/>
      <c r="S203" s="394"/>
      <c r="T203" s="394"/>
      <c r="U203" s="394"/>
      <c r="V203" s="394"/>
      <c r="W203" s="394"/>
      <c r="X203" s="394"/>
      <c r="Y203" s="394"/>
      <c r="Z203" s="394"/>
    </row>
    <row r="204" customFormat="false" ht="18.75" hidden="false" customHeight="true" outlineLevel="0" collapsed="false">
      <c r="A204" s="342"/>
      <c r="B204" s="343"/>
      <c r="C204" s="343"/>
      <c r="D204" s="343"/>
      <c r="E204" s="344"/>
      <c r="F204" s="394"/>
      <c r="L204" s="394"/>
      <c r="M204" s="394"/>
      <c r="N204" s="394"/>
      <c r="O204" s="394"/>
      <c r="P204" s="394"/>
      <c r="Q204" s="394"/>
      <c r="R204" s="394"/>
      <c r="S204" s="394"/>
      <c r="T204" s="394"/>
      <c r="U204" s="394"/>
      <c r="V204" s="394"/>
      <c r="W204" s="394"/>
      <c r="X204" s="394"/>
      <c r="Y204" s="394"/>
      <c r="Z204" s="394"/>
    </row>
    <row r="205" customFormat="false" ht="18.75" hidden="false" customHeight="true" outlineLevel="0" collapsed="false">
      <c r="A205" s="19"/>
      <c r="B205" s="19"/>
      <c r="C205" s="19"/>
      <c r="D205" s="19"/>
      <c r="E205" s="19"/>
      <c r="F205" s="394"/>
      <c r="L205" s="394"/>
      <c r="M205" s="394"/>
      <c r="N205" s="394"/>
      <c r="O205" s="394"/>
      <c r="P205" s="394"/>
      <c r="Q205" s="394"/>
      <c r="R205" s="394"/>
      <c r="S205" s="394"/>
      <c r="T205" s="394"/>
      <c r="U205" s="394"/>
      <c r="V205" s="394"/>
      <c r="W205" s="394"/>
      <c r="X205" s="394"/>
      <c r="Y205" s="394"/>
      <c r="Z205" s="394"/>
    </row>
    <row r="206" customFormat="false" ht="18.75" hidden="false" customHeight="true" outlineLevel="0" collapsed="false">
      <c r="A206" s="19"/>
      <c r="B206" s="19"/>
      <c r="C206" s="19"/>
      <c r="D206" s="19"/>
      <c r="E206" s="19"/>
      <c r="F206" s="394"/>
      <c r="L206" s="394"/>
      <c r="M206" s="394"/>
      <c r="N206" s="394"/>
      <c r="O206" s="394"/>
      <c r="P206" s="394"/>
      <c r="Q206" s="394"/>
      <c r="R206" s="394"/>
      <c r="S206" s="394"/>
      <c r="T206" s="394"/>
      <c r="U206" s="394"/>
      <c r="V206" s="394"/>
      <c r="W206" s="394"/>
      <c r="X206" s="394"/>
      <c r="Y206" s="394"/>
      <c r="Z206" s="394"/>
    </row>
    <row r="207" customFormat="false" ht="18.75" hidden="false" customHeight="true" outlineLevel="0" collapsed="false">
      <c r="A207" s="328" t="s">
        <v>185</v>
      </c>
      <c r="B207" s="328"/>
      <c r="C207" s="328"/>
      <c r="D207" s="328"/>
      <c r="E207" s="328"/>
      <c r="F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  <c r="X207" s="394"/>
      <c r="Y207" s="394"/>
      <c r="Z207" s="394"/>
    </row>
    <row r="208" customFormat="false" ht="18.75" hidden="false" customHeight="true" outlineLevel="0" collapsed="false">
      <c r="A208" s="291"/>
      <c r="B208" s="292"/>
      <c r="C208" s="292"/>
      <c r="D208" s="292"/>
      <c r="E208" s="293"/>
      <c r="F208" s="394"/>
      <c r="L208" s="394"/>
      <c r="M208" s="394"/>
      <c r="N208" s="394"/>
      <c r="O208" s="394"/>
      <c r="P208" s="394"/>
      <c r="Q208" s="394"/>
      <c r="R208" s="394"/>
      <c r="S208" s="394"/>
      <c r="T208" s="394"/>
      <c r="U208" s="394"/>
      <c r="V208" s="394"/>
      <c r="W208" s="394"/>
      <c r="X208" s="394"/>
      <c r="Y208" s="394"/>
      <c r="Z208" s="394"/>
    </row>
    <row r="209" customFormat="false" ht="18.75" hidden="false" customHeight="true" outlineLevel="0" collapsed="false">
      <c r="A209" s="294" t="s">
        <v>186</v>
      </c>
      <c r="B209" s="345" t="n">
        <f aca="false">H35</f>
        <v>0.065</v>
      </c>
      <c r="C209" s="296" t="s">
        <v>188</v>
      </c>
      <c r="D209" s="346" t="n">
        <f aca="false">D70</f>
        <v>4051.95</v>
      </c>
      <c r="E209" s="297"/>
      <c r="F209" s="394"/>
      <c r="L209" s="394"/>
      <c r="M209" s="394"/>
      <c r="N209" s="394"/>
      <c r="O209" s="394"/>
      <c r="P209" s="394"/>
      <c r="Q209" s="394"/>
      <c r="R209" s="394"/>
      <c r="S209" s="394"/>
      <c r="T209" s="394"/>
      <c r="U209" s="394"/>
      <c r="V209" s="394"/>
      <c r="W209" s="394"/>
      <c r="X209" s="394"/>
      <c r="Y209" s="394"/>
      <c r="Z209" s="394"/>
    </row>
    <row r="210" customFormat="false" ht="18.75" hidden="false" customHeight="true" outlineLevel="0" collapsed="false">
      <c r="A210" s="298"/>
      <c r="B210" s="299"/>
      <c r="C210" s="300"/>
      <c r="D210" s="299"/>
      <c r="E210" s="297"/>
      <c r="F210" s="394"/>
      <c r="L210" s="394"/>
      <c r="M210" s="394"/>
      <c r="N210" s="394"/>
      <c r="O210" s="394"/>
      <c r="P210" s="394"/>
      <c r="Q210" s="394"/>
      <c r="R210" s="394"/>
      <c r="S210" s="394"/>
      <c r="T210" s="394"/>
      <c r="U210" s="394"/>
      <c r="V210" s="394"/>
      <c r="W210" s="394"/>
      <c r="X210" s="394"/>
      <c r="Y210" s="394"/>
      <c r="Z210" s="394"/>
    </row>
    <row r="211" customFormat="false" ht="18.75" hidden="false" customHeight="true" outlineLevel="0" collapsed="false">
      <c r="A211" s="294" t="s">
        <v>189</v>
      </c>
      <c r="B211" s="296" t="n">
        <f aca="false">B219</f>
        <v>578.85</v>
      </c>
      <c r="C211" s="295" t="s">
        <v>190</v>
      </c>
      <c r="D211" s="346" t="n">
        <f aca="false">B225+E221+B221+B223</f>
        <v>339.99</v>
      </c>
      <c r="E211" s="297"/>
      <c r="F211" s="394"/>
      <c r="L211" s="394"/>
      <c r="M211" s="394"/>
      <c r="N211" s="394"/>
      <c r="O211" s="394"/>
      <c r="P211" s="394"/>
      <c r="Q211" s="394"/>
      <c r="R211" s="394"/>
      <c r="S211" s="394"/>
      <c r="T211" s="394"/>
      <c r="U211" s="394"/>
      <c r="V211" s="394"/>
      <c r="W211" s="394"/>
      <c r="X211" s="394"/>
      <c r="Y211" s="394"/>
      <c r="Z211" s="394"/>
    </row>
    <row r="212" customFormat="false" ht="18.75" hidden="false" customHeight="true" outlineLevel="0" collapsed="false">
      <c r="A212" s="294"/>
      <c r="B212" s="347"/>
      <c r="C212" s="296"/>
      <c r="D212" s="295"/>
      <c r="E212" s="297"/>
      <c r="F212" s="394"/>
      <c r="L212" s="394"/>
      <c r="M212" s="394"/>
      <c r="N212" s="394"/>
      <c r="O212" s="394"/>
      <c r="P212" s="394"/>
      <c r="Q212" s="394"/>
      <c r="R212" s="394"/>
      <c r="S212" s="394"/>
      <c r="T212" s="394"/>
      <c r="U212" s="394"/>
      <c r="V212" s="394"/>
      <c r="W212" s="394"/>
      <c r="X212" s="394"/>
      <c r="Y212" s="394"/>
      <c r="Z212" s="394"/>
    </row>
    <row r="213" customFormat="false" ht="18.75" hidden="false" customHeight="true" outlineLevel="0" collapsed="false">
      <c r="A213" s="298" t="s">
        <v>191</v>
      </c>
      <c r="B213" s="296" t="n">
        <f aca="false">E223</f>
        <v>3813.09</v>
      </c>
      <c r="C213" s="300"/>
      <c r="D213" s="296"/>
      <c r="E213" s="297"/>
      <c r="F213" s="394"/>
      <c r="L213" s="394"/>
      <c r="M213" s="394"/>
      <c r="N213" s="394"/>
      <c r="O213" s="394"/>
      <c r="P213" s="394"/>
      <c r="Q213" s="394"/>
      <c r="R213" s="394"/>
      <c r="S213" s="394"/>
      <c r="T213" s="394"/>
      <c r="U213" s="394"/>
      <c r="V213" s="394"/>
      <c r="W213" s="394"/>
      <c r="X213" s="394"/>
      <c r="Y213" s="394"/>
      <c r="Z213" s="394"/>
    </row>
    <row r="214" customFormat="false" ht="18.75" hidden="false" customHeight="true" outlineLevel="0" collapsed="false">
      <c r="A214" s="291"/>
      <c r="B214" s="313"/>
      <c r="C214" s="292"/>
      <c r="D214" s="292"/>
      <c r="E214" s="293"/>
      <c r="F214" s="394"/>
      <c r="L214" s="394"/>
      <c r="M214" s="394"/>
      <c r="N214" s="394"/>
      <c r="O214" s="394"/>
      <c r="P214" s="394"/>
      <c r="Q214" s="394"/>
      <c r="R214" s="394"/>
      <c r="S214" s="394"/>
      <c r="T214" s="394"/>
      <c r="U214" s="394"/>
      <c r="V214" s="394"/>
      <c r="W214" s="394"/>
      <c r="X214" s="394"/>
      <c r="Y214" s="394"/>
      <c r="Z214" s="394"/>
    </row>
    <row r="215" customFormat="false" ht="18.75" hidden="false" customHeight="true" outlineLevel="0" collapsed="false">
      <c r="A215" s="222" t="s">
        <v>186</v>
      </c>
      <c r="B215" s="348" t="n">
        <v>0.065</v>
      </c>
      <c r="C215" s="306"/>
      <c r="D215" s="305"/>
      <c r="E215" s="293"/>
      <c r="F215" s="394"/>
      <c r="L215" s="394"/>
      <c r="M215" s="394"/>
      <c r="N215" s="394"/>
      <c r="O215" s="394"/>
      <c r="P215" s="394"/>
      <c r="Q215" s="394"/>
      <c r="R215" s="394"/>
      <c r="S215" s="394"/>
      <c r="T215" s="394"/>
      <c r="U215" s="394"/>
      <c r="V215" s="394"/>
      <c r="W215" s="394"/>
      <c r="X215" s="394"/>
      <c r="Y215" s="394"/>
      <c r="Z215" s="394"/>
    </row>
    <row r="216" customFormat="false" ht="18.75" hidden="false" customHeight="true" outlineLevel="0" collapsed="false">
      <c r="A216" s="349"/>
      <c r="B216" s="200"/>
      <c r="C216" s="292"/>
      <c r="D216" s="201"/>
      <c r="E216" s="293"/>
      <c r="F216" s="394"/>
      <c r="L216" s="394"/>
      <c r="M216" s="394"/>
      <c r="N216" s="394"/>
      <c r="O216" s="394"/>
      <c r="P216" s="394"/>
      <c r="Q216" s="394"/>
      <c r="R216" s="394"/>
      <c r="S216" s="394"/>
      <c r="T216" s="394"/>
      <c r="U216" s="394"/>
      <c r="V216" s="394"/>
      <c r="W216" s="394"/>
      <c r="X216" s="394"/>
      <c r="Y216" s="394"/>
      <c r="Z216" s="394"/>
    </row>
    <row r="217" customFormat="false" ht="18.75" hidden="false" customHeight="true" outlineLevel="0" collapsed="false">
      <c r="A217" s="350" t="s">
        <v>188</v>
      </c>
      <c r="B217" s="60" t="n">
        <f aca="false">D70</f>
        <v>4051.95</v>
      </c>
      <c r="C217" s="351" t="s">
        <v>194</v>
      </c>
      <c r="D217" s="292"/>
      <c r="E217" s="352" t="n">
        <f aca="false">B72</f>
        <v>0.01</v>
      </c>
      <c r="F217" s="394"/>
      <c r="L217" s="394"/>
      <c r="M217" s="394"/>
      <c r="N217" s="394"/>
      <c r="O217" s="394"/>
      <c r="P217" s="394"/>
      <c r="Q217" s="394"/>
      <c r="R217" s="394"/>
      <c r="S217" s="394"/>
      <c r="T217" s="394"/>
      <c r="U217" s="394"/>
      <c r="V217" s="394"/>
      <c r="W217" s="394"/>
      <c r="X217" s="394"/>
      <c r="Y217" s="394"/>
      <c r="Z217" s="394"/>
    </row>
    <row r="218" customFormat="false" ht="18.75" hidden="false" customHeight="true" outlineLevel="0" collapsed="false">
      <c r="A218" s="69"/>
      <c r="B218" s="200"/>
      <c r="C218" s="310"/>
      <c r="D218" s="240"/>
      <c r="E218" s="293"/>
      <c r="F218" s="394"/>
      <c r="L218" s="394"/>
      <c r="M218" s="394"/>
      <c r="N218" s="394"/>
      <c r="O218" s="394"/>
      <c r="P218" s="394"/>
      <c r="Q218" s="394"/>
      <c r="R218" s="394"/>
      <c r="S218" s="394"/>
      <c r="T218" s="394"/>
      <c r="U218" s="394"/>
      <c r="V218" s="394"/>
      <c r="W218" s="394"/>
      <c r="X218" s="394"/>
      <c r="Y218" s="394"/>
      <c r="Z218" s="394"/>
    </row>
    <row r="219" customFormat="false" ht="18.75" hidden="false" customHeight="true" outlineLevel="0" collapsed="false">
      <c r="A219" s="70" t="s">
        <v>194</v>
      </c>
      <c r="B219" s="60" t="n">
        <f aca="false">B73</f>
        <v>578.85</v>
      </c>
      <c r="C219" s="310" t="s">
        <v>307</v>
      </c>
      <c r="D219" s="353"/>
      <c r="E219" s="103" t="n">
        <v>0.001</v>
      </c>
      <c r="F219" s="394"/>
      <c r="L219" s="394"/>
      <c r="M219" s="394"/>
      <c r="N219" s="394"/>
      <c r="O219" s="394"/>
      <c r="P219" s="394"/>
      <c r="Q219" s="394"/>
      <c r="R219" s="394"/>
      <c r="S219" s="394"/>
      <c r="T219" s="394"/>
      <c r="U219" s="394"/>
      <c r="V219" s="394"/>
      <c r="W219" s="394"/>
      <c r="X219" s="394"/>
      <c r="Y219" s="394"/>
      <c r="Z219" s="394"/>
    </row>
    <row r="220" customFormat="false" ht="18.75" hidden="false" customHeight="true" outlineLevel="0" collapsed="false">
      <c r="A220" s="70"/>
      <c r="B220" s="313"/>
      <c r="C220" s="310"/>
      <c r="D220" s="292"/>
      <c r="E220" s="293"/>
      <c r="F220" s="394"/>
      <c r="L220" s="394"/>
      <c r="M220" s="394"/>
      <c r="N220" s="394"/>
      <c r="O220" s="394"/>
      <c r="P220" s="394"/>
      <c r="Q220" s="394"/>
      <c r="R220" s="394"/>
      <c r="S220" s="394"/>
      <c r="T220" s="394"/>
      <c r="U220" s="394"/>
      <c r="V220" s="394"/>
      <c r="W220" s="394"/>
      <c r="X220" s="394"/>
      <c r="Y220" s="394"/>
      <c r="Z220" s="394"/>
    </row>
    <row r="221" customFormat="false" ht="18.75" hidden="false" customHeight="true" outlineLevel="0" collapsed="false">
      <c r="A221" s="70" t="s">
        <v>307</v>
      </c>
      <c r="B221" s="233" t="n">
        <f aca="false">B197*E219*100</f>
        <v>40</v>
      </c>
      <c r="C221" s="310" t="s">
        <v>196</v>
      </c>
      <c r="D221" s="292"/>
      <c r="E221" s="20" t="n">
        <f aca="false">A200</f>
        <v>99.99</v>
      </c>
      <c r="F221" s="394"/>
      <c r="L221" s="394"/>
      <c r="M221" s="394"/>
      <c r="N221" s="394"/>
      <c r="O221" s="394"/>
      <c r="P221" s="394"/>
      <c r="Q221" s="394"/>
      <c r="R221" s="394"/>
      <c r="S221" s="394"/>
      <c r="T221" s="394"/>
      <c r="U221" s="394"/>
      <c r="V221" s="394"/>
      <c r="W221" s="394"/>
      <c r="X221" s="394"/>
      <c r="Y221" s="394"/>
      <c r="Z221" s="394"/>
    </row>
    <row r="222" customFormat="false" ht="18.75" hidden="false" customHeight="true" outlineLevel="0" collapsed="false">
      <c r="A222" s="70"/>
      <c r="B222" s="200"/>
      <c r="C222" s="310"/>
      <c r="D222" s="201"/>
      <c r="E222" s="293"/>
      <c r="F222" s="394"/>
      <c r="L222" s="394"/>
      <c r="M222" s="394"/>
      <c r="N222" s="394"/>
      <c r="O222" s="394"/>
      <c r="P222" s="394"/>
      <c r="Q222" s="394"/>
      <c r="R222" s="394"/>
      <c r="S222" s="394"/>
      <c r="T222" s="394"/>
      <c r="U222" s="394"/>
      <c r="V222" s="394"/>
      <c r="W222" s="394"/>
      <c r="X222" s="394"/>
      <c r="Y222" s="394"/>
      <c r="Z222" s="394"/>
    </row>
    <row r="223" customFormat="false" ht="18.75" hidden="false" customHeight="true" outlineLevel="0" collapsed="false">
      <c r="A223" s="350" t="s">
        <v>308</v>
      </c>
      <c r="B223" s="233" t="n">
        <f aca="false">B84-(B84*(E219*100))</f>
        <v>200</v>
      </c>
      <c r="C223" s="310" t="s">
        <v>191</v>
      </c>
      <c r="D223" s="292"/>
      <c r="E223" s="20" t="n">
        <f aca="false">(B217-B211+D211)</f>
        <v>3813.09</v>
      </c>
      <c r="F223" s="394"/>
      <c r="L223" s="394"/>
      <c r="M223" s="394"/>
      <c r="N223" s="394"/>
      <c r="O223" s="394"/>
      <c r="P223" s="394"/>
      <c r="Q223" s="394"/>
      <c r="R223" s="394"/>
      <c r="S223" s="394"/>
      <c r="T223" s="394"/>
      <c r="U223" s="394"/>
      <c r="V223" s="394"/>
      <c r="W223" s="394"/>
      <c r="X223" s="394"/>
      <c r="Y223" s="394"/>
      <c r="Z223" s="394"/>
    </row>
    <row r="224" customFormat="false" ht="18.75" hidden="false" customHeight="true" outlineLevel="0" collapsed="false">
      <c r="A224" s="354"/>
      <c r="B224" s="315"/>
      <c r="C224" s="201"/>
      <c r="D224" s="315"/>
      <c r="E224" s="163"/>
      <c r="F224" s="394"/>
      <c r="L224" s="394"/>
      <c r="M224" s="394"/>
      <c r="N224" s="394"/>
      <c r="O224" s="394"/>
      <c r="P224" s="394"/>
      <c r="Q224" s="394"/>
      <c r="R224" s="394"/>
      <c r="S224" s="394"/>
      <c r="T224" s="394"/>
      <c r="U224" s="394"/>
      <c r="V224" s="394"/>
      <c r="W224" s="394"/>
      <c r="X224" s="394"/>
      <c r="Y224" s="394"/>
      <c r="Z224" s="394"/>
    </row>
    <row r="225" customFormat="false" ht="18.75" hidden="false" customHeight="true" outlineLevel="0" collapsed="false">
      <c r="A225" s="354" t="s">
        <v>309</v>
      </c>
      <c r="B225" s="315" t="n">
        <f aca="false">D197/0.1</f>
        <v>0</v>
      </c>
      <c r="C225" s="201"/>
      <c r="D225" s="315"/>
      <c r="E225" s="163"/>
      <c r="F225" s="394"/>
      <c r="L225" s="394"/>
      <c r="M225" s="394"/>
      <c r="N225" s="394"/>
      <c r="O225" s="394"/>
      <c r="P225" s="394"/>
      <c r="Q225" s="394"/>
      <c r="R225" s="394"/>
      <c r="S225" s="394"/>
      <c r="T225" s="394"/>
      <c r="U225" s="394"/>
      <c r="V225" s="394"/>
      <c r="W225" s="394"/>
      <c r="X225" s="394"/>
      <c r="Y225" s="394"/>
      <c r="Z225" s="394"/>
    </row>
    <row r="226" customFormat="false" ht="18.75" hidden="false" customHeight="true" outlineLevel="0" collapsed="false">
      <c r="A226" s="354"/>
      <c r="B226" s="315"/>
      <c r="C226" s="201"/>
      <c r="D226" s="315"/>
      <c r="E226" s="163"/>
      <c r="F226" s="394"/>
      <c r="L226" s="394"/>
      <c r="M226" s="394"/>
      <c r="N226" s="394"/>
      <c r="O226" s="394"/>
      <c r="P226" s="394"/>
      <c r="Q226" s="394"/>
      <c r="R226" s="394"/>
      <c r="S226" s="394"/>
      <c r="T226" s="394"/>
      <c r="U226" s="394"/>
      <c r="V226" s="394"/>
      <c r="W226" s="394"/>
      <c r="X226" s="394"/>
      <c r="Y226" s="394"/>
      <c r="Z226" s="394"/>
    </row>
    <row r="227" customFormat="false" ht="18.75" hidden="false" customHeight="true" outlineLevel="0" collapsed="false">
      <c r="A227" s="318" t="s">
        <v>310</v>
      </c>
      <c r="B227" s="355"/>
      <c r="C227" s="320"/>
      <c r="D227" s="319"/>
      <c r="E227" s="321"/>
      <c r="F227" s="394"/>
      <c r="L227" s="394"/>
      <c r="M227" s="394"/>
      <c r="N227" s="394"/>
      <c r="O227" s="394"/>
      <c r="P227" s="394"/>
      <c r="Q227" s="394"/>
      <c r="R227" s="394"/>
      <c r="S227" s="394"/>
      <c r="T227" s="394"/>
      <c r="U227" s="394"/>
      <c r="V227" s="394"/>
      <c r="W227" s="394"/>
      <c r="X227" s="394"/>
      <c r="Y227" s="394"/>
      <c r="Z227" s="394"/>
    </row>
    <row r="228" customFormat="false" ht="18.75" hidden="false" customHeight="true" outlineLevel="0" collapsed="false">
      <c r="A228" s="316"/>
      <c r="B228" s="356"/>
      <c r="C228" s="292"/>
      <c r="D228" s="317"/>
      <c r="E228" s="293"/>
      <c r="F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94"/>
    </row>
    <row r="229" customFormat="false" ht="18.75" hidden="false" customHeight="true" outlineLevel="0" collapsed="false">
      <c r="A229" s="316" t="s">
        <v>198</v>
      </c>
      <c r="B229" s="60" t="n">
        <f aca="false">B77</f>
        <v>200</v>
      </c>
      <c r="C229" s="310" t="s">
        <v>199</v>
      </c>
      <c r="D229" s="317"/>
      <c r="E229" s="150" t="n">
        <f aca="false">B78</f>
        <v>5</v>
      </c>
      <c r="F229" s="394"/>
      <c r="L229" s="394"/>
      <c r="M229" s="394"/>
      <c r="N229" s="394"/>
      <c r="O229" s="394"/>
      <c r="P229" s="394"/>
      <c r="Q229" s="394"/>
      <c r="R229" s="394"/>
      <c r="S229" s="394"/>
      <c r="T229" s="394"/>
      <c r="U229" s="394"/>
      <c r="V229" s="394"/>
      <c r="W229" s="394"/>
      <c r="X229" s="394"/>
      <c r="Y229" s="394"/>
      <c r="Z229" s="394"/>
    </row>
    <row r="230" customFormat="false" ht="18.75" hidden="false" customHeight="true" outlineLevel="0" collapsed="false">
      <c r="A230" s="316"/>
      <c r="B230" s="356"/>
      <c r="C230" s="310" t="s">
        <v>200</v>
      </c>
      <c r="D230" s="317"/>
      <c r="E230" s="20" t="n">
        <f aca="false">D79</f>
        <v>260</v>
      </c>
      <c r="F230" s="394"/>
      <c r="L230" s="394"/>
      <c r="M230" s="394"/>
      <c r="N230" s="394"/>
      <c r="O230" s="394"/>
      <c r="P230" s="394"/>
      <c r="Q230" s="394"/>
      <c r="R230" s="394"/>
      <c r="S230" s="394"/>
      <c r="T230" s="394"/>
      <c r="U230" s="394"/>
      <c r="V230" s="394"/>
      <c r="W230" s="394"/>
      <c r="X230" s="394"/>
      <c r="Y230" s="394"/>
      <c r="Z230" s="394"/>
    </row>
    <row r="231" customFormat="false" ht="18.75" hidden="false" customHeight="true" outlineLevel="0" collapsed="false">
      <c r="A231" s="316" t="s">
        <v>201</v>
      </c>
      <c r="B231" s="357" t="n">
        <f aca="false">B74</f>
        <v>0.0075</v>
      </c>
      <c r="C231" s="310" t="s">
        <v>202</v>
      </c>
      <c r="D231" s="317"/>
      <c r="E231" s="352" t="n">
        <f aca="false">B75</f>
        <v>0.12</v>
      </c>
      <c r="F231" s="394"/>
      <c r="L231" s="394"/>
      <c r="M231" s="394"/>
      <c r="N231" s="394"/>
      <c r="O231" s="394"/>
      <c r="P231" s="394"/>
      <c r="Q231" s="394"/>
      <c r="R231" s="394"/>
      <c r="S231" s="394"/>
      <c r="T231" s="394"/>
      <c r="U231" s="394"/>
      <c r="V231" s="394"/>
      <c r="W231" s="394"/>
      <c r="X231" s="394"/>
      <c r="Y231" s="394"/>
      <c r="Z231" s="394"/>
    </row>
    <row r="232" customFormat="false" ht="18.75" hidden="false" customHeight="true" outlineLevel="0" collapsed="false">
      <c r="A232" s="316"/>
      <c r="B232" s="356"/>
      <c r="C232" s="310" t="s">
        <v>203</v>
      </c>
      <c r="D232" s="317"/>
      <c r="E232" s="20" t="n">
        <f aca="false">B92</f>
        <v>23.7738805970149</v>
      </c>
      <c r="F232" s="394"/>
      <c r="L232" s="394"/>
      <c r="M232" s="394"/>
      <c r="N232" s="394"/>
      <c r="O232" s="394"/>
      <c r="P232" s="394"/>
      <c r="Q232" s="394"/>
      <c r="R232" s="394"/>
      <c r="S232" s="394"/>
      <c r="T232" s="394"/>
      <c r="U232" s="394"/>
      <c r="V232" s="394"/>
      <c r="W232" s="394"/>
      <c r="X232" s="394"/>
      <c r="Y232" s="394"/>
      <c r="Z232" s="394"/>
    </row>
    <row r="233" customFormat="false" ht="18.75" hidden="false" customHeight="true" outlineLevel="0" collapsed="false">
      <c r="A233" s="316" t="s">
        <v>204</v>
      </c>
      <c r="B233" s="60" t="n">
        <f aca="false">B85</f>
        <v>200</v>
      </c>
      <c r="C233" s="358" t="s">
        <v>311</v>
      </c>
      <c r="D233" s="359"/>
      <c r="E233" s="150" t="n">
        <f aca="false">B80</f>
        <v>165</v>
      </c>
      <c r="F233" s="394"/>
      <c r="L233" s="394"/>
      <c r="M233" s="394"/>
      <c r="N233" s="394"/>
      <c r="O233" s="394"/>
      <c r="P233" s="394"/>
      <c r="Q233" s="394"/>
      <c r="R233" s="394"/>
      <c r="S233" s="394"/>
      <c r="T233" s="394"/>
      <c r="U233" s="394"/>
      <c r="V233" s="394"/>
      <c r="W233" s="394"/>
      <c r="X233" s="394"/>
      <c r="Y233" s="394"/>
      <c r="Z233" s="394"/>
    </row>
    <row r="234" customFormat="false" ht="18.75" hidden="false" customHeight="true" outlineLevel="0" collapsed="false">
      <c r="A234" s="350"/>
      <c r="B234" s="313"/>
      <c r="C234" s="358"/>
      <c r="D234" s="360"/>
      <c r="E234" s="361"/>
      <c r="F234" s="394"/>
      <c r="L234" s="394"/>
      <c r="M234" s="394"/>
      <c r="N234" s="394"/>
      <c r="O234" s="394"/>
      <c r="P234" s="394"/>
      <c r="Q234" s="394"/>
      <c r="R234" s="394"/>
      <c r="S234" s="394"/>
      <c r="T234" s="394"/>
      <c r="U234" s="394"/>
      <c r="V234" s="394"/>
      <c r="W234" s="394"/>
      <c r="X234" s="394"/>
      <c r="Y234" s="394"/>
      <c r="Z234" s="394"/>
    </row>
    <row r="235" customFormat="false" ht="18.75" hidden="false" customHeight="true" outlineLevel="0" collapsed="false">
      <c r="A235" s="70" t="s">
        <v>205</v>
      </c>
      <c r="B235" s="60" t="n">
        <f aca="false">B86</f>
        <v>200</v>
      </c>
      <c r="C235" s="362" t="s">
        <v>312</v>
      </c>
      <c r="D235" s="362"/>
      <c r="E235" s="150" t="n">
        <f aca="false">B81</f>
        <v>355</v>
      </c>
      <c r="F235" s="394"/>
      <c r="L235" s="394"/>
      <c r="M235" s="394"/>
      <c r="N235" s="394"/>
      <c r="O235" s="394"/>
      <c r="P235" s="394"/>
      <c r="Q235" s="394"/>
      <c r="R235" s="394"/>
      <c r="S235" s="394"/>
      <c r="T235" s="394"/>
      <c r="U235" s="394"/>
      <c r="V235" s="394"/>
      <c r="W235" s="394"/>
      <c r="X235" s="394"/>
      <c r="Y235" s="394"/>
      <c r="Z235" s="394"/>
    </row>
    <row r="236" customFormat="false" ht="18.75" hidden="false" customHeight="true" outlineLevel="0" collapsed="false">
      <c r="A236" s="291"/>
      <c r="B236" s="292"/>
      <c r="C236" s="292"/>
      <c r="D236" s="292"/>
      <c r="E236" s="293"/>
      <c r="F236" s="394"/>
      <c r="L236" s="394"/>
      <c r="M236" s="394"/>
      <c r="N236" s="394"/>
      <c r="O236" s="394"/>
      <c r="P236" s="394"/>
      <c r="Q236" s="394"/>
      <c r="R236" s="394"/>
      <c r="S236" s="394"/>
      <c r="T236" s="394"/>
      <c r="U236" s="394"/>
      <c r="V236" s="394"/>
      <c r="W236" s="394"/>
      <c r="X236" s="394"/>
      <c r="Y236" s="394"/>
      <c r="Z236" s="394"/>
    </row>
    <row r="237" customFormat="false" ht="18.75" hidden="false" customHeight="true" outlineLevel="0" collapsed="false">
      <c r="A237" s="291"/>
      <c r="B237" s="292"/>
      <c r="C237" s="292"/>
      <c r="D237" s="292"/>
      <c r="E237" s="293"/>
      <c r="F237" s="394"/>
      <c r="L237" s="394"/>
      <c r="M237" s="394"/>
      <c r="N237" s="394"/>
      <c r="O237" s="394"/>
      <c r="P237" s="394"/>
      <c r="Q237" s="394"/>
      <c r="R237" s="394"/>
      <c r="S237" s="394"/>
      <c r="T237" s="394"/>
      <c r="U237" s="394"/>
      <c r="V237" s="394"/>
      <c r="W237" s="394"/>
      <c r="X237" s="394"/>
      <c r="Y237" s="394"/>
      <c r="Z237" s="394"/>
    </row>
    <row r="238" customFormat="false" ht="18.75" hidden="false" customHeight="true" outlineLevel="0" collapsed="false">
      <c r="A238" s="70"/>
      <c r="B238" s="201"/>
      <c r="C238" s="201"/>
      <c r="D238" s="201"/>
      <c r="E238" s="177"/>
      <c r="F238" s="394"/>
      <c r="L238" s="394"/>
      <c r="M238" s="394"/>
      <c r="N238" s="394"/>
      <c r="O238" s="394"/>
      <c r="P238" s="394"/>
      <c r="Q238" s="394"/>
      <c r="R238" s="394"/>
      <c r="S238" s="394"/>
      <c r="T238" s="394"/>
      <c r="U238" s="394"/>
      <c r="V238" s="394"/>
      <c r="W238" s="394"/>
      <c r="X238" s="394"/>
      <c r="Y238" s="394"/>
      <c r="Z238" s="394"/>
    </row>
    <row r="239" customFormat="false" ht="18.75" hidden="false" customHeight="true" outlineLevel="0" collapsed="false">
      <c r="A239" s="291"/>
      <c r="B239" s="292"/>
      <c r="C239" s="292"/>
      <c r="D239" s="292"/>
      <c r="E239" s="293"/>
      <c r="F239" s="394"/>
      <c r="L239" s="394"/>
      <c r="M239" s="394"/>
      <c r="N239" s="394"/>
      <c r="O239" s="394"/>
      <c r="P239" s="394"/>
      <c r="Q239" s="394"/>
      <c r="R239" s="394"/>
      <c r="S239" s="394"/>
      <c r="T239" s="394"/>
      <c r="U239" s="394"/>
      <c r="V239" s="394"/>
      <c r="W239" s="394"/>
      <c r="X239" s="394"/>
      <c r="Y239" s="394"/>
      <c r="Z239" s="394"/>
    </row>
    <row r="240" customFormat="false" ht="18.75" hidden="false" customHeight="true" outlineLevel="0" collapsed="false">
      <c r="A240" s="291"/>
      <c r="B240" s="292"/>
      <c r="C240" s="292"/>
      <c r="D240" s="292"/>
      <c r="E240" s="293"/>
      <c r="F240" s="394"/>
      <c r="L240" s="394"/>
      <c r="M240" s="394"/>
      <c r="N240" s="394"/>
      <c r="O240" s="394"/>
      <c r="P240" s="394"/>
      <c r="Q240" s="394"/>
      <c r="R240" s="394"/>
      <c r="S240" s="394"/>
      <c r="T240" s="394"/>
      <c r="U240" s="394"/>
      <c r="V240" s="394"/>
      <c r="W240" s="394"/>
      <c r="X240" s="394"/>
      <c r="Y240" s="394"/>
      <c r="Z240" s="394"/>
    </row>
    <row r="241" customFormat="false" ht="18.75" hidden="false" customHeight="true" outlineLevel="0" collapsed="false">
      <c r="A241" s="70"/>
      <c r="B241" s="201"/>
      <c r="C241" s="292"/>
      <c r="D241" s="292"/>
      <c r="E241" s="293"/>
      <c r="F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  <c r="X241" s="394"/>
      <c r="Y241" s="394"/>
      <c r="Z241" s="394"/>
    </row>
    <row r="242" customFormat="false" ht="18.75" hidden="false" customHeight="true" outlineLevel="0" collapsed="false">
      <c r="A242" s="342"/>
      <c r="B242" s="343"/>
      <c r="C242" s="343"/>
      <c r="D242" s="343"/>
      <c r="E242" s="344"/>
      <c r="F242" s="394"/>
      <c r="L242" s="394"/>
      <c r="M242" s="394"/>
      <c r="N242" s="394"/>
      <c r="O242" s="394"/>
      <c r="P242" s="394"/>
      <c r="Q242" s="394"/>
      <c r="R242" s="394"/>
      <c r="S242" s="394"/>
      <c r="T242" s="394"/>
      <c r="U242" s="394"/>
      <c r="V242" s="394"/>
      <c r="W242" s="394"/>
      <c r="X242" s="394"/>
      <c r="Y242" s="394"/>
      <c r="Z242" s="394"/>
    </row>
    <row r="243" customFormat="false" ht="18.75" hidden="false" customHeight="true" outlineLevel="0" collapsed="false">
      <c r="A243" s="291"/>
      <c r="B243" s="292"/>
      <c r="C243" s="292"/>
      <c r="D243" s="292"/>
      <c r="E243" s="293"/>
      <c r="F243" s="394"/>
      <c r="L243" s="394"/>
      <c r="M243" s="394"/>
      <c r="N243" s="394"/>
      <c r="O243" s="394"/>
      <c r="P243" s="394"/>
      <c r="Q243" s="394"/>
      <c r="R243" s="394"/>
      <c r="S243" s="394"/>
      <c r="T243" s="394"/>
      <c r="U243" s="394"/>
      <c r="V243" s="394"/>
      <c r="W243" s="394"/>
      <c r="X243" s="394"/>
      <c r="Y243" s="394"/>
      <c r="Z243" s="394"/>
    </row>
    <row r="244" customFormat="false" ht="18.75" hidden="false" customHeight="true" outlineLevel="0" collapsed="false">
      <c r="A244" s="70"/>
      <c r="B244" s="201"/>
      <c r="C244" s="201"/>
      <c r="D244" s="201"/>
      <c r="E244" s="177"/>
      <c r="F244" s="394"/>
      <c r="L244" s="394"/>
      <c r="M244" s="394"/>
      <c r="N244" s="394"/>
      <c r="O244" s="394"/>
      <c r="P244" s="394"/>
      <c r="Q244" s="394"/>
      <c r="R244" s="394"/>
      <c r="S244" s="394"/>
      <c r="T244" s="394"/>
      <c r="U244" s="394"/>
      <c r="V244" s="394"/>
      <c r="W244" s="394"/>
      <c r="X244" s="394"/>
      <c r="Y244" s="394"/>
      <c r="Z244" s="394"/>
    </row>
    <row r="245" customFormat="false" ht="18.75" hidden="false" customHeight="true" outlineLevel="0" collapsed="false">
      <c r="A245" s="291"/>
      <c r="B245" s="292"/>
      <c r="C245" s="292"/>
      <c r="D245" s="292"/>
      <c r="E245" s="293"/>
      <c r="F245" s="394"/>
      <c r="L245" s="394"/>
      <c r="M245" s="394"/>
      <c r="N245" s="394"/>
      <c r="O245" s="394"/>
      <c r="P245" s="394"/>
      <c r="Q245" s="394"/>
      <c r="R245" s="394"/>
      <c r="S245" s="394"/>
      <c r="T245" s="394"/>
      <c r="U245" s="394"/>
      <c r="V245" s="394"/>
      <c r="W245" s="394"/>
      <c r="X245" s="394"/>
      <c r="Y245" s="394"/>
      <c r="Z245" s="394"/>
    </row>
    <row r="246" customFormat="false" ht="18.75" hidden="false" customHeight="true" outlineLevel="0" collapsed="false">
      <c r="A246" s="291"/>
      <c r="B246" s="292"/>
      <c r="C246" s="292"/>
      <c r="D246" s="292"/>
      <c r="E246" s="293"/>
      <c r="F246" s="394"/>
      <c r="L246" s="394"/>
      <c r="M246" s="394"/>
      <c r="N246" s="394"/>
      <c r="O246" s="394"/>
      <c r="P246" s="394"/>
      <c r="Q246" s="394"/>
      <c r="R246" s="394"/>
      <c r="S246" s="394"/>
      <c r="T246" s="394"/>
      <c r="U246" s="394"/>
      <c r="V246" s="394"/>
      <c r="W246" s="394"/>
      <c r="X246" s="394"/>
      <c r="Y246" s="394"/>
      <c r="Z246" s="394"/>
    </row>
    <row r="247" customFormat="false" ht="18.75" hidden="false" customHeight="true" outlineLevel="0" collapsed="false">
      <c r="A247" s="70"/>
      <c r="B247" s="201"/>
      <c r="C247" s="292"/>
      <c r="D247" s="292"/>
      <c r="E247" s="293"/>
      <c r="F247" s="394"/>
      <c r="L247" s="394"/>
      <c r="M247" s="394"/>
      <c r="N247" s="394"/>
      <c r="O247" s="394"/>
      <c r="P247" s="394"/>
      <c r="Q247" s="394"/>
      <c r="R247" s="394"/>
      <c r="S247" s="394"/>
      <c r="T247" s="394"/>
      <c r="U247" s="394"/>
      <c r="V247" s="394"/>
      <c r="W247" s="394"/>
      <c r="X247" s="394"/>
      <c r="Y247" s="394"/>
      <c r="Z247" s="394"/>
    </row>
    <row r="248" customFormat="false" ht="18.75" hidden="false" customHeight="true" outlineLevel="0" collapsed="false">
      <c r="A248" s="342"/>
      <c r="B248" s="343"/>
      <c r="C248" s="343"/>
      <c r="D248" s="343"/>
      <c r="E248" s="344"/>
      <c r="F248" s="394"/>
      <c r="L248" s="394"/>
      <c r="M248" s="394"/>
      <c r="N248" s="394"/>
      <c r="O248" s="394"/>
      <c r="P248" s="394"/>
      <c r="Q248" s="394"/>
      <c r="R248" s="394"/>
      <c r="S248" s="394"/>
      <c r="T248" s="394"/>
      <c r="U248" s="394"/>
      <c r="V248" s="394"/>
      <c r="W248" s="394"/>
      <c r="X248" s="394"/>
      <c r="Y248" s="394"/>
      <c r="Z248" s="394"/>
    </row>
    <row r="249" customFormat="false" ht="18.75" hidden="false" customHeight="true" outlineLevel="0" collapsed="false">
      <c r="A249" s="394"/>
      <c r="B249" s="394"/>
      <c r="C249" s="394"/>
      <c r="D249" s="394"/>
      <c r="E249" s="394"/>
      <c r="F249" s="394"/>
      <c r="G249" s="394"/>
      <c r="H249" s="394"/>
      <c r="I249" s="394"/>
      <c r="J249" s="394"/>
      <c r="K249" s="394"/>
      <c r="L249" s="394"/>
      <c r="M249" s="394"/>
      <c r="N249" s="394"/>
      <c r="O249" s="394"/>
      <c r="P249" s="394"/>
      <c r="Q249" s="394"/>
      <c r="R249" s="394"/>
      <c r="S249" s="394"/>
      <c r="T249" s="394"/>
      <c r="U249" s="394"/>
      <c r="V249" s="394"/>
      <c r="W249" s="394"/>
      <c r="X249" s="394"/>
      <c r="Y249" s="394"/>
      <c r="Z249" s="394"/>
    </row>
    <row r="250" customFormat="false" ht="18.75" hidden="false" customHeight="true" outlineLevel="0" collapsed="false">
      <c r="A250" s="394"/>
      <c r="B250" s="394"/>
      <c r="C250" s="394"/>
      <c r="D250" s="394"/>
      <c r="E250" s="394"/>
      <c r="F250" s="394"/>
      <c r="G250" s="394"/>
      <c r="H250" s="394"/>
      <c r="I250" s="394"/>
      <c r="J250" s="394"/>
      <c r="K250" s="394"/>
      <c r="L250" s="394"/>
      <c r="M250" s="394"/>
      <c r="N250" s="394"/>
      <c r="O250" s="394"/>
      <c r="P250" s="394"/>
      <c r="Q250" s="394"/>
      <c r="R250" s="394"/>
      <c r="S250" s="394"/>
      <c r="T250" s="394"/>
      <c r="U250" s="394"/>
      <c r="V250" s="394"/>
      <c r="W250" s="394"/>
      <c r="X250" s="394"/>
      <c r="Y250" s="394"/>
      <c r="Z250" s="394"/>
    </row>
    <row r="251" customFormat="false" ht="18.75" hidden="false" customHeight="true" outlineLevel="0" collapsed="false">
      <c r="A251" s="394"/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4"/>
      <c r="N251" s="394"/>
      <c r="O251" s="394"/>
      <c r="P251" s="394"/>
      <c r="Q251" s="394"/>
      <c r="R251" s="394"/>
      <c r="S251" s="394"/>
      <c r="T251" s="394"/>
      <c r="U251" s="394"/>
      <c r="V251" s="394"/>
      <c r="W251" s="394"/>
      <c r="X251" s="394"/>
      <c r="Y251" s="394"/>
      <c r="Z251" s="394"/>
    </row>
    <row r="252" customFormat="false" ht="18.75" hidden="false" customHeight="true" outlineLevel="0" collapsed="false">
      <c r="A252" s="394"/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4"/>
      <c r="N252" s="394"/>
      <c r="O252" s="394"/>
      <c r="P252" s="394"/>
      <c r="Q252" s="394"/>
      <c r="R252" s="394"/>
      <c r="S252" s="394"/>
      <c r="T252" s="394"/>
      <c r="U252" s="394"/>
      <c r="V252" s="394"/>
      <c r="W252" s="394"/>
      <c r="X252" s="394"/>
      <c r="Y252" s="394"/>
      <c r="Z252" s="394"/>
    </row>
    <row r="253" customFormat="false" ht="18.75" hidden="false" customHeight="true" outlineLevel="0" collapsed="false">
      <c r="A253" s="394"/>
      <c r="B253" s="394"/>
      <c r="C253" s="394"/>
      <c r="D253" s="394"/>
      <c r="E253" s="394"/>
      <c r="F253" s="394"/>
      <c r="G253" s="394"/>
      <c r="H253" s="394"/>
      <c r="I253" s="394"/>
      <c r="J253" s="394"/>
      <c r="K253" s="394"/>
      <c r="L253" s="394"/>
      <c r="M253" s="394"/>
      <c r="N253" s="394"/>
      <c r="O253" s="394"/>
      <c r="P253" s="394"/>
      <c r="Q253" s="394"/>
      <c r="R253" s="394"/>
      <c r="S253" s="394"/>
      <c r="T253" s="394"/>
      <c r="U253" s="394"/>
      <c r="V253" s="394"/>
      <c r="W253" s="394"/>
      <c r="X253" s="394"/>
      <c r="Y253" s="394"/>
      <c r="Z253" s="394"/>
    </row>
    <row r="254" customFormat="false" ht="18.75" hidden="false" customHeight="true" outlineLevel="0" collapsed="false">
      <c r="A254" s="394"/>
      <c r="B254" s="394"/>
      <c r="C254" s="394"/>
      <c r="D254" s="394"/>
      <c r="E254" s="394"/>
      <c r="F254" s="394"/>
      <c r="G254" s="394"/>
      <c r="H254" s="394"/>
      <c r="I254" s="394"/>
      <c r="J254" s="394"/>
      <c r="K254" s="394"/>
      <c r="L254" s="394"/>
      <c r="M254" s="394"/>
      <c r="N254" s="394"/>
      <c r="O254" s="394"/>
      <c r="P254" s="394"/>
      <c r="Q254" s="394"/>
      <c r="R254" s="394"/>
      <c r="S254" s="394"/>
      <c r="T254" s="394"/>
      <c r="U254" s="394"/>
      <c r="V254" s="394"/>
      <c r="W254" s="394"/>
      <c r="X254" s="394"/>
      <c r="Y254" s="394"/>
      <c r="Z254" s="394"/>
    </row>
    <row r="255" customFormat="false" ht="18.75" hidden="false" customHeight="true" outlineLevel="0" collapsed="false">
      <c r="A255" s="394"/>
      <c r="B255" s="394"/>
      <c r="C255" s="394"/>
      <c r="D255" s="394"/>
      <c r="E255" s="394"/>
      <c r="F255" s="394"/>
      <c r="G255" s="394"/>
      <c r="H255" s="394"/>
      <c r="I255" s="394"/>
      <c r="J255" s="394"/>
      <c r="K255" s="394"/>
      <c r="L255" s="394"/>
      <c r="M255" s="394"/>
      <c r="N255" s="394"/>
      <c r="O255" s="394"/>
      <c r="P255" s="394"/>
      <c r="Q255" s="394"/>
      <c r="R255" s="394"/>
      <c r="S255" s="394"/>
      <c r="T255" s="394"/>
      <c r="U255" s="394"/>
      <c r="V255" s="394"/>
      <c r="W255" s="394"/>
      <c r="X255" s="394"/>
      <c r="Y255" s="394"/>
      <c r="Z255" s="394"/>
    </row>
    <row r="256" customFormat="false" ht="18.75" hidden="false" customHeight="true" outlineLevel="0" collapsed="false">
      <c r="A256" s="394"/>
      <c r="B256" s="394"/>
      <c r="C256" s="394"/>
      <c r="D256" s="394"/>
      <c r="E256" s="394"/>
      <c r="F256" s="394"/>
      <c r="G256" s="394"/>
      <c r="H256" s="394"/>
      <c r="I256" s="394"/>
      <c r="J256" s="394"/>
      <c r="K256" s="394"/>
      <c r="L256" s="394"/>
      <c r="M256" s="394"/>
      <c r="N256" s="394"/>
      <c r="O256" s="394"/>
      <c r="P256" s="394"/>
      <c r="Q256" s="394"/>
      <c r="R256" s="394"/>
      <c r="S256" s="394"/>
      <c r="T256" s="394"/>
      <c r="U256" s="394"/>
      <c r="V256" s="394"/>
      <c r="W256" s="394"/>
      <c r="X256" s="394"/>
      <c r="Y256" s="394"/>
      <c r="Z256" s="394"/>
    </row>
    <row r="257" customFormat="false" ht="18.75" hidden="false" customHeight="true" outlineLevel="0" collapsed="false">
      <c r="A257" s="394"/>
      <c r="B257" s="394"/>
      <c r="C257" s="394"/>
      <c r="D257" s="394"/>
      <c r="E257" s="394"/>
      <c r="F257" s="394"/>
      <c r="G257" s="394"/>
      <c r="H257" s="394"/>
      <c r="I257" s="394"/>
      <c r="J257" s="394"/>
      <c r="K257" s="394"/>
      <c r="L257" s="394"/>
      <c r="M257" s="394"/>
      <c r="N257" s="394"/>
      <c r="O257" s="394"/>
      <c r="P257" s="394"/>
      <c r="Q257" s="394"/>
      <c r="R257" s="394"/>
      <c r="S257" s="394"/>
      <c r="T257" s="394"/>
      <c r="U257" s="394"/>
      <c r="V257" s="394"/>
      <c r="W257" s="394"/>
      <c r="X257" s="394"/>
      <c r="Y257" s="394"/>
      <c r="Z257" s="394"/>
    </row>
    <row r="258" customFormat="false" ht="18.75" hidden="false" customHeight="true" outlineLevel="0" collapsed="false">
      <c r="A258" s="394"/>
      <c r="B258" s="394"/>
      <c r="C258" s="394"/>
      <c r="D258" s="394"/>
      <c r="E258" s="394"/>
      <c r="F258" s="394"/>
      <c r="G258" s="394"/>
      <c r="H258" s="394"/>
      <c r="I258" s="394"/>
      <c r="J258" s="394"/>
      <c r="K258" s="394"/>
      <c r="L258" s="394"/>
      <c r="M258" s="394"/>
      <c r="N258" s="394"/>
      <c r="O258" s="394"/>
      <c r="P258" s="394"/>
      <c r="Q258" s="394"/>
      <c r="R258" s="394"/>
      <c r="S258" s="394"/>
      <c r="T258" s="394"/>
      <c r="U258" s="394"/>
      <c r="V258" s="394"/>
      <c r="W258" s="394"/>
      <c r="X258" s="394"/>
      <c r="Y258" s="394"/>
      <c r="Z258" s="394"/>
    </row>
    <row r="259" customFormat="false" ht="18.75" hidden="false" customHeight="true" outlineLevel="0" collapsed="false">
      <c r="A259" s="394"/>
      <c r="B259" s="394"/>
      <c r="C259" s="394"/>
      <c r="D259" s="394"/>
      <c r="E259" s="394"/>
      <c r="F259" s="394"/>
      <c r="G259" s="394"/>
      <c r="H259" s="394"/>
      <c r="I259" s="394"/>
      <c r="J259" s="394"/>
      <c r="K259" s="394"/>
      <c r="L259" s="394"/>
      <c r="M259" s="394"/>
      <c r="N259" s="394"/>
      <c r="O259" s="394"/>
      <c r="P259" s="394"/>
      <c r="Q259" s="394"/>
      <c r="R259" s="394"/>
      <c r="S259" s="394"/>
      <c r="T259" s="394"/>
      <c r="U259" s="394"/>
      <c r="V259" s="394"/>
      <c r="W259" s="394"/>
      <c r="X259" s="394"/>
      <c r="Y259" s="394"/>
      <c r="Z259" s="394"/>
    </row>
    <row r="260" customFormat="false" ht="18.75" hidden="false" customHeight="true" outlineLevel="0" collapsed="false">
      <c r="A260" s="394"/>
      <c r="B260" s="394"/>
      <c r="C260" s="394"/>
      <c r="D260" s="394"/>
      <c r="E260" s="394"/>
      <c r="F260" s="394"/>
      <c r="G260" s="394"/>
      <c r="H260" s="394"/>
      <c r="I260" s="394"/>
      <c r="J260" s="394"/>
      <c r="K260" s="394"/>
      <c r="L260" s="394"/>
      <c r="M260" s="394"/>
      <c r="N260" s="394"/>
      <c r="O260" s="394"/>
      <c r="P260" s="394"/>
      <c r="Q260" s="394"/>
      <c r="R260" s="394"/>
      <c r="S260" s="394"/>
      <c r="T260" s="394"/>
      <c r="U260" s="394"/>
      <c r="V260" s="394"/>
      <c r="W260" s="394"/>
      <c r="X260" s="394"/>
      <c r="Y260" s="394"/>
      <c r="Z260" s="394"/>
    </row>
    <row r="261" customFormat="false" ht="18.75" hidden="false" customHeight="true" outlineLevel="0" collapsed="false">
      <c r="A261" s="394"/>
      <c r="B261" s="394"/>
      <c r="C261" s="394"/>
      <c r="D261" s="394"/>
      <c r="E261" s="394"/>
      <c r="F261" s="394"/>
      <c r="G261" s="394"/>
      <c r="H261" s="394"/>
      <c r="I261" s="394"/>
      <c r="J261" s="394"/>
      <c r="K261" s="394"/>
      <c r="L261" s="394"/>
      <c r="M261" s="394"/>
      <c r="N261" s="394"/>
      <c r="O261" s="394"/>
      <c r="P261" s="394"/>
      <c r="Q261" s="394"/>
      <c r="R261" s="394"/>
      <c r="S261" s="394"/>
      <c r="T261" s="394"/>
      <c r="U261" s="394"/>
      <c r="V261" s="394"/>
      <c r="W261" s="394"/>
      <c r="X261" s="394"/>
      <c r="Y261" s="394"/>
      <c r="Z261" s="394"/>
    </row>
    <row r="262" customFormat="false" ht="18.75" hidden="false" customHeight="true" outlineLevel="0" collapsed="false">
      <c r="A262" s="394"/>
      <c r="B262" s="394"/>
      <c r="C262" s="394"/>
      <c r="D262" s="394"/>
      <c r="E262" s="394"/>
      <c r="F262" s="394"/>
      <c r="G262" s="394"/>
      <c r="H262" s="394"/>
      <c r="I262" s="394"/>
      <c r="J262" s="394"/>
      <c r="K262" s="394"/>
      <c r="L262" s="394"/>
      <c r="M262" s="394"/>
      <c r="N262" s="394"/>
      <c r="O262" s="394"/>
      <c r="P262" s="394"/>
      <c r="Q262" s="394"/>
      <c r="R262" s="394"/>
      <c r="S262" s="394"/>
      <c r="T262" s="394"/>
      <c r="U262" s="394"/>
      <c r="V262" s="394"/>
      <c r="W262" s="394"/>
      <c r="X262" s="394"/>
      <c r="Y262" s="394"/>
      <c r="Z262" s="394"/>
    </row>
    <row r="263" customFormat="false" ht="18.75" hidden="false" customHeight="true" outlineLevel="0" collapsed="false">
      <c r="A263" s="394"/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4"/>
      <c r="N263" s="394"/>
      <c r="O263" s="394"/>
      <c r="P263" s="394"/>
      <c r="Q263" s="394"/>
      <c r="R263" s="394"/>
      <c r="S263" s="394"/>
      <c r="T263" s="394"/>
      <c r="U263" s="394"/>
      <c r="V263" s="394"/>
      <c r="W263" s="394"/>
      <c r="X263" s="394"/>
      <c r="Y263" s="394"/>
      <c r="Z263" s="394"/>
    </row>
    <row r="264" customFormat="false" ht="18.75" hidden="false" customHeight="true" outlineLevel="0" collapsed="false">
      <c r="A264" s="394"/>
      <c r="B264" s="394"/>
      <c r="C264" s="394"/>
      <c r="D264" s="394"/>
      <c r="E264" s="394"/>
      <c r="F264" s="394"/>
      <c r="G264" s="394"/>
      <c r="H264" s="394"/>
      <c r="I264" s="394"/>
      <c r="J264" s="394"/>
      <c r="K264" s="394"/>
      <c r="L264" s="394"/>
      <c r="M264" s="394"/>
      <c r="N264" s="394"/>
      <c r="O264" s="394"/>
      <c r="P264" s="394"/>
      <c r="Q264" s="394"/>
      <c r="R264" s="394"/>
      <c r="S264" s="394"/>
      <c r="T264" s="394"/>
      <c r="U264" s="394"/>
      <c r="V264" s="394"/>
      <c r="W264" s="394"/>
      <c r="X264" s="394"/>
      <c r="Y264" s="394"/>
      <c r="Z264" s="394"/>
    </row>
    <row r="265" customFormat="false" ht="18.75" hidden="false" customHeight="true" outlineLevel="0" collapsed="false">
      <c r="A265" s="394"/>
      <c r="B265" s="394"/>
      <c r="C265" s="394"/>
      <c r="D265" s="394"/>
      <c r="E265" s="394"/>
      <c r="F265" s="394"/>
      <c r="G265" s="394"/>
      <c r="H265" s="394"/>
      <c r="I265" s="394"/>
      <c r="J265" s="394"/>
      <c r="K265" s="394"/>
      <c r="L265" s="394"/>
      <c r="M265" s="394"/>
      <c r="N265" s="394"/>
      <c r="O265" s="394"/>
      <c r="P265" s="394"/>
      <c r="Q265" s="394"/>
      <c r="R265" s="394"/>
      <c r="S265" s="394"/>
      <c r="T265" s="394"/>
      <c r="U265" s="394"/>
      <c r="V265" s="394"/>
      <c r="W265" s="394"/>
      <c r="X265" s="394"/>
      <c r="Y265" s="394"/>
      <c r="Z265" s="394"/>
    </row>
    <row r="266" customFormat="false" ht="18.75" hidden="false" customHeight="true" outlineLevel="0" collapsed="false">
      <c r="A266" s="394"/>
      <c r="B266" s="394"/>
      <c r="C266" s="394"/>
      <c r="D266" s="394"/>
      <c r="E266" s="394"/>
      <c r="F266" s="394"/>
      <c r="G266" s="394"/>
      <c r="H266" s="394"/>
      <c r="I266" s="394"/>
      <c r="J266" s="394"/>
      <c r="K266" s="394"/>
      <c r="L266" s="394"/>
      <c r="M266" s="394"/>
      <c r="N266" s="394"/>
      <c r="O266" s="394"/>
      <c r="P266" s="394"/>
      <c r="Q266" s="394"/>
      <c r="R266" s="394"/>
      <c r="S266" s="394"/>
      <c r="T266" s="394"/>
      <c r="U266" s="394"/>
      <c r="V266" s="394"/>
      <c r="W266" s="394"/>
      <c r="X266" s="394"/>
      <c r="Y266" s="394"/>
      <c r="Z266" s="394"/>
    </row>
    <row r="267" customFormat="false" ht="18.75" hidden="false" customHeight="true" outlineLevel="0" collapsed="false">
      <c r="A267" s="394"/>
      <c r="B267" s="394"/>
      <c r="C267" s="394"/>
      <c r="D267" s="394"/>
      <c r="E267" s="394"/>
      <c r="F267" s="394"/>
      <c r="G267" s="394"/>
      <c r="H267" s="394"/>
      <c r="I267" s="394"/>
      <c r="J267" s="394"/>
      <c r="K267" s="394"/>
      <c r="L267" s="394"/>
      <c r="M267" s="394"/>
      <c r="N267" s="394"/>
      <c r="O267" s="394"/>
      <c r="P267" s="394"/>
      <c r="Q267" s="394"/>
      <c r="R267" s="394"/>
      <c r="S267" s="394"/>
      <c r="T267" s="394"/>
      <c r="U267" s="394"/>
      <c r="V267" s="394"/>
      <c r="W267" s="394"/>
      <c r="X267" s="394"/>
      <c r="Y267" s="394"/>
      <c r="Z267" s="394"/>
    </row>
    <row r="268" customFormat="false" ht="18.75" hidden="false" customHeight="true" outlineLevel="0" collapsed="false">
      <c r="A268" s="394"/>
      <c r="B268" s="394"/>
      <c r="C268" s="394"/>
      <c r="D268" s="394"/>
      <c r="E268" s="394"/>
      <c r="F268" s="394"/>
      <c r="G268" s="394"/>
      <c r="H268" s="394"/>
      <c r="I268" s="394"/>
      <c r="J268" s="394"/>
      <c r="K268" s="394"/>
      <c r="L268" s="394"/>
      <c r="M268" s="394"/>
      <c r="N268" s="394"/>
      <c r="O268" s="394"/>
      <c r="P268" s="394"/>
      <c r="Q268" s="394"/>
      <c r="R268" s="394"/>
      <c r="S268" s="394"/>
      <c r="T268" s="394"/>
      <c r="U268" s="394"/>
      <c r="V268" s="394"/>
      <c r="W268" s="394"/>
      <c r="X268" s="394"/>
      <c r="Y268" s="394"/>
      <c r="Z268" s="394"/>
    </row>
    <row r="269" customFormat="false" ht="18.75" hidden="false" customHeight="true" outlineLevel="0" collapsed="false">
      <c r="A269" s="394"/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4"/>
      <c r="P269" s="394"/>
      <c r="Q269" s="394"/>
      <c r="R269" s="394"/>
      <c r="S269" s="394"/>
      <c r="T269" s="394"/>
      <c r="U269" s="394"/>
      <c r="V269" s="394"/>
      <c r="W269" s="394"/>
      <c r="X269" s="394"/>
      <c r="Y269" s="394"/>
      <c r="Z269" s="394"/>
    </row>
    <row r="270" customFormat="false" ht="18.75" hidden="false" customHeight="true" outlineLevel="0" collapsed="false">
      <c r="A270" s="394"/>
      <c r="B270" s="394"/>
      <c r="C270" s="394"/>
      <c r="D270" s="394"/>
      <c r="E270" s="394"/>
      <c r="F270" s="394"/>
      <c r="G270" s="394"/>
      <c r="H270" s="394"/>
      <c r="I270" s="394"/>
      <c r="J270" s="394"/>
      <c r="K270" s="394"/>
      <c r="L270" s="394"/>
      <c r="M270" s="394"/>
      <c r="N270" s="394"/>
      <c r="O270" s="394"/>
      <c r="P270" s="394"/>
      <c r="Q270" s="394"/>
      <c r="R270" s="394"/>
      <c r="S270" s="394"/>
      <c r="T270" s="394"/>
      <c r="U270" s="394"/>
      <c r="V270" s="394"/>
      <c r="W270" s="394"/>
      <c r="X270" s="394"/>
      <c r="Y270" s="394"/>
      <c r="Z270" s="394"/>
    </row>
    <row r="271" customFormat="false" ht="18.75" hidden="false" customHeight="true" outlineLevel="0" collapsed="false">
      <c r="A271" s="394"/>
      <c r="B271" s="394"/>
      <c r="C271" s="394"/>
      <c r="D271" s="394"/>
      <c r="E271" s="394"/>
      <c r="F271" s="394"/>
      <c r="G271" s="394"/>
      <c r="H271" s="394"/>
      <c r="I271" s="394"/>
      <c r="J271" s="394"/>
      <c r="K271" s="394"/>
      <c r="L271" s="394"/>
      <c r="M271" s="394"/>
      <c r="N271" s="394"/>
      <c r="O271" s="394"/>
      <c r="P271" s="394"/>
      <c r="Q271" s="394"/>
      <c r="R271" s="394"/>
      <c r="S271" s="394"/>
      <c r="T271" s="394"/>
      <c r="U271" s="394"/>
      <c r="V271" s="394"/>
      <c r="W271" s="394"/>
      <c r="X271" s="394"/>
      <c r="Y271" s="394"/>
      <c r="Z271" s="394"/>
    </row>
    <row r="272" customFormat="false" ht="18.75" hidden="false" customHeight="true" outlineLevel="0" collapsed="false">
      <c r="A272" s="394"/>
      <c r="B272" s="394"/>
      <c r="C272" s="394"/>
      <c r="D272" s="394"/>
      <c r="E272" s="394"/>
      <c r="F272" s="394"/>
      <c r="G272" s="394"/>
      <c r="H272" s="394"/>
      <c r="I272" s="394"/>
      <c r="J272" s="394"/>
      <c r="K272" s="394"/>
      <c r="L272" s="394"/>
      <c r="M272" s="394"/>
      <c r="N272" s="394"/>
      <c r="O272" s="394"/>
      <c r="P272" s="394"/>
      <c r="Q272" s="394"/>
      <c r="R272" s="394"/>
      <c r="S272" s="394"/>
      <c r="T272" s="394"/>
      <c r="U272" s="394"/>
      <c r="V272" s="394"/>
      <c r="W272" s="394"/>
      <c r="X272" s="394"/>
      <c r="Y272" s="394"/>
      <c r="Z272" s="394"/>
    </row>
    <row r="273" customFormat="false" ht="18.75" hidden="false" customHeight="true" outlineLevel="0" collapsed="false">
      <c r="A273" s="394"/>
      <c r="B273" s="394"/>
      <c r="C273" s="394"/>
      <c r="D273" s="394"/>
      <c r="E273" s="394"/>
      <c r="F273" s="394"/>
      <c r="G273" s="394"/>
      <c r="H273" s="394"/>
      <c r="I273" s="394"/>
      <c r="J273" s="394"/>
      <c r="K273" s="394"/>
      <c r="L273" s="394"/>
      <c r="M273" s="394"/>
      <c r="N273" s="394"/>
      <c r="O273" s="394"/>
      <c r="P273" s="394"/>
      <c r="Q273" s="394"/>
      <c r="R273" s="394"/>
      <c r="S273" s="394"/>
      <c r="T273" s="394"/>
      <c r="U273" s="394"/>
      <c r="V273" s="394"/>
      <c r="W273" s="394"/>
      <c r="X273" s="394"/>
      <c r="Y273" s="394"/>
      <c r="Z273" s="394"/>
    </row>
    <row r="274" customFormat="false" ht="18.75" hidden="false" customHeight="true" outlineLevel="0" collapsed="false">
      <c r="A274" s="394"/>
      <c r="B274" s="394"/>
      <c r="C274" s="394"/>
      <c r="D274" s="394"/>
      <c r="E274" s="394"/>
      <c r="F274" s="394"/>
      <c r="G274" s="394"/>
      <c r="H274" s="394"/>
      <c r="I274" s="394"/>
      <c r="J274" s="394"/>
      <c r="K274" s="394"/>
      <c r="L274" s="394"/>
      <c r="M274" s="394"/>
      <c r="N274" s="394"/>
      <c r="O274" s="394"/>
      <c r="P274" s="394"/>
      <c r="Q274" s="394"/>
      <c r="R274" s="394"/>
      <c r="S274" s="394"/>
      <c r="T274" s="394"/>
      <c r="U274" s="394"/>
      <c r="V274" s="394"/>
      <c r="W274" s="394"/>
      <c r="X274" s="394"/>
      <c r="Y274" s="394"/>
      <c r="Z274" s="394"/>
    </row>
    <row r="275" customFormat="false" ht="18.75" hidden="false" customHeight="true" outlineLevel="0" collapsed="false">
      <c r="A275" s="394"/>
      <c r="B275" s="394"/>
      <c r="C275" s="394"/>
      <c r="D275" s="394"/>
      <c r="E275" s="394"/>
      <c r="F275" s="394"/>
      <c r="G275" s="394"/>
      <c r="H275" s="394"/>
      <c r="I275" s="394"/>
      <c r="J275" s="394"/>
      <c r="K275" s="394"/>
      <c r="L275" s="394"/>
      <c r="M275" s="394"/>
      <c r="N275" s="394"/>
      <c r="O275" s="394"/>
      <c r="P275" s="394"/>
      <c r="Q275" s="394"/>
      <c r="R275" s="394"/>
      <c r="S275" s="394"/>
      <c r="T275" s="394"/>
      <c r="U275" s="394"/>
      <c r="V275" s="394"/>
      <c r="W275" s="394"/>
      <c r="X275" s="394"/>
      <c r="Y275" s="394"/>
      <c r="Z275" s="394"/>
    </row>
    <row r="276" customFormat="false" ht="18.75" hidden="false" customHeight="true" outlineLevel="0" collapsed="false">
      <c r="A276" s="394"/>
      <c r="B276" s="394"/>
      <c r="C276" s="394"/>
      <c r="D276" s="394"/>
      <c r="E276" s="394"/>
      <c r="F276" s="394"/>
      <c r="G276" s="394"/>
      <c r="H276" s="394"/>
      <c r="I276" s="394"/>
      <c r="J276" s="394"/>
      <c r="K276" s="394"/>
      <c r="L276" s="394"/>
      <c r="M276" s="394"/>
      <c r="N276" s="394"/>
      <c r="O276" s="394"/>
      <c r="P276" s="394"/>
      <c r="Q276" s="394"/>
      <c r="R276" s="394"/>
      <c r="S276" s="394"/>
      <c r="T276" s="394"/>
      <c r="U276" s="394"/>
      <c r="V276" s="394"/>
      <c r="W276" s="394"/>
      <c r="X276" s="394"/>
      <c r="Y276" s="394"/>
      <c r="Z276" s="394"/>
    </row>
    <row r="277" customFormat="false" ht="18.75" hidden="false" customHeight="true" outlineLevel="0" collapsed="false">
      <c r="A277" s="394"/>
      <c r="B277" s="394"/>
      <c r="C277" s="394"/>
      <c r="D277" s="394"/>
      <c r="E277" s="394"/>
      <c r="F277" s="394"/>
      <c r="G277" s="394"/>
      <c r="H277" s="394"/>
      <c r="I277" s="394"/>
      <c r="J277" s="394"/>
      <c r="K277" s="394"/>
      <c r="L277" s="394"/>
      <c r="M277" s="394"/>
      <c r="N277" s="394"/>
      <c r="O277" s="394"/>
      <c r="P277" s="394"/>
      <c r="Q277" s="394"/>
      <c r="R277" s="394"/>
      <c r="S277" s="394"/>
      <c r="T277" s="394"/>
      <c r="U277" s="394"/>
      <c r="V277" s="394"/>
      <c r="W277" s="394"/>
      <c r="X277" s="394"/>
      <c r="Y277" s="394"/>
      <c r="Z277" s="394"/>
    </row>
    <row r="278" customFormat="false" ht="18.75" hidden="false" customHeight="true" outlineLevel="0" collapsed="false">
      <c r="A278" s="394"/>
      <c r="B278" s="394"/>
      <c r="C278" s="394"/>
      <c r="D278" s="394"/>
      <c r="E278" s="394"/>
      <c r="F278" s="394"/>
      <c r="G278" s="394"/>
      <c r="H278" s="394"/>
      <c r="I278" s="394"/>
      <c r="J278" s="394"/>
      <c r="K278" s="394"/>
      <c r="L278" s="394"/>
      <c r="M278" s="394"/>
      <c r="N278" s="394"/>
      <c r="O278" s="394"/>
      <c r="P278" s="394"/>
      <c r="Q278" s="394"/>
      <c r="R278" s="394"/>
      <c r="S278" s="394"/>
      <c r="T278" s="394"/>
      <c r="U278" s="394"/>
      <c r="V278" s="394"/>
      <c r="W278" s="394"/>
      <c r="X278" s="394"/>
      <c r="Y278" s="394"/>
      <c r="Z278" s="394"/>
    </row>
    <row r="279" customFormat="false" ht="18.75" hidden="false" customHeight="true" outlineLevel="0" collapsed="false">
      <c r="A279" s="394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4"/>
      <c r="P279" s="394"/>
      <c r="Q279" s="394"/>
      <c r="R279" s="394"/>
      <c r="S279" s="394"/>
      <c r="T279" s="394"/>
      <c r="U279" s="394"/>
      <c r="V279" s="394"/>
      <c r="W279" s="394"/>
      <c r="X279" s="394"/>
      <c r="Y279" s="394"/>
      <c r="Z279" s="394"/>
    </row>
    <row r="280" customFormat="false" ht="18.75" hidden="false" customHeight="true" outlineLevel="0" collapsed="false">
      <c r="A280" s="394"/>
      <c r="B280" s="394"/>
      <c r="C280" s="394"/>
      <c r="D280" s="394"/>
      <c r="E280" s="394"/>
      <c r="F280" s="394"/>
      <c r="G280" s="394"/>
      <c r="H280" s="394"/>
      <c r="I280" s="394"/>
      <c r="J280" s="394"/>
      <c r="K280" s="394"/>
      <c r="L280" s="394"/>
      <c r="M280" s="394"/>
      <c r="N280" s="394"/>
      <c r="O280" s="394"/>
      <c r="P280" s="394"/>
      <c r="Q280" s="394"/>
      <c r="R280" s="394"/>
      <c r="S280" s="394"/>
      <c r="T280" s="394"/>
      <c r="U280" s="394"/>
      <c r="V280" s="394"/>
      <c r="W280" s="394"/>
      <c r="X280" s="394"/>
      <c r="Y280" s="394"/>
      <c r="Z280" s="394"/>
    </row>
    <row r="281" customFormat="false" ht="18.75" hidden="false" customHeight="true" outlineLevel="0" collapsed="false">
      <c r="A281" s="394"/>
      <c r="B281" s="394"/>
      <c r="C281" s="394"/>
      <c r="D281" s="394"/>
      <c r="E281" s="394"/>
      <c r="F281" s="394"/>
      <c r="G281" s="394"/>
      <c r="H281" s="394"/>
      <c r="I281" s="394"/>
      <c r="J281" s="394"/>
      <c r="K281" s="394"/>
      <c r="L281" s="394"/>
      <c r="M281" s="394"/>
      <c r="N281" s="394"/>
      <c r="O281" s="394"/>
      <c r="P281" s="394"/>
      <c r="Q281" s="394"/>
      <c r="R281" s="394"/>
      <c r="S281" s="394"/>
      <c r="T281" s="394"/>
      <c r="U281" s="394"/>
      <c r="V281" s="394"/>
      <c r="W281" s="394"/>
      <c r="X281" s="394"/>
      <c r="Y281" s="394"/>
      <c r="Z281" s="394"/>
    </row>
    <row r="282" customFormat="false" ht="18.75" hidden="false" customHeight="true" outlineLevel="0" collapsed="false">
      <c r="A282" s="394"/>
      <c r="B282" s="394"/>
      <c r="C282" s="394"/>
      <c r="D282" s="394"/>
      <c r="E282" s="394"/>
      <c r="F282" s="394"/>
      <c r="G282" s="394"/>
      <c r="H282" s="394"/>
      <c r="I282" s="394"/>
      <c r="J282" s="394"/>
      <c r="K282" s="394"/>
      <c r="L282" s="394"/>
      <c r="M282" s="394"/>
      <c r="N282" s="394"/>
      <c r="O282" s="394"/>
      <c r="P282" s="394"/>
      <c r="Q282" s="394"/>
      <c r="R282" s="394"/>
      <c r="S282" s="394"/>
      <c r="T282" s="394"/>
      <c r="U282" s="394"/>
      <c r="V282" s="394"/>
      <c r="W282" s="394"/>
      <c r="X282" s="394"/>
      <c r="Y282" s="394"/>
      <c r="Z282" s="394"/>
    </row>
    <row r="283" customFormat="false" ht="18.75" hidden="false" customHeight="true" outlineLevel="0" collapsed="false">
      <c r="A283" s="394"/>
      <c r="B283" s="394"/>
      <c r="C283" s="394"/>
      <c r="D283" s="394"/>
      <c r="E283" s="394"/>
      <c r="F283" s="394"/>
      <c r="G283" s="394"/>
      <c r="H283" s="394"/>
      <c r="I283" s="394"/>
      <c r="J283" s="394"/>
      <c r="K283" s="394"/>
      <c r="L283" s="394"/>
      <c r="M283" s="394"/>
      <c r="N283" s="394"/>
      <c r="O283" s="394"/>
      <c r="P283" s="394"/>
      <c r="Q283" s="394"/>
      <c r="R283" s="394"/>
      <c r="S283" s="394"/>
      <c r="T283" s="394"/>
      <c r="U283" s="394"/>
      <c r="V283" s="394"/>
      <c r="W283" s="394"/>
      <c r="X283" s="394"/>
      <c r="Y283" s="394"/>
      <c r="Z283" s="394"/>
    </row>
    <row r="284" customFormat="false" ht="18.75" hidden="false" customHeight="true" outlineLevel="0" collapsed="false">
      <c r="A284" s="394"/>
      <c r="B284" s="394"/>
      <c r="C284" s="394"/>
      <c r="D284" s="394"/>
      <c r="E284" s="394"/>
      <c r="F284" s="394"/>
      <c r="G284" s="394"/>
      <c r="H284" s="394"/>
      <c r="I284" s="394"/>
      <c r="J284" s="394"/>
      <c r="K284" s="394"/>
      <c r="L284" s="394"/>
      <c r="M284" s="394"/>
      <c r="N284" s="394"/>
      <c r="O284" s="394"/>
      <c r="P284" s="394"/>
      <c r="Q284" s="394"/>
      <c r="R284" s="394"/>
      <c r="S284" s="394"/>
      <c r="T284" s="394"/>
      <c r="U284" s="394"/>
      <c r="V284" s="394"/>
      <c r="W284" s="394"/>
      <c r="X284" s="394"/>
      <c r="Y284" s="394"/>
      <c r="Z284" s="394"/>
    </row>
    <row r="285" customFormat="false" ht="18.75" hidden="false" customHeight="true" outlineLevel="0" collapsed="false">
      <c r="A285" s="394"/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4"/>
      <c r="P285" s="394"/>
      <c r="Q285" s="394"/>
      <c r="R285" s="394"/>
      <c r="S285" s="394"/>
      <c r="T285" s="394"/>
      <c r="U285" s="394"/>
      <c r="V285" s="394"/>
      <c r="W285" s="394"/>
      <c r="X285" s="394"/>
      <c r="Y285" s="394"/>
      <c r="Z285" s="394"/>
    </row>
    <row r="286" customFormat="false" ht="18.75" hidden="false" customHeight="true" outlineLevel="0" collapsed="false">
      <c r="A286" s="394"/>
      <c r="B286" s="394"/>
      <c r="C286" s="394"/>
      <c r="D286" s="394"/>
      <c r="E286" s="394"/>
      <c r="F286" s="394"/>
      <c r="G286" s="394"/>
      <c r="H286" s="394"/>
      <c r="I286" s="394"/>
      <c r="J286" s="394"/>
      <c r="K286" s="394"/>
      <c r="L286" s="394"/>
      <c r="M286" s="394"/>
      <c r="N286" s="394"/>
      <c r="O286" s="394"/>
      <c r="P286" s="394"/>
      <c r="Q286" s="394"/>
      <c r="R286" s="394"/>
      <c r="S286" s="394"/>
      <c r="T286" s="394"/>
      <c r="U286" s="394"/>
      <c r="V286" s="394"/>
      <c r="W286" s="394"/>
      <c r="X286" s="394"/>
      <c r="Y286" s="394"/>
      <c r="Z286" s="394"/>
    </row>
    <row r="287" customFormat="false" ht="18.75" hidden="false" customHeight="true" outlineLevel="0" collapsed="false">
      <c r="A287" s="394"/>
      <c r="B287" s="394"/>
      <c r="C287" s="394"/>
      <c r="D287" s="394"/>
      <c r="E287" s="394"/>
      <c r="F287" s="394"/>
      <c r="G287" s="394"/>
      <c r="H287" s="394"/>
      <c r="I287" s="394"/>
      <c r="J287" s="394"/>
      <c r="K287" s="394"/>
      <c r="L287" s="394"/>
      <c r="M287" s="394"/>
      <c r="N287" s="394"/>
      <c r="O287" s="394"/>
      <c r="P287" s="394"/>
      <c r="Q287" s="394"/>
      <c r="R287" s="394"/>
      <c r="S287" s="394"/>
      <c r="T287" s="394"/>
      <c r="U287" s="394"/>
      <c r="V287" s="394"/>
      <c r="W287" s="394"/>
      <c r="X287" s="394"/>
      <c r="Y287" s="394"/>
      <c r="Z287" s="394"/>
    </row>
    <row r="288" customFormat="false" ht="18.75" hidden="false" customHeight="true" outlineLevel="0" collapsed="false">
      <c r="A288" s="394"/>
      <c r="B288" s="394"/>
      <c r="C288" s="394"/>
      <c r="D288" s="394"/>
      <c r="E288" s="394"/>
      <c r="F288" s="394"/>
      <c r="G288" s="394"/>
      <c r="H288" s="394"/>
      <c r="I288" s="394"/>
      <c r="J288" s="394"/>
      <c r="K288" s="394"/>
      <c r="L288" s="394"/>
      <c r="M288" s="394"/>
      <c r="N288" s="394"/>
      <c r="O288" s="394"/>
      <c r="P288" s="394"/>
      <c r="Q288" s="394"/>
      <c r="R288" s="394"/>
      <c r="S288" s="394"/>
      <c r="T288" s="394"/>
      <c r="U288" s="394"/>
      <c r="V288" s="394"/>
      <c r="W288" s="394"/>
      <c r="X288" s="394"/>
      <c r="Y288" s="394"/>
      <c r="Z288" s="394"/>
    </row>
    <row r="289" customFormat="false" ht="18.75" hidden="false" customHeight="true" outlineLevel="0" collapsed="false">
      <c r="A289" s="394"/>
      <c r="B289" s="394"/>
      <c r="C289" s="394"/>
      <c r="D289" s="394"/>
      <c r="E289" s="394"/>
      <c r="F289" s="394"/>
      <c r="G289" s="394"/>
      <c r="H289" s="394"/>
      <c r="I289" s="394"/>
      <c r="J289" s="394"/>
      <c r="K289" s="394"/>
      <c r="L289" s="394"/>
      <c r="M289" s="394"/>
      <c r="N289" s="394"/>
      <c r="O289" s="394"/>
      <c r="P289" s="394"/>
      <c r="Q289" s="394"/>
      <c r="R289" s="394"/>
      <c r="S289" s="394"/>
      <c r="T289" s="394"/>
      <c r="U289" s="394"/>
      <c r="V289" s="394"/>
      <c r="W289" s="394"/>
      <c r="X289" s="394"/>
      <c r="Y289" s="394"/>
      <c r="Z289" s="394"/>
    </row>
    <row r="290" customFormat="false" ht="18.75" hidden="false" customHeight="true" outlineLevel="0" collapsed="false">
      <c r="A290" s="394"/>
      <c r="B290" s="394"/>
      <c r="C290" s="394"/>
      <c r="D290" s="394"/>
      <c r="E290" s="394"/>
      <c r="F290" s="394"/>
      <c r="G290" s="394"/>
      <c r="H290" s="394"/>
      <c r="I290" s="394"/>
      <c r="J290" s="394"/>
      <c r="K290" s="394"/>
      <c r="L290" s="394"/>
      <c r="M290" s="394"/>
      <c r="N290" s="394"/>
      <c r="O290" s="394"/>
      <c r="P290" s="394"/>
      <c r="Q290" s="394"/>
      <c r="R290" s="394"/>
      <c r="S290" s="394"/>
      <c r="T290" s="394"/>
      <c r="U290" s="394"/>
      <c r="V290" s="394"/>
      <c r="W290" s="394"/>
      <c r="X290" s="394"/>
      <c r="Y290" s="394"/>
      <c r="Z290" s="394"/>
    </row>
    <row r="291" customFormat="false" ht="18.75" hidden="false" customHeight="true" outlineLevel="0" collapsed="false">
      <c r="A291" s="394"/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4"/>
      <c r="N291" s="394"/>
      <c r="O291" s="394"/>
      <c r="P291" s="394"/>
      <c r="Q291" s="394"/>
      <c r="R291" s="394"/>
      <c r="S291" s="394"/>
      <c r="T291" s="394"/>
      <c r="U291" s="394"/>
      <c r="V291" s="394"/>
      <c r="W291" s="394"/>
      <c r="X291" s="394"/>
      <c r="Y291" s="394"/>
      <c r="Z291" s="394"/>
    </row>
    <row r="292" customFormat="false" ht="18.75" hidden="false" customHeight="true" outlineLevel="0" collapsed="false">
      <c r="A292" s="394"/>
      <c r="B292" s="394"/>
      <c r="C292" s="394"/>
      <c r="D292" s="394"/>
      <c r="E292" s="394"/>
      <c r="F292" s="394"/>
      <c r="G292" s="394"/>
      <c r="H292" s="394"/>
      <c r="I292" s="394"/>
      <c r="J292" s="394"/>
      <c r="K292" s="394"/>
      <c r="L292" s="394"/>
      <c r="M292" s="394"/>
      <c r="N292" s="394"/>
      <c r="O292" s="394"/>
      <c r="P292" s="394"/>
      <c r="Q292" s="394"/>
      <c r="R292" s="394"/>
      <c r="S292" s="394"/>
      <c r="T292" s="394"/>
      <c r="U292" s="394"/>
      <c r="V292" s="394"/>
      <c r="W292" s="394"/>
      <c r="X292" s="394"/>
      <c r="Y292" s="394"/>
      <c r="Z292" s="394"/>
    </row>
    <row r="293" customFormat="false" ht="18.75" hidden="false" customHeight="true" outlineLevel="0" collapsed="false">
      <c r="A293" s="394"/>
      <c r="B293" s="394"/>
      <c r="C293" s="394"/>
      <c r="D293" s="394"/>
      <c r="E293" s="394"/>
      <c r="F293" s="394"/>
      <c r="G293" s="394"/>
      <c r="H293" s="394"/>
      <c r="I293" s="394"/>
      <c r="J293" s="394"/>
      <c r="K293" s="394"/>
      <c r="L293" s="394"/>
      <c r="M293" s="394"/>
      <c r="N293" s="394"/>
      <c r="O293" s="394"/>
      <c r="P293" s="394"/>
      <c r="Q293" s="394"/>
      <c r="R293" s="394"/>
      <c r="S293" s="394"/>
      <c r="T293" s="394"/>
      <c r="U293" s="394"/>
      <c r="V293" s="394"/>
      <c r="W293" s="394"/>
      <c r="X293" s="394"/>
      <c r="Y293" s="394"/>
      <c r="Z293" s="394"/>
    </row>
    <row r="294" customFormat="false" ht="18.75" hidden="false" customHeight="true" outlineLevel="0" collapsed="false">
      <c r="A294" s="394"/>
      <c r="B294" s="394"/>
      <c r="C294" s="394"/>
      <c r="D294" s="394"/>
      <c r="E294" s="394"/>
      <c r="F294" s="394"/>
      <c r="G294" s="394"/>
      <c r="H294" s="394"/>
      <c r="I294" s="394"/>
      <c r="J294" s="394"/>
      <c r="K294" s="394"/>
      <c r="L294" s="394"/>
      <c r="M294" s="394"/>
      <c r="N294" s="394"/>
      <c r="O294" s="394"/>
      <c r="P294" s="394"/>
      <c r="Q294" s="394"/>
      <c r="R294" s="394"/>
      <c r="S294" s="394"/>
      <c r="T294" s="394"/>
      <c r="U294" s="394"/>
      <c r="V294" s="394"/>
      <c r="W294" s="394"/>
      <c r="X294" s="394"/>
      <c r="Y294" s="394"/>
      <c r="Z294" s="394"/>
    </row>
    <row r="295" customFormat="false" ht="18.75" hidden="false" customHeight="true" outlineLevel="0" collapsed="false">
      <c r="A295" s="394"/>
      <c r="B295" s="394"/>
      <c r="C295" s="394"/>
      <c r="D295" s="394"/>
      <c r="E295" s="394"/>
      <c r="F295" s="394"/>
      <c r="G295" s="394"/>
      <c r="H295" s="394"/>
      <c r="I295" s="394"/>
      <c r="J295" s="394"/>
      <c r="K295" s="394"/>
      <c r="L295" s="394"/>
      <c r="M295" s="394"/>
      <c r="N295" s="394"/>
      <c r="O295" s="394"/>
      <c r="P295" s="394"/>
      <c r="Q295" s="394"/>
      <c r="R295" s="394"/>
      <c r="S295" s="394"/>
      <c r="T295" s="394"/>
      <c r="U295" s="394"/>
      <c r="V295" s="394"/>
      <c r="W295" s="394"/>
      <c r="X295" s="394"/>
      <c r="Y295" s="394"/>
      <c r="Z295" s="394"/>
    </row>
    <row r="296" customFormat="false" ht="18.75" hidden="false" customHeight="true" outlineLevel="0" collapsed="false">
      <c r="A296" s="394"/>
      <c r="B296" s="394"/>
      <c r="C296" s="394"/>
      <c r="D296" s="394"/>
      <c r="E296" s="394"/>
      <c r="F296" s="394"/>
      <c r="G296" s="394"/>
      <c r="H296" s="394"/>
      <c r="I296" s="394"/>
      <c r="J296" s="394"/>
      <c r="K296" s="394"/>
      <c r="L296" s="394"/>
      <c r="M296" s="394"/>
      <c r="N296" s="394"/>
      <c r="O296" s="394"/>
      <c r="P296" s="394"/>
      <c r="Q296" s="394"/>
      <c r="R296" s="394"/>
      <c r="S296" s="394"/>
      <c r="T296" s="394"/>
      <c r="U296" s="394"/>
      <c r="V296" s="394"/>
      <c r="W296" s="394"/>
      <c r="X296" s="394"/>
      <c r="Y296" s="394"/>
      <c r="Z296" s="394"/>
    </row>
    <row r="297" customFormat="false" ht="18.75" hidden="false" customHeight="true" outlineLevel="0" collapsed="false">
      <c r="A297" s="394"/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4"/>
      <c r="P297" s="394"/>
      <c r="Q297" s="394"/>
      <c r="R297" s="394"/>
      <c r="S297" s="394"/>
      <c r="T297" s="394"/>
      <c r="U297" s="394"/>
      <c r="V297" s="394"/>
      <c r="W297" s="394"/>
      <c r="X297" s="394"/>
      <c r="Y297" s="394"/>
      <c r="Z297" s="394"/>
    </row>
    <row r="298" customFormat="false" ht="18.75" hidden="false" customHeight="true" outlineLevel="0" collapsed="false">
      <c r="A298" s="394"/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4"/>
      <c r="P298" s="394"/>
      <c r="Q298" s="394"/>
      <c r="R298" s="394"/>
      <c r="S298" s="394"/>
      <c r="T298" s="394"/>
      <c r="U298" s="394"/>
      <c r="V298" s="394"/>
      <c r="W298" s="394"/>
      <c r="X298" s="394"/>
      <c r="Y298" s="394"/>
      <c r="Z298" s="394"/>
    </row>
    <row r="299" customFormat="false" ht="18.75" hidden="false" customHeight="true" outlineLevel="0" collapsed="false">
      <c r="A299" s="394"/>
      <c r="B299" s="394"/>
      <c r="C299" s="394"/>
      <c r="D299" s="394"/>
      <c r="E299" s="394"/>
      <c r="F299" s="394"/>
      <c r="G299" s="394"/>
      <c r="H299" s="394"/>
      <c r="I299" s="394"/>
      <c r="J299" s="394"/>
      <c r="K299" s="394"/>
      <c r="L299" s="394"/>
      <c r="M299" s="394"/>
      <c r="N299" s="394"/>
      <c r="O299" s="394"/>
      <c r="P299" s="394"/>
      <c r="Q299" s="394"/>
      <c r="R299" s="394"/>
      <c r="S299" s="394"/>
      <c r="T299" s="394"/>
      <c r="U299" s="394"/>
      <c r="V299" s="394"/>
      <c r="W299" s="394"/>
      <c r="X299" s="394"/>
      <c r="Y299" s="394"/>
      <c r="Z299" s="394"/>
    </row>
    <row r="300" customFormat="false" ht="18.75" hidden="false" customHeight="true" outlineLevel="0" collapsed="false">
      <c r="A300" s="394"/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4"/>
      <c r="O300" s="394"/>
      <c r="P300" s="394"/>
      <c r="Q300" s="394"/>
      <c r="R300" s="394"/>
      <c r="S300" s="394"/>
      <c r="T300" s="394"/>
      <c r="U300" s="394"/>
      <c r="V300" s="394"/>
      <c r="W300" s="394"/>
      <c r="X300" s="394"/>
      <c r="Y300" s="394"/>
      <c r="Z300" s="394"/>
    </row>
    <row r="301" customFormat="false" ht="18.75" hidden="false" customHeight="true" outlineLevel="0" collapsed="false">
      <c r="A301" s="394"/>
      <c r="B301" s="394"/>
      <c r="C301" s="394"/>
      <c r="D301" s="394"/>
      <c r="E301" s="394"/>
      <c r="F301" s="394"/>
      <c r="G301" s="394"/>
      <c r="H301" s="394"/>
      <c r="I301" s="394"/>
      <c r="J301" s="394"/>
      <c r="K301" s="394"/>
      <c r="L301" s="394"/>
      <c r="M301" s="394"/>
      <c r="N301" s="394"/>
      <c r="O301" s="394"/>
      <c r="P301" s="394"/>
      <c r="Q301" s="394"/>
      <c r="R301" s="394"/>
      <c r="S301" s="394"/>
      <c r="T301" s="394"/>
      <c r="U301" s="394"/>
      <c r="V301" s="394"/>
      <c r="W301" s="394"/>
      <c r="X301" s="394"/>
      <c r="Y301" s="394"/>
      <c r="Z301" s="394"/>
    </row>
    <row r="302" customFormat="false" ht="18.75" hidden="false" customHeight="true" outlineLevel="0" collapsed="false">
      <c r="A302" s="394"/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4"/>
      <c r="P302" s="394"/>
      <c r="Q302" s="394"/>
      <c r="R302" s="394"/>
      <c r="S302" s="394"/>
      <c r="T302" s="394"/>
      <c r="U302" s="394"/>
      <c r="V302" s="394"/>
      <c r="W302" s="394"/>
      <c r="X302" s="394"/>
      <c r="Y302" s="394"/>
      <c r="Z302" s="394"/>
    </row>
    <row r="303" customFormat="false" ht="18.75" hidden="false" customHeight="true" outlineLevel="0" collapsed="false">
      <c r="A303" s="394"/>
      <c r="B303" s="394"/>
      <c r="C303" s="394"/>
      <c r="D303" s="394"/>
      <c r="E303" s="394"/>
      <c r="F303" s="394"/>
      <c r="G303" s="394"/>
      <c r="H303" s="394"/>
      <c r="I303" s="394"/>
      <c r="J303" s="394"/>
      <c r="K303" s="394"/>
      <c r="L303" s="394"/>
      <c r="M303" s="394"/>
      <c r="N303" s="394"/>
      <c r="O303" s="394"/>
      <c r="P303" s="394"/>
      <c r="Q303" s="394"/>
      <c r="R303" s="394"/>
      <c r="S303" s="394"/>
      <c r="T303" s="394"/>
      <c r="U303" s="394"/>
      <c r="V303" s="394"/>
      <c r="W303" s="394"/>
      <c r="X303" s="394"/>
      <c r="Y303" s="394"/>
      <c r="Z303" s="394"/>
    </row>
    <row r="304" customFormat="false" ht="18.75" hidden="false" customHeight="true" outlineLevel="0" collapsed="false">
      <c r="A304" s="394"/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4"/>
      <c r="O304" s="394"/>
      <c r="P304" s="394"/>
      <c r="Q304" s="394"/>
      <c r="R304" s="394"/>
      <c r="S304" s="394"/>
      <c r="T304" s="394"/>
      <c r="U304" s="394"/>
      <c r="V304" s="394"/>
      <c r="W304" s="394"/>
      <c r="X304" s="394"/>
      <c r="Y304" s="394"/>
      <c r="Z304" s="394"/>
    </row>
    <row r="305" customFormat="false" ht="18.75" hidden="false" customHeight="true" outlineLevel="0" collapsed="false">
      <c r="A305" s="394"/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394"/>
      <c r="O305" s="394"/>
      <c r="P305" s="394"/>
      <c r="Q305" s="394"/>
      <c r="R305" s="394"/>
      <c r="S305" s="394"/>
      <c r="T305" s="394"/>
      <c r="U305" s="394"/>
      <c r="V305" s="394"/>
      <c r="W305" s="394"/>
      <c r="X305" s="394"/>
      <c r="Y305" s="394"/>
      <c r="Z305" s="394"/>
    </row>
    <row r="306" customFormat="false" ht="18.75" hidden="false" customHeight="true" outlineLevel="0" collapsed="false">
      <c r="A306" s="394"/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394"/>
      <c r="Z306" s="394"/>
    </row>
    <row r="307" customFormat="false" ht="18.75" hidden="false" customHeight="true" outlineLevel="0" collapsed="false">
      <c r="A307" s="394"/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4"/>
      <c r="M307" s="394"/>
      <c r="N307" s="394"/>
      <c r="O307" s="394"/>
      <c r="P307" s="394"/>
      <c r="Q307" s="394"/>
      <c r="R307" s="394"/>
      <c r="S307" s="394"/>
      <c r="T307" s="394"/>
      <c r="U307" s="394"/>
      <c r="V307" s="394"/>
      <c r="W307" s="394"/>
      <c r="X307" s="394"/>
      <c r="Y307" s="394"/>
      <c r="Z307" s="394"/>
    </row>
    <row r="308" customFormat="false" ht="18.75" hidden="false" customHeight="true" outlineLevel="0" collapsed="false">
      <c r="A308" s="394"/>
      <c r="B308" s="394"/>
      <c r="C308" s="394"/>
      <c r="D308" s="394"/>
      <c r="E308" s="394"/>
      <c r="F308" s="394"/>
      <c r="G308" s="394"/>
      <c r="H308" s="394"/>
      <c r="I308" s="394"/>
      <c r="J308" s="394"/>
      <c r="K308" s="394"/>
      <c r="L308" s="394"/>
      <c r="M308" s="394"/>
      <c r="N308" s="394"/>
      <c r="O308" s="394"/>
      <c r="P308" s="394"/>
      <c r="Q308" s="394"/>
      <c r="R308" s="394"/>
      <c r="S308" s="394"/>
      <c r="T308" s="394"/>
      <c r="U308" s="394"/>
      <c r="V308" s="394"/>
      <c r="W308" s="394"/>
      <c r="X308" s="394"/>
      <c r="Y308" s="394"/>
      <c r="Z308" s="394"/>
    </row>
    <row r="309" customFormat="false" ht="18.75" hidden="false" customHeight="true" outlineLevel="0" collapsed="false">
      <c r="A309" s="394"/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4"/>
      <c r="N309" s="394"/>
      <c r="O309" s="394"/>
      <c r="P309" s="394"/>
      <c r="Q309" s="394"/>
      <c r="R309" s="394"/>
      <c r="S309" s="394"/>
      <c r="T309" s="394"/>
      <c r="U309" s="394"/>
      <c r="V309" s="394"/>
      <c r="W309" s="394"/>
      <c r="X309" s="394"/>
      <c r="Y309" s="394"/>
      <c r="Z309" s="394"/>
    </row>
    <row r="310" customFormat="false" ht="18.75" hidden="false" customHeight="true" outlineLevel="0" collapsed="false">
      <c r="A310" s="394"/>
      <c r="B310" s="394"/>
      <c r="C310" s="394"/>
      <c r="D310" s="394"/>
      <c r="E310" s="394"/>
      <c r="F310" s="394"/>
      <c r="G310" s="394"/>
      <c r="H310" s="394"/>
      <c r="I310" s="394"/>
      <c r="J310" s="394"/>
      <c r="K310" s="394"/>
      <c r="L310" s="394"/>
      <c r="M310" s="394"/>
      <c r="N310" s="394"/>
      <c r="O310" s="394"/>
      <c r="P310" s="394"/>
      <c r="Q310" s="394"/>
      <c r="R310" s="394"/>
      <c r="S310" s="394"/>
      <c r="T310" s="394"/>
      <c r="U310" s="394"/>
      <c r="V310" s="394"/>
      <c r="W310" s="394"/>
      <c r="X310" s="394"/>
      <c r="Y310" s="394"/>
      <c r="Z310" s="394"/>
    </row>
    <row r="311" customFormat="false" ht="18.75" hidden="false" customHeight="true" outlineLevel="0" collapsed="false">
      <c r="A311" s="394"/>
      <c r="B311" s="394"/>
      <c r="C311" s="394"/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394"/>
      <c r="O311" s="394"/>
      <c r="P311" s="394"/>
      <c r="Q311" s="394"/>
      <c r="R311" s="394"/>
      <c r="S311" s="394"/>
      <c r="T311" s="394"/>
      <c r="U311" s="394"/>
      <c r="V311" s="394"/>
      <c r="W311" s="394"/>
      <c r="X311" s="394"/>
      <c r="Y311" s="394"/>
      <c r="Z311" s="394"/>
    </row>
    <row r="312" customFormat="false" ht="18.75" hidden="false" customHeight="true" outlineLevel="0" collapsed="false">
      <c r="A312" s="394"/>
      <c r="B312" s="394"/>
      <c r="C312" s="394"/>
      <c r="D312" s="394"/>
      <c r="E312" s="394"/>
      <c r="F312" s="394"/>
      <c r="G312" s="394"/>
      <c r="H312" s="394"/>
      <c r="I312" s="394"/>
      <c r="J312" s="394"/>
      <c r="K312" s="394"/>
      <c r="L312" s="394"/>
      <c r="M312" s="394"/>
      <c r="N312" s="394"/>
      <c r="O312" s="394"/>
      <c r="P312" s="394"/>
      <c r="Q312" s="394"/>
      <c r="R312" s="394"/>
      <c r="S312" s="394"/>
      <c r="T312" s="394"/>
      <c r="U312" s="394"/>
      <c r="V312" s="394"/>
      <c r="W312" s="394"/>
      <c r="X312" s="394"/>
      <c r="Y312" s="394"/>
      <c r="Z312" s="394"/>
    </row>
    <row r="313" customFormat="false" ht="18.75" hidden="false" customHeight="true" outlineLevel="0" collapsed="false">
      <c r="A313" s="394"/>
      <c r="B313" s="394"/>
      <c r="C313" s="394"/>
      <c r="D313" s="394"/>
      <c r="E313" s="394"/>
      <c r="F313" s="394"/>
      <c r="G313" s="394"/>
      <c r="H313" s="394"/>
      <c r="I313" s="394"/>
      <c r="J313" s="394"/>
      <c r="K313" s="394"/>
      <c r="L313" s="394"/>
      <c r="M313" s="394"/>
      <c r="N313" s="394"/>
      <c r="O313" s="394"/>
      <c r="P313" s="394"/>
      <c r="Q313" s="394"/>
      <c r="R313" s="394"/>
      <c r="S313" s="394"/>
      <c r="T313" s="394"/>
      <c r="U313" s="394"/>
      <c r="V313" s="394"/>
      <c r="W313" s="394"/>
      <c r="X313" s="394"/>
      <c r="Y313" s="394"/>
      <c r="Z313" s="394"/>
    </row>
    <row r="314" customFormat="false" ht="18.75" hidden="false" customHeight="true" outlineLevel="0" collapsed="false">
      <c r="A314" s="394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4"/>
      <c r="N314" s="394"/>
      <c r="O314" s="394"/>
      <c r="P314" s="394"/>
      <c r="Q314" s="394"/>
      <c r="R314" s="394"/>
      <c r="S314" s="394"/>
      <c r="T314" s="394"/>
      <c r="U314" s="394"/>
      <c r="V314" s="394"/>
      <c r="W314" s="394"/>
      <c r="X314" s="394"/>
      <c r="Y314" s="394"/>
      <c r="Z314" s="394"/>
    </row>
    <row r="315" customFormat="false" ht="18.75" hidden="false" customHeight="true" outlineLevel="0" collapsed="false">
      <c r="A315" s="394"/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394"/>
      <c r="O315" s="394"/>
      <c r="P315" s="394"/>
      <c r="Q315" s="394"/>
      <c r="R315" s="394"/>
      <c r="S315" s="394"/>
      <c r="T315" s="394"/>
      <c r="U315" s="394"/>
      <c r="V315" s="394"/>
      <c r="W315" s="394"/>
      <c r="X315" s="394"/>
      <c r="Y315" s="394"/>
      <c r="Z315" s="394"/>
    </row>
    <row r="316" customFormat="false" ht="18.75" hidden="false" customHeight="true" outlineLevel="0" collapsed="false">
      <c r="A316" s="394"/>
      <c r="B316" s="394"/>
      <c r="C316" s="394"/>
      <c r="D316" s="394"/>
      <c r="E316" s="394"/>
      <c r="F316" s="394"/>
      <c r="G316" s="394"/>
      <c r="H316" s="394"/>
      <c r="I316" s="394"/>
      <c r="J316" s="394"/>
      <c r="K316" s="394"/>
      <c r="L316" s="394"/>
      <c r="M316" s="394"/>
      <c r="N316" s="394"/>
      <c r="O316" s="394"/>
      <c r="P316" s="394"/>
      <c r="Q316" s="394"/>
      <c r="R316" s="394"/>
      <c r="S316" s="394"/>
      <c r="T316" s="394"/>
      <c r="U316" s="394"/>
      <c r="V316" s="394"/>
      <c r="W316" s="394"/>
      <c r="X316" s="394"/>
      <c r="Y316" s="394"/>
      <c r="Z316" s="394"/>
    </row>
    <row r="317" customFormat="false" ht="18.75" hidden="false" customHeight="true" outlineLevel="0" collapsed="false">
      <c r="A317" s="394"/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4"/>
      <c r="P317" s="394"/>
      <c r="Q317" s="394"/>
      <c r="R317" s="394"/>
      <c r="S317" s="394"/>
      <c r="T317" s="394"/>
      <c r="U317" s="394"/>
      <c r="V317" s="394"/>
      <c r="W317" s="394"/>
      <c r="X317" s="394"/>
      <c r="Y317" s="394"/>
      <c r="Z317" s="394"/>
    </row>
    <row r="318" customFormat="false" ht="18.75" hidden="false" customHeight="true" outlineLevel="0" collapsed="false">
      <c r="A318" s="394"/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4"/>
      <c r="P318" s="394"/>
      <c r="Q318" s="394"/>
      <c r="R318" s="394"/>
      <c r="S318" s="394"/>
      <c r="T318" s="394"/>
      <c r="U318" s="394"/>
      <c r="V318" s="394"/>
      <c r="W318" s="394"/>
      <c r="X318" s="394"/>
      <c r="Y318" s="394"/>
      <c r="Z318" s="394"/>
    </row>
    <row r="319" customFormat="false" ht="18.75" hidden="false" customHeight="true" outlineLevel="0" collapsed="false">
      <c r="A319" s="394"/>
      <c r="B319" s="394"/>
      <c r="C319" s="394"/>
      <c r="D319" s="394"/>
      <c r="E319" s="394"/>
      <c r="F319" s="394"/>
      <c r="G319" s="394"/>
      <c r="H319" s="394"/>
      <c r="I319" s="394"/>
      <c r="J319" s="394"/>
      <c r="K319" s="394"/>
      <c r="L319" s="394"/>
      <c r="M319" s="394"/>
      <c r="N319" s="394"/>
      <c r="O319" s="394"/>
      <c r="P319" s="394"/>
      <c r="Q319" s="394"/>
      <c r="R319" s="394"/>
      <c r="S319" s="394"/>
      <c r="T319" s="394"/>
      <c r="U319" s="394"/>
      <c r="V319" s="394"/>
      <c r="W319" s="394"/>
      <c r="X319" s="394"/>
      <c r="Y319" s="394"/>
      <c r="Z319" s="394"/>
    </row>
    <row r="320" customFormat="false" ht="18.75" hidden="false" customHeight="true" outlineLevel="0" collapsed="false">
      <c r="A320" s="394"/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4"/>
      <c r="N320" s="394"/>
      <c r="O320" s="394"/>
      <c r="P320" s="394"/>
      <c r="Q320" s="394"/>
      <c r="R320" s="394"/>
      <c r="S320" s="394"/>
      <c r="T320" s="394"/>
      <c r="U320" s="394"/>
      <c r="V320" s="394"/>
      <c r="W320" s="394"/>
      <c r="X320" s="394"/>
      <c r="Y320" s="394"/>
      <c r="Z320" s="394"/>
    </row>
    <row r="321" customFormat="false" ht="18.75" hidden="false" customHeight="true" outlineLevel="0" collapsed="false">
      <c r="A321" s="394"/>
      <c r="B321" s="394"/>
      <c r="C321" s="394"/>
      <c r="D321" s="394"/>
      <c r="E321" s="394"/>
      <c r="F321" s="394"/>
      <c r="G321" s="394"/>
      <c r="H321" s="394"/>
      <c r="I321" s="394"/>
      <c r="J321" s="394"/>
      <c r="K321" s="394"/>
      <c r="L321" s="394"/>
      <c r="M321" s="394"/>
      <c r="N321" s="394"/>
      <c r="O321" s="394"/>
      <c r="P321" s="394"/>
      <c r="Q321" s="394"/>
      <c r="R321" s="394"/>
      <c r="S321" s="394"/>
      <c r="T321" s="394"/>
      <c r="U321" s="394"/>
      <c r="V321" s="394"/>
      <c r="W321" s="394"/>
      <c r="X321" s="394"/>
      <c r="Y321" s="394"/>
      <c r="Z321" s="394"/>
    </row>
    <row r="322" customFormat="false" ht="18.75" hidden="false" customHeight="true" outlineLevel="0" collapsed="false">
      <c r="A322" s="394"/>
      <c r="B322" s="394"/>
      <c r="C322" s="394"/>
      <c r="D322" s="394"/>
      <c r="E322" s="394"/>
      <c r="F322" s="394"/>
      <c r="G322" s="394"/>
      <c r="H322" s="394"/>
      <c r="I322" s="394"/>
      <c r="J322" s="394"/>
      <c r="K322" s="394"/>
      <c r="L322" s="394"/>
      <c r="M322" s="394"/>
      <c r="N322" s="394"/>
      <c r="O322" s="394"/>
      <c r="P322" s="394"/>
      <c r="Q322" s="394"/>
      <c r="R322" s="394"/>
      <c r="S322" s="394"/>
      <c r="T322" s="394"/>
      <c r="U322" s="394"/>
      <c r="V322" s="394"/>
      <c r="W322" s="394"/>
      <c r="X322" s="394"/>
      <c r="Y322" s="394"/>
      <c r="Z322" s="394"/>
    </row>
    <row r="323" customFormat="false" ht="18.75" hidden="false" customHeight="true" outlineLevel="0" collapsed="false">
      <c r="A323" s="394"/>
      <c r="B323" s="394"/>
      <c r="C323" s="394"/>
      <c r="D323" s="394"/>
      <c r="E323" s="394"/>
      <c r="F323" s="394"/>
      <c r="G323" s="394"/>
      <c r="H323" s="394"/>
      <c r="I323" s="394"/>
      <c r="J323" s="394"/>
      <c r="K323" s="394"/>
      <c r="L323" s="394"/>
      <c r="M323" s="394"/>
      <c r="N323" s="394"/>
      <c r="O323" s="394"/>
      <c r="P323" s="394"/>
      <c r="Q323" s="394"/>
      <c r="R323" s="394"/>
      <c r="S323" s="394"/>
      <c r="T323" s="394"/>
      <c r="U323" s="394"/>
      <c r="V323" s="394"/>
      <c r="W323" s="394"/>
      <c r="X323" s="394"/>
      <c r="Y323" s="394"/>
      <c r="Z323" s="394"/>
    </row>
    <row r="324" customFormat="false" ht="18.75" hidden="false" customHeight="true" outlineLevel="0" collapsed="false">
      <c r="A324" s="394"/>
      <c r="B324" s="394"/>
      <c r="C324" s="394"/>
      <c r="D324" s="394"/>
      <c r="E324" s="394"/>
      <c r="F324" s="394"/>
      <c r="G324" s="394"/>
      <c r="H324" s="394"/>
      <c r="I324" s="394"/>
      <c r="J324" s="394"/>
      <c r="K324" s="394"/>
      <c r="L324" s="394"/>
      <c r="M324" s="394"/>
      <c r="N324" s="394"/>
      <c r="O324" s="394"/>
      <c r="P324" s="394"/>
      <c r="Q324" s="394"/>
      <c r="R324" s="394"/>
      <c r="S324" s="394"/>
      <c r="T324" s="394"/>
      <c r="U324" s="394"/>
      <c r="V324" s="394"/>
      <c r="W324" s="394"/>
      <c r="X324" s="394"/>
      <c r="Y324" s="394"/>
      <c r="Z324" s="394"/>
    </row>
    <row r="325" customFormat="false" ht="18.75" hidden="false" customHeight="true" outlineLevel="0" collapsed="false">
      <c r="A325" s="394"/>
      <c r="B325" s="394"/>
      <c r="C325" s="394"/>
      <c r="D325" s="394"/>
      <c r="E325" s="394"/>
      <c r="F325" s="394"/>
      <c r="G325" s="394"/>
      <c r="H325" s="394"/>
      <c r="I325" s="394"/>
      <c r="J325" s="394"/>
      <c r="K325" s="394"/>
      <c r="L325" s="394"/>
      <c r="M325" s="394"/>
      <c r="N325" s="394"/>
      <c r="O325" s="394"/>
      <c r="P325" s="394"/>
      <c r="Q325" s="394"/>
      <c r="R325" s="394"/>
      <c r="S325" s="394"/>
      <c r="T325" s="394"/>
      <c r="U325" s="394"/>
      <c r="V325" s="394"/>
      <c r="W325" s="394"/>
      <c r="X325" s="394"/>
      <c r="Y325" s="394"/>
      <c r="Z325" s="394"/>
    </row>
    <row r="326" customFormat="false" ht="18.75" hidden="false" customHeight="true" outlineLevel="0" collapsed="false">
      <c r="A326" s="394"/>
      <c r="B326" s="394"/>
      <c r="C326" s="394"/>
      <c r="D326" s="394"/>
      <c r="E326" s="394"/>
      <c r="F326" s="394"/>
      <c r="G326" s="394"/>
      <c r="H326" s="394"/>
      <c r="I326" s="394"/>
      <c r="J326" s="394"/>
      <c r="K326" s="394"/>
      <c r="L326" s="394"/>
      <c r="M326" s="394"/>
      <c r="N326" s="394"/>
      <c r="O326" s="394"/>
      <c r="P326" s="394"/>
      <c r="Q326" s="394"/>
      <c r="R326" s="394"/>
      <c r="S326" s="394"/>
      <c r="T326" s="394"/>
      <c r="U326" s="394"/>
      <c r="V326" s="394"/>
      <c r="W326" s="394"/>
      <c r="X326" s="394"/>
      <c r="Y326" s="394"/>
      <c r="Z326" s="394"/>
    </row>
    <row r="327" customFormat="false" ht="18.75" hidden="false" customHeight="true" outlineLevel="0" collapsed="false">
      <c r="A327" s="394"/>
      <c r="B327" s="394"/>
      <c r="C327" s="394"/>
      <c r="D327" s="394"/>
      <c r="E327" s="394"/>
      <c r="F327" s="394"/>
      <c r="G327" s="394"/>
      <c r="H327" s="394"/>
      <c r="I327" s="394"/>
      <c r="J327" s="394"/>
      <c r="K327" s="394"/>
      <c r="L327" s="394"/>
      <c r="M327" s="394"/>
      <c r="N327" s="394"/>
      <c r="O327" s="394"/>
      <c r="P327" s="394"/>
      <c r="Q327" s="394"/>
      <c r="R327" s="394"/>
      <c r="S327" s="394"/>
      <c r="T327" s="394"/>
      <c r="U327" s="394"/>
      <c r="V327" s="394"/>
      <c r="W327" s="394"/>
      <c r="X327" s="394"/>
      <c r="Y327" s="394"/>
      <c r="Z327" s="394"/>
    </row>
    <row r="328" customFormat="false" ht="18.75" hidden="false" customHeight="true" outlineLevel="0" collapsed="false">
      <c r="A328" s="394"/>
      <c r="B328" s="394"/>
      <c r="C328" s="394"/>
      <c r="D328" s="394"/>
      <c r="E328" s="394"/>
      <c r="F328" s="394"/>
      <c r="G328" s="394"/>
      <c r="H328" s="394"/>
      <c r="I328" s="394"/>
      <c r="J328" s="394"/>
      <c r="K328" s="394"/>
      <c r="L328" s="394"/>
      <c r="M328" s="394"/>
      <c r="N328" s="394"/>
      <c r="O328" s="394"/>
      <c r="P328" s="394"/>
      <c r="Q328" s="394"/>
      <c r="R328" s="394"/>
      <c r="S328" s="394"/>
      <c r="T328" s="394"/>
      <c r="U328" s="394"/>
      <c r="V328" s="394"/>
      <c r="W328" s="394"/>
      <c r="X328" s="394"/>
      <c r="Y328" s="394"/>
      <c r="Z328" s="394"/>
    </row>
    <row r="329" customFormat="false" ht="18.75" hidden="false" customHeight="true" outlineLevel="0" collapsed="false">
      <c r="A329" s="394"/>
      <c r="B329" s="394"/>
      <c r="C329" s="394"/>
      <c r="D329" s="394"/>
      <c r="E329" s="394"/>
      <c r="F329" s="394"/>
      <c r="G329" s="394"/>
      <c r="H329" s="394"/>
      <c r="I329" s="394"/>
      <c r="J329" s="394"/>
      <c r="K329" s="394"/>
      <c r="L329" s="394"/>
      <c r="M329" s="394"/>
      <c r="N329" s="394"/>
      <c r="O329" s="394"/>
      <c r="P329" s="394"/>
      <c r="Q329" s="394"/>
      <c r="R329" s="394"/>
      <c r="S329" s="394"/>
      <c r="T329" s="394"/>
      <c r="U329" s="394"/>
      <c r="V329" s="394"/>
      <c r="W329" s="394"/>
      <c r="X329" s="394"/>
      <c r="Y329" s="394"/>
      <c r="Z329" s="394"/>
    </row>
    <row r="330" customFormat="false" ht="18.75" hidden="false" customHeight="true" outlineLevel="0" collapsed="false">
      <c r="A330" s="394"/>
      <c r="B330" s="394"/>
      <c r="C330" s="394"/>
      <c r="D330" s="394"/>
      <c r="E330" s="394"/>
      <c r="F330" s="394"/>
      <c r="G330" s="394"/>
      <c r="H330" s="394"/>
      <c r="I330" s="394"/>
      <c r="J330" s="394"/>
      <c r="K330" s="394"/>
      <c r="L330" s="394"/>
      <c r="M330" s="394"/>
      <c r="N330" s="394"/>
      <c r="O330" s="394"/>
      <c r="P330" s="394"/>
      <c r="Q330" s="394"/>
      <c r="R330" s="394"/>
      <c r="S330" s="394"/>
      <c r="T330" s="394"/>
      <c r="U330" s="394"/>
      <c r="V330" s="394"/>
      <c r="W330" s="394"/>
      <c r="X330" s="394"/>
      <c r="Y330" s="394"/>
      <c r="Z330" s="394"/>
    </row>
    <row r="331" customFormat="false" ht="18.75" hidden="false" customHeight="true" outlineLevel="0" collapsed="false">
      <c r="A331" s="394"/>
      <c r="B331" s="394"/>
      <c r="C331" s="394"/>
      <c r="D331" s="394"/>
      <c r="E331" s="394"/>
      <c r="F331" s="394"/>
      <c r="G331" s="394"/>
      <c r="H331" s="394"/>
      <c r="I331" s="394"/>
      <c r="J331" s="394"/>
      <c r="K331" s="394"/>
      <c r="L331" s="394"/>
      <c r="M331" s="394"/>
      <c r="N331" s="394"/>
      <c r="O331" s="394"/>
      <c r="P331" s="394"/>
      <c r="Q331" s="394"/>
      <c r="R331" s="394"/>
      <c r="S331" s="394"/>
      <c r="T331" s="394"/>
      <c r="U331" s="394"/>
      <c r="V331" s="394"/>
      <c r="W331" s="394"/>
      <c r="X331" s="394"/>
      <c r="Y331" s="394"/>
      <c r="Z331" s="394"/>
    </row>
    <row r="332" customFormat="false" ht="18.75" hidden="false" customHeight="true" outlineLevel="0" collapsed="false">
      <c r="A332" s="394"/>
      <c r="B332" s="394"/>
      <c r="C332" s="394"/>
      <c r="D332" s="394"/>
      <c r="E332" s="394"/>
      <c r="F332" s="394"/>
      <c r="G332" s="394"/>
      <c r="H332" s="394"/>
      <c r="I332" s="394"/>
      <c r="J332" s="394"/>
      <c r="K332" s="394"/>
      <c r="L332" s="394"/>
      <c r="M332" s="394"/>
      <c r="N332" s="394"/>
      <c r="O332" s="394"/>
      <c r="P332" s="394"/>
      <c r="Q332" s="394"/>
      <c r="R332" s="394"/>
      <c r="S332" s="394"/>
      <c r="T332" s="394"/>
      <c r="U332" s="394"/>
      <c r="V332" s="394"/>
      <c r="W332" s="394"/>
      <c r="X332" s="394"/>
      <c r="Y332" s="394"/>
      <c r="Z332" s="394"/>
    </row>
    <row r="333" customFormat="false" ht="18.75" hidden="false" customHeight="true" outlineLevel="0" collapsed="false">
      <c r="A333" s="394"/>
      <c r="B333" s="394"/>
      <c r="C333" s="394"/>
      <c r="D333" s="394"/>
      <c r="E333" s="394"/>
      <c r="F333" s="394"/>
      <c r="G333" s="394"/>
      <c r="H333" s="394"/>
      <c r="I333" s="394"/>
      <c r="J333" s="394"/>
      <c r="K333" s="394"/>
      <c r="L333" s="394"/>
      <c r="M333" s="394"/>
      <c r="N333" s="394"/>
      <c r="O333" s="394"/>
      <c r="P333" s="394"/>
      <c r="Q333" s="394"/>
      <c r="R333" s="394"/>
      <c r="S333" s="394"/>
      <c r="T333" s="394"/>
      <c r="U333" s="394"/>
      <c r="V333" s="394"/>
      <c r="W333" s="394"/>
      <c r="X333" s="394"/>
      <c r="Y333" s="394"/>
      <c r="Z333" s="394"/>
    </row>
    <row r="334" customFormat="false" ht="18.75" hidden="false" customHeight="true" outlineLevel="0" collapsed="false">
      <c r="A334" s="394"/>
      <c r="B334" s="394"/>
      <c r="C334" s="394"/>
      <c r="D334" s="394"/>
      <c r="E334" s="394"/>
      <c r="F334" s="394"/>
      <c r="G334" s="394"/>
      <c r="H334" s="394"/>
      <c r="I334" s="394"/>
      <c r="J334" s="394"/>
      <c r="K334" s="394"/>
      <c r="L334" s="394"/>
      <c r="M334" s="394"/>
      <c r="N334" s="394"/>
      <c r="O334" s="394"/>
      <c r="P334" s="394"/>
      <c r="Q334" s="394"/>
      <c r="R334" s="394"/>
      <c r="S334" s="394"/>
      <c r="T334" s="394"/>
      <c r="U334" s="394"/>
      <c r="V334" s="394"/>
      <c r="W334" s="394"/>
      <c r="X334" s="394"/>
      <c r="Y334" s="394"/>
      <c r="Z334" s="394"/>
    </row>
    <row r="335" customFormat="false" ht="18.75" hidden="false" customHeight="true" outlineLevel="0" collapsed="false">
      <c r="A335" s="394"/>
      <c r="B335" s="394"/>
      <c r="C335" s="394"/>
      <c r="D335" s="394"/>
      <c r="E335" s="394"/>
      <c r="F335" s="394"/>
      <c r="G335" s="394"/>
      <c r="H335" s="394"/>
      <c r="I335" s="394"/>
      <c r="J335" s="394"/>
      <c r="K335" s="394"/>
      <c r="L335" s="394"/>
      <c r="M335" s="394"/>
      <c r="N335" s="394"/>
      <c r="O335" s="394"/>
      <c r="P335" s="394"/>
      <c r="Q335" s="394"/>
      <c r="R335" s="394"/>
      <c r="S335" s="394"/>
      <c r="T335" s="394"/>
      <c r="U335" s="394"/>
      <c r="V335" s="394"/>
      <c r="W335" s="394"/>
      <c r="X335" s="394"/>
      <c r="Y335" s="394"/>
      <c r="Z335" s="394"/>
    </row>
    <row r="336" customFormat="false" ht="18.75" hidden="false" customHeight="true" outlineLevel="0" collapsed="false">
      <c r="A336" s="394"/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4"/>
      <c r="O336" s="394"/>
      <c r="P336" s="394"/>
      <c r="Q336" s="394"/>
      <c r="R336" s="394"/>
      <c r="S336" s="394"/>
      <c r="T336" s="394"/>
      <c r="U336" s="394"/>
      <c r="V336" s="394"/>
      <c r="W336" s="394"/>
      <c r="X336" s="394"/>
      <c r="Y336" s="394"/>
      <c r="Z336" s="394"/>
    </row>
    <row r="337" customFormat="false" ht="18.75" hidden="false" customHeight="true" outlineLevel="0" collapsed="false">
      <c r="A337" s="394"/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4"/>
      <c r="M337" s="394"/>
      <c r="N337" s="394"/>
      <c r="O337" s="394"/>
      <c r="P337" s="394"/>
      <c r="Q337" s="394"/>
      <c r="R337" s="394"/>
      <c r="S337" s="394"/>
      <c r="T337" s="394"/>
      <c r="U337" s="394"/>
      <c r="V337" s="394"/>
      <c r="W337" s="394"/>
      <c r="X337" s="394"/>
      <c r="Y337" s="394"/>
      <c r="Z337" s="394"/>
    </row>
    <row r="338" customFormat="false" ht="18.75" hidden="false" customHeight="true" outlineLevel="0" collapsed="false">
      <c r="A338" s="394"/>
      <c r="B338" s="394"/>
      <c r="C338" s="394"/>
      <c r="D338" s="394"/>
      <c r="E338" s="394"/>
      <c r="F338" s="394"/>
      <c r="G338" s="394"/>
      <c r="H338" s="394"/>
      <c r="I338" s="394"/>
      <c r="J338" s="394"/>
      <c r="K338" s="394"/>
      <c r="L338" s="394"/>
      <c r="M338" s="394"/>
      <c r="N338" s="394"/>
      <c r="O338" s="394"/>
      <c r="P338" s="394"/>
      <c r="Q338" s="394"/>
      <c r="R338" s="394"/>
      <c r="S338" s="394"/>
      <c r="T338" s="394"/>
      <c r="U338" s="394"/>
      <c r="V338" s="394"/>
      <c r="W338" s="394"/>
      <c r="X338" s="394"/>
      <c r="Y338" s="394"/>
      <c r="Z338" s="394"/>
    </row>
    <row r="339" customFormat="false" ht="18.75" hidden="false" customHeight="true" outlineLevel="0" collapsed="false">
      <c r="A339" s="394"/>
      <c r="B339" s="394"/>
      <c r="C339" s="394"/>
      <c r="D339" s="394"/>
      <c r="E339" s="394"/>
      <c r="F339" s="394"/>
      <c r="G339" s="394"/>
      <c r="H339" s="394"/>
      <c r="I339" s="394"/>
      <c r="J339" s="394"/>
      <c r="K339" s="394"/>
      <c r="L339" s="394"/>
      <c r="M339" s="394"/>
      <c r="N339" s="394"/>
      <c r="O339" s="394"/>
      <c r="P339" s="394"/>
      <c r="Q339" s="394"/>
      <c r="R339" s="394"/>
      <c r="S339" s="394"/>
      <c r="T339" s="394"/>
      <c r="U339" s="394"/>
      <c r="V339" s="394"/>
      <c r="W339" s="394"/>
      <c r="X339" s="394"/>
      <c r="Y339" s="394"/>
      <c r="Z339" s="394"/>
    </row>
    <row r="340" customFormat="false" ht="18.75" hidden="false" customHeight="true" outlineLevel="0" collapsed="false">
      <c r="A340" s="394"/>
      <c r="B340" s="394"/>
      <c r="C340" s="394"/>
      <c r="D340" s="394"/>
      <c r="E340" s="394"/>
      <c r="F340" s="394"/>
      <c r="G340" s="394"/>
      <c r="H340" s="394"/>
      <c r="I340" s="394"/>
      <c r="J340" s="394"/>
      <c r="K340" s="394"/>
      <c r="L340" s="394"/>
      <c r="M340" s="394"/>
      <c r="N340" s="394"/>
      <c r="O340" s="394"/>
      <c r="P340" s="394"/>
      <c r="Q340" s="394"/>
      <c r="R340" s="394"/>
      <c r="S340" s="394"/>
      <c r="T340" s="394"/>
      <c r="U340" s="394"/>
      <c r="V340" s="394"/>
      <c r="W340" s="394"/>
      <c r="X340" s="394"/>
      <c r="Y340" s="394"/>
      <c r="Z340" s="394"/>
    </row>
    <row r="341" customFormat="false" ht="18.75" hidden="false" customHeight="true" outlineLevel="0" collapsed="false">
      <c r="A341" s="394"/>
      <c r="B341" s="394"/>
      <c r="C341" s="394"/>
      <c r="D341" s="394"/>
      <c r="E341" s="394"/>
      <c r="F341" s="394"/>
      <c r="G341" s="394"/>
      <c r="H341" s="394"/>
      <c r="I341" s="394"/>
      <c r="J341" s="394"/>
      <c r="K341" s="394"/>
      <c r="L341" s="394"/>
      <c r="M341" s="394"/>
      <c r="N341" s="394"/>
      <c r="O341" s="394"/>
      <c r="P341" s="394"/>
      <c r="Q341" s="394"/>
      <c r="R341" s="394"/>
      <c r="S341" s="394"/>
      <c r="T341" s="394"/>
      <c r="U341" s="394"/>
      <c r="V341" s="394"/>
      <c r="W341" s="394"/>
      <c r="X341" s="394"/>
      <c r="Y341" s="394"/>
      <c r="Z341" s="394"/>
    </row>
    <row r="342" customFormat="false" ht="18.75" hidden="false" customHeight="true" outlineLevel="0" collapsed="false">
      <c r="A342" s="394"/>
      <c r="B342" s="394"/>
      <c r="C342" s="394"/>
      <c r="D342" s="394"/>
      <c r="E342" s="394"/>
      <c r="F342" s="394"/>
      <c r="G342" s="394"/>
      <c r="H342" s="394"/>
      <c r="I342" s="394"/>
      <c r="J342" s="394"/>
      <c r="K342" s="394"/>
      <c r="L342" s="394"/>
      <c r="M342" s="394"/>
      <c r="N342" s="394"/>
      <c r="O342" s="394"/>
      <c r="P342" s="394"/>
      <c r="Q342" s="394"/>
      <c r="R342" s="394"/>
      <c r="S342" s="394"/>
      <c r="T342" s="394"/>
      <c r="U342" s="394"/>
      <c r="V342" s="394"/>
      <c r="W342" s="394"/>
      <c r="X342" s="394"/>
      <c r="Y342" s="394"/>
      <c r="Z342" s="394"/>
    </row>
    <row r="343" customFormat="false" ht="18.75" hidden="false" customHeight="true" outlineLevel="0" collapsed="false">
      <c r="A343" s="394"/>
      <c r="B343" s="394"/>
      <c r="C343" s="394"/>
      <c r="D343" s="394"/>
      <c r="E343" s="394"/>
      <c r="F343" s="394"/>
      <c r="G343" s="394"/>
      <c r="H343" s="394"/>
      <c r="I343" s="394"/>
      <c r="J343" s="394"/>
      <c r="K343" s="394"/>
      <c r="L343" s="394"/>
      <c r="M343" s="394"/>
      <c r="N343" s="394"/>
      <c r="O343" s="394"/>
      <c r="P343" s="394"/>
      <c r="Q343" s="394"/>
      <c r="R343" s="394"/>
      <c r="S343" s="394"/>
      <c r="T343" s="394"/>
      <c r="U343" s="394"/>
      <c r="V343" s="394"/>
      <c r="W343" s="394"/>
      <c r="X343" s="394"/>
      <c r="Y343" s="394"/>
      <c r="Z343" s="394"/>
    </row>
    <row r="344" customFormat="false" ht="18.75" hidden="false" customHeight="true" outlineLevel="0" collapsed="false">
      <c r="A344" s="394"/>
      <c r="B344" s="394"/>
      <c r="C344" s="394"/>
      <c r="D344" s="394"/>
      <c r="E344" s="394"/>
      <c r="F344" s="394"/>
      <c r="G344" s="394"/>
      <c r="H344" s="394"/>
      <c r="I344" s="394"/>
      <c r="J344" s="394"/>
      <c r="K344" s="394"/>
      <c r="L344" s="394"/>
      <c r="M344" s="394"/>
      <c r="N344" s="394"/>
      <c r="O344" s="394"/>
      <c r="P344" s="394"/>
      <c r="Q344" s="394"/>
      <c r="R344" s="394"/>
      <c r="S344" s="394"/>
      <c r="T344" s="394"/>
      <c r="U344" s="394"/>
      <c r="V344" s="394"/>
      <c r="W344" s="394"/>
      <c r="X344" s="394"/>
      <c r="Y344" s="394"/>
      <c r="Z344" s="394"/>
    </row>
    <row r="345" customFormat="false" ht="18.75" hidden="false" customHeight="true" outlineLevel="0" collapsed="false">
      <c r="A345" s="394"/>
      <c r="B345" s="394"/>
      <c r="C345" s="394"/>
      <c r="D345" s="394"/>
      <c r="E345" s="394"/>
      <c r="F345" s="394"/>
      <c r="G345" s="394"/>
      <c r="H345" s="394"/>
      <c r="I345" s="394"/>
      <c r="J345" s="394"/>
      <c r="K345" s="394"/>
      <c r="L345" s="394"/>
      <c r="M345" s="394"/>
      <c r="N345" s="394"/>
      <c r="O345" s="394"/>
      <c r="P345" s="394"/>
      <c r="Q345" s="394"/>
      <c r="R345" s="394"/>
      <c r="S345" s="394"/>
      <c r="T345" s="394"/>
      <c r="U345" s="394"/>
      <c r="V345" s="394"/>
      <c r="W345" s="394"/>
      <c r="X345" s="394"/>
      <c r="Y345" s="394"/>
      <c r="Z345" s="394"/>
    </row>
    <row r="346" customFormat="false" ht="18.75" hidden="false" customHeight="true" outlineLevel="0" collapsed="false">
      <c r="A346" s="394"/>
      <c r="B346" s="394"/>
      <c r="C346" s="394"/>
      <c r="D346" s="394"/>
      <c r="E346" s="394"/>
      <c r="F346" s="394"/>
      <c r="G346" s="394"/>
      <c r="H346" s="394"/>
      <c r="I346" s="394"/>
      <c r="J346" s="394"/>
      <c r="K346" s="394"/>
      <c r="L346" s="394"/>
      <c r="M346" s="394"/>
      <c r="N346" s="394"/>
      <c r="O346" s="394"/>
      <c r="P346" s="394"/>
      <c r="Q346" s="394"/>
      <c r="R346" s="394"/>
      <c r="S346" s="394"/>
      <c r="T346" s="394"/>
      <c r="U346" s="394"/>
      <c r="V346" s="394"/>
      <c r="W346" s="394"/>
      <c r="X346" s="394"/>
      <c r="Y346" s="394"/>
      <c r="Z346" s="394"/>
    </row>
    <row r="347" customFormat="false" ht="18.75" hidden="false" customHeight="true" outlineLevel="0" collapsed="false">
      <c r="A347" s="394"/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4"/>
      <c r="O347" s="394"/>
      <c r="P347" s="394"/>
      <c r="Q347" s="394"/>
      <c r="R347" s="394"/>
      <c r="S347" s="394"/>
      <c r="T347" s="394"/>
      <c r="U347" s="394"/>
      <c r="V347" s="394"/>
      <c r="W347" s="394"/>
      <c r="X347" s="394"/>
      <c r="Y347" s="394"/>
      <c r="Z347" s="394"/>
    </row>
    <row r="348" customFormat="false" ht="18.75" hidden="false" customHeight="true" outlineLevel="0" collapsed="false">
      <c r="A348" s="394"/>
      <c r="B348" s="394"/>
      <c r="C348" s="394"/>
      <c r="D348" s="394"/>
      <c r="E348" s="394"/>
      <c r="F348" s="394"/>
      <c r="G348" s="394"/>
      <c r="H348" s="394"/>
      <c r="I348" s="394"/>
      <c r="J348" s="394"/>
      <c r="K348" s="394"/>
      <c r="L348" s="394"/>
      <c r="M348" s="394"/>
      <c r="N348" s="394"/>
      <c r="O348" s="394"/>
      <c r="P348" s="394"/>
      <c r="Q348" s="394"/>
      <c r="R348" s="394"/>
      <c r="S348" s="394"/>
      <c r="T348" s="394"/>
      <c r="U348" s="394"/>
      <c r="V348" s="394"/>
      <c r="W348" s="394"/>
      <c r="X348" s="394"/>
      <c r="Y348" s="394"/>
      <c r="Z348" s="394"/>
    </row>
    <row r="349" customFormat="false" ht="18.75" hidden="false" customHeight="true" outlineLevel="0" collapsed="false">
      <c r="A349" s="394"/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394"/>
      <c r="O349" s="394"/>
      <c r="P349" s="394"/>
      <c r="Q349" s="394"/>
      <c r="R349" s="394"/>
      <c r="S349" s="394"/>
      <c r="T349" s="394"/>
      <c r="U349" s="394"/>
      <c r="V349" s="394"/>
      <c r="W349" s="394"/>
      <c r="X349" s="394"/>
      <c r="Y349" s="394"/>
      <c r="Z349" s="394"/>
    </row>
    <row r="350" customFormat="false" ht="18.75" hidden="false" customHeight="true" outlineLevel="0" collapsed="false">
      <c r="A350" s="394"/>
      <c r="B350" s="394"/>
      <c r="C350" s="394"/>
      <c r="D350" s="394"/>
      <c r="E350" s="394"/>
      <c r="F350" s="394"/>
      <c r="G350" s="394"/>
      <c r="H350" s="394"/>
      <c r="I350" s="394"/>
      <c r="J350" s="394"/>
      <c r="K350" s="394"/>
      <c r="L350" s="394"/>
      <c r="M350" s="394"/>
      <c r="N350" s="394"/>
      <c r="O350" s="394"/>
      <c r="P350" s="394"/>
      <c r="Q350" s="394"/>
      <c r="R350" s="394"/>
      <c r="S350" s="394"/>
      <c r="T350" s="394"/>
      <c r="U350" s="394"/>
      <c r="V350" s="394"/>
      <c r="W350" s="394"/>
      <c r="X350" s="394"/>
      <c r="Y350" s="394"/>
      <c r="Z350" s="394"/>
    </row>
    <row r="351" customFormat="false" ht="18.75" hidden="false" customHeight="true" outlineLevel="0" collapsed="false">
      <c r="A351" s="394"/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4"/>
      <c r="P351" s="394"/>
      <c r="Q351" s="394"/>
      <c r="R351" s="394"/>
      <c r="S351" s="394"/>
      <c r="T351" s="394"/>
      <c r="U351" s="394"/>
      <c r="V351" s="394"/>
      <c r="W351" s="394"/>
      <c r="X351" s="394"/>
      <c r="Y351" s="394"/>
      <c r="Z351" s="394"/>
    </row>
    <row r="352" customFormat="false" ht="18.75" hidden="false" customHeight="true" outlineLevel="0" collapsed="false">
      <c r="A352" s="394"/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4"/>
      <c r="M352" s="394"/>
      <c r="N352" s="394"/>
      <c r="O352" s="394"/>
      <c r="P352" s="394"/>
      <c r="Q352" s="394"/>
      <c r="R352" s="394"/>
      <c r="S352" s="394"/>
      <c r="T352" s="394"/>
      <c r="U352" s="394"/>
      <c r="V352" s="394"/>
      <c r="W352" s="394"/>
      <c r="X352" s="394"/>
      <c r="Y352" s="394"/>
      <c r="Z352" s="394"/>
    </row>
    <row r="353" customFormat="false" ht="18.75" hidden="false" customHeight="true" outlineLevel="0" collapsed="false">
      <c r="A353" s="394"/>
      <c r="B353" s="394"/>
      <c r="C353" s="394"/>
      <c r="D353" s="394"/>
      <c r="E353" s="394"/>
      <c r="F353" s="394"/>
      <c r="G353" s="394"/>
      <c r="H353" s="394"/>
      <c r="I353" s="394"/>
      <c r="J353" s="394"/>
      <c r="K353" s="394"/>
      <c r="L353" s="394"/>
      <c r="M353" s="394"/>
      <c r="N353" s="394"/>
      <c r="O353" s="394"/>
      <c r="P353" s="394"/>
      <c r="Q353" s="394"/>
      <c r="R353" s="394"/>
      <c r="S353" s="394"/>
      <c r="T353" s="394"/>
      <c r="U353" s="394"/>
      <c r="V353" s="394"/>
      <c r="W353" s="394"/>
      <c r="X353" s="394"/>
      <c r="Y353" s="394"/>
      <c r="Z353" s="394"/>
    </row>
    <row r="354" customFormat="false" ht="18.75" hidden="false" customHeight="true" outlineLevel="0" collapsed="false">
      <c r="A354" s="394"/>
      <c r="B354" s="394"/>
      <c r="C354" s="394"/>
      <c r="D354" s="394"/>
      <c r="E354" s="394"/>
      <c r="F354" s="394"/>
      <c r="G354" s="394"/>
      <c r="H354" s="394"/>
      <c r="I354" s="394"/>
      <c r="J354" s="394"/>
      <c r="K354" s="394"/>
      <c r="L354" s="394"/>
      <c r="M354" s="394"/>
      <c r="N354" s="394"/>
      <c r="O354" s="394"/>
      <c r="P354" s="394"/>
      <c r="Q354" s="394"/>
      <c r="R354" s="394"/>
      <c r="S354" s="394"/>
      <c r="T354" s="394"/>
      <c r="U354" s="394"/>
      <c r="V354" s="394"/>
      <c r="W354" s="394"/>
      <c r="X354" s="394"/>
      <c r="Y354" s="394"/>
      <c r="Z354" s="394"/>
    </row>
    <row r="355" customFormat="false" ht="18.75" hidden="false" customHeight="true" outlineLevel="0" collapsed="false">
      <c r="A355" s="394"/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4"/>
      <c r="N355" s="394"/>
      <c r="O355" s="394"/>
      <c r="P355" s="394"/>
      <c r="Q355" s="394"/>
      <c r="R355" s="394"/>
      <c r="S355" s="394"/>
      <c r="T355" s="394"/>
      <c r="U355" s="394"/>
      <c r="V355" s="394"/>
      <c r="W355" s="394"/>
      <c r="X355" s="394"/>
      <c r="Y355" s="394"/>
      <c r="Z355" s="394"/>
    </row>
    <row r="356" customFormat="false" ht="18.75" hidden="false" customHeight="true" outlineLevel="0" collapsed="false">
      <c r="A356" s="394"/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4"/>
      <c r="N356" s="394"/>
      <c r="O356" s="394"/>
      <c r="P356" s="394"/>
      <c r="Q356" s="394"/>
      <c r="R356" s="394"/>
      <c r="S356" s="394"/>
      <c r="T356" s="394"/>
      <c r="U356" s="394"/>
      <c r="V356" s="394"/>
      <c r="W356" s="394"/>
      <c r="X356" s="394"/>
      <c r="Y356" s="394"/>
      <c r="Z356" s="394"/>
    </row>
    <row r="357" customFormat="false" ht="18.75" hidden="false" customHeight="true" outlineLevel="0" collapsed="false">
      <c r="A357" s="394"/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394"/>
      <c r="O357" s="394"/>
      <c r="P357" s="394"/>
      <c r="Q357" s="394"/>
      <c r="R357" s="394"/>
      <c r="S357" s="394"/>
      <c r="T357" s="394"/>
      <c r="U357" s="394"/>
      <c r="V357" s="394"/>
      <c r="W357" s="394"/>
      <c r="X357" s="394"/>
      <c r="Y357" s="394"/>
      <c r="Z357" s="394"/>
    </row>
    <row r="358" customFormat="false" ht="18.75" hidden="false" customHeight="true" outlineLevel="0" collapsed="false">
      <c r="A358" s="394"/>
      <c r="B358" s="394"/>
      <c r="C358" s="394"/>
      <c r="D358" s="394"/>
      <c r="E358" s="394"/>
      <c r="F358" s="394"/>
      <c r="G358" s="394"/>
      <c r="H358" s="394"/>
      <c r="I358" s="394"/>
      <c r="J358" s="394"/>
      <c r="K358" s="394"/>
      <c r="L358" s="394"/>
      <c r="M358" s="394"/>
      <c r="N358" s="394"/>
      <c r="O358" s="394"/>
      <c r="P358" s="394"/>
      <c r="Q358" s="394"/>
      <c r="R358" s="394"/>
      <c r="S358" s="394"/>
      <c r="T358" s="394"/>
      <c r="U358" s="394"/>
      <c r="V358" s="394"/>
      <c r="W358" s="394"/>
      <c r="X358" s="394"/>
      <c r="Y358" s="394"/>
      <c r="Z358" s="394"/>
    </row>
    <row r="359" customFormat="false" ht="18.75" hidden="false" customHeight="true" outlineLevel="0" collapsed="false">
      <c r="A359" s="394"/>
      <c r="B359" s="394"/>
      <c r="C359" s="394"/>
      <c r="D359" s="394"/>
      <c r="E359" s="394"/>
      <c r="F359" s="394"/>
      <c r="G359" s="394"/>
      <c r="H359" s="394"/>
      <c r="I359" s="394"/>
      <c r="J359" s="394"/>
      <c r="K359" s="394"/>
      <c r="L359" s="394"/>
      <c r="M359" s="394"/>
      <c r="N359" s="394"/>
      <c r="O359" s="394"/>
      <c r="P359" s="394"/>
      <c r="Q359" s="394"/>
      <c r="R359" s="394"/>
      <c r="S359" s="394"/>
      <c r="T359" s="394"/>
      <c r="U359" s="394"/>
      <c r="V359" s="394"/>
      <c r="W359" s="394"/>
      <c r="X359" s="394"/>
      <c r="Y359" s="394"/>
      <c r="Z359" s="394"/>
    </row>
    <row r="360" customFormat="false" ht="18.75" hidden="false" customHeight="true" outlineLevel="0" collapsed="false">
      <c r="A360" s="394"/>
      <c r="B360" s="394"/>
      <c r="C360" s="394"/>
      <c r="D360" s="394"/>
      <c r="E360" s="394"/>
      <c r="F360" s="394"/>
      <c r="G360" s="394"/>
      <c r="H360" s="394"/>
      <c r="I360" s="394"/>
      <c r="J360" s="394"/>
      <c r="K360" s="394"/>
      <c r="L360" s="394"/>
      <c r="M360" s="394"/>
      <c r="N360" s="394"/>
      <c r="O360" s="394"/>
      <c r="P360" s="394"/>
      <c r="Q360" s="394"/>
      <c r="R360" s="394"/>
      <c r="S360" s="394"/>
      <c r="T360" s="394"/>
      <c r="U360" s="394"/>
      <c r="V360" s="394"/>
      <c r="W360" s="394"/>
      <c r="X360" s="394"/>
      <c r="Y360" s="394"/>
      <c r="Z360" s="394"/>
    </row>
    <row r="361" customFormat="false" ht="18.75" hidden="false" customHeight="true" outlineLevel="0" collapsed="false">
      <c r="A361" s="394"/>
      <c r="B361" s="394"/>
      <c r="C361" s="394"/>
      <c r="D361" s="394"/>
      <c r="E361" s="394"/>
      <c r="F361" s="394"/>
      <c r="G361" s="394"/>
      <c r="H361" s="394"/>
      <c r="I361" s="394"/>
      <c r="J361" s="394"/>
      <c r="K361" s="394"/>
      <c r="L361" s="394"/>
      <c r="M361" s="394"/>
      <c r="N361" s="394"/>
      <c r="O361" s="394"/>
      <c r="P361" s="394"/>
      <c r="Q361" s="394"/>
      <c r="R361" s="394"/>
      <c r="S361" s="394"/>
      <c r="T361" s="394"/>
      <c r="U361" s="394"/>
      <c r="V361" s="394"/>
      <c r="W361" s="394"/>
      <c r="X361" s="394"/>
      <c r="Y361" s="394"/>
      <c r="Z361" s="39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81"/>
  <sheetViews>
    <sheetView showFormulas="false" showGridLines="true" showRowColHeaders="true" showZeros="true" rightToLeft="false" tabSelected="false" showOutlineSymbols="true" defaultGridColor="true" view="normal" topLeftCell="A127" colorId="64" zoomScale="75" zoomScaleNormal="75" zoomScalePageLayoutView="100" workbookViewId="0">
      <selection pane="topLeft" activeCell="C131" activeCellId="0" sqref="C131"/>
    </sheetView>
  </sheetViews>
  <sheetFormatPr defaultColWidth="8.320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3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3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3" collapsed="false" outlineLevel="0"/>
  </cols>
  <sheetData>
    <row r="1" customFormat="false" ht="46.5" hidden="false" customHeight="true" outlineLevel="0" collapsed="false">
      <c r="A1" s="4" t="s">
        <v>324</v>
      </c>
      <c r="B1" s="4"/>
      <c r="C1" s="4"/>
      <c r="D1" s="4"/>
      <c r="E1" s="4"/>
      <c r="F1" s="4"/>
      <c r="G1" s="4"/>
      <c r="H1" s="4"/>
      <c r="I1" s="2"/>
      <c r="J1" s="2"/>
    </row>
    <row r="2" customFormat="false" ht="19.7" hidden="false" customHeight="false" outlineLevel="0" collapsed="false">
      <c r="A2" s="99"/>
      <c r="B2" s="8" t="s">
        <v>115</v>
      </c>
      <c r="C2" s="8"/>
      <c r="D2" s="8" t="s">
        <v>116</v>
      </c>
      <c r="E2" s="8"/>
      <c r="F2" s="8" t="s">
        <v>117</v>
      </c>
      <c r="G2" s="8"/>
      <c r="H2" s="9" t="s">
        <v>118</v>
      </c>
      <c r="I2" s="2"/>
      <c r="J2" s="2"/>
    </row>
    <row r="3" customFormat="false" ht="17.35" hidden="false" customHeight="false" outlineLevel="0" collapsed="false">
      <c r="A3" s="55" t="s">
        <v>121</v>
      </c>
      <c r="B3" s="13" t="n">
        <v>46854.17</v>
      </c>
      <c r="C3" s="13"/>
      <c r="D3" s="13" t="n">
        <v>0</v>
      </c>
      <c r="E3" s="13"/>
      <c r="F3" s="13" t="n">
        <v>833.33</v>
      </c>
      <c r="G3" s="13"/>
      <c r="H3" s="14" t="n">
        <v>0</v>
      </c>
      <c r="I3" s="2"/>
      <c r="J3" s="2"/>
    </row>
    <row r="4" customFormat="false" ht="17.35" hidden="false" customHeight="false" outlineLevel="0" collapsed="false">
      <c r="A4" s="55" t="s">
        <v>122</v>
      </c>
      <c r="B4" s="445" t="n">
        <v>0</v>
      </c>
      <c r="C4" s="445"/>
      <c r="D4" s="446" t="n">
        <v>0</v>
      </c>
      <c r="E4" s="446"/>
      <c r="F4" s="446" t="n">
        <v>0</v>
      </c>
      <c r="G4" s="446"/>
      <c r="H4" s="447"/>
      <c r="I4" s="2"/>
      <c r="J4" s="2"/>
    </row>
    <row r="5" customFormat="false" ht="17.35" hidden="false" customHeight="false" outlineLevel="0" collapsed="false">
      <c r="A5" s="55" t="s">
        <v>123</v>
      </c>
      <c r="B5" s="13" t="n">
        <v>0</v>
      </c>
      <c r="C5" s="13"/>
      <c r="D5" s="13" t="n">
        <v>0</v>
      </c>
      <c r="E5" s="13"/>
      <c r="F5" s="13" t="n">
        <v>0</v>
      </c>
      <c r="G5" s="13"/>
      <c r="H5" s="20"/>
      <c r="I5" s="2"/>
      <c r="J5" s="2"/>
    </row>
    <row r="6" customFormat="false" ht="17.35" hidden="false" customHeight="false" outlineLevel="0" collapsed="false">
      <c r="A6" s="55" t="s">
        <v>124</v>
      </c>
      <c r="B6" s="21" t="n">
        <f aca="false">(B3*B4/100)+B5</f>
        <v>0</v>
      </c>
      <c r="C6" s="21"/>
      <c r="D6" s="21" t="n">
        <f aca="false">(D3*D4/100)+D5</f>
        <v>0</v>
      </c>
      <c r="E6" s="21"/>
      <c r="F6" s="21" t="n">
        <f aca="false">(F3*F4/100)+F5</f>
        <v>0</v>
      </c>
      <c r="G6" s="21"/>
      <c r="H6" s="20"/>
      <c r="I6" s="2"/>
      <c r="J6" s="2"/>
    </row>
    <row r="7" customFormat="false" ht="17.35" hidden="false" customHeight="false" outlineLevel="0" collapsed="false">
      <c r="A7" s="55" t="s">
        <v>125</v>
      </c>
      <c r="B7" s="21" t="n">
        <f aca="false">B3-B6</f>
        <v>46854.17</v>
      </c>
      <c r="C7" s="21"/>
      <c r="D7" s="21" t="n">
        <f aca="false">D3-D6</f>
        <v>0</v>
      </c>
      <c r="E7" s="21"/>
      <c r="F7" s="21" t="n">
        <f aca="false">F3-F6</f>
        <v>833.33</v>
      </c>
      <c r="G7" s="21"/>
      <c r="H7" s="20"/>
      <c r="I7" s="2"/>
      <c r="J7" s="2"/>
    </row>
    <row r="8" customFormat="false" ht="17.35" hidden="false" customHeight="false" outlineLevel="0" collapsed="false">
      <c r="A8" s="55"/>
      <c r="B8" s="178"/>
      <c r="C8" s="178"/>
      <c r="D8" s="178"/>
      <c r="E8" s="178"/>
      <c r="F8" s="178"/>
      <c r="G8" s="178"/>
      <c r="H8" s="20"/>
      <c r="I8" s="2"/>
      <c r="J8" s="2"/>
      <c r="L8" s="26" t="s">
        <v>3</v>
      </c>
      <c r="M8" s="27" t="n">
        <f aca="false">H13+H14</f>
        <v>640</v>
      </c>
    </row>
    <row r="9" customFormat="false" ht="19.7" hidden="false" customHeight="false" outlineLevel="0" collapsed="false">
      <c r="A9" s="153" t="s">
        <v>133</v>
      </c>
      <c r="B9" s="153"/>
      <c r="C9" s="153"/>
      <c r="D9" s="153"/>
      <c r="E9" s="153"/>
      <c r="F9" s="153"/>
      <c r="G9" s="448"/>
      <c r="H9" s="30" t="n">
        <f aca="false">B7+D7+F7+H3</f>
        <v>47687.5</v>
      </c>
      <c r="I9" s="2"/>
      <c r="J9" s="2"/>
      <c r="L9" s="27"/>
      <c r="M9" s="27"/>
    </row>
    <row r="10" customFormat="false" ht="17.35" hidden="false" customHeight="false" outlineLevel="0" collapsed="false">
      <c r="A10" s="155" t="s">
        <v>134</v>
      </c>
      <c r="B10" s="155"/>
      <c r="C10" s="155"/>
      <c r="D10" s="155"/>
      <c r="E10" s="155"/>
      <c r="F10" s="155"/>
      <c r="G10" s="204"/>
      <c r="H10" s="14" t="n">
        <v>550</v>
      </c>
      <c r="I10" s="2"/>
      <c r="J10" s="2"/>
      <c r="L10" s="32" t="s">
        <v>1</v>
      </c>
      <c r="M10" s="27" t="n">
        <f aca="false">H15-H11-M8</f>
        <v>48237.5</v>
      </c>
    </row>
    <row r="11" customFormat="false" ht="17.35" hidden="false" customHeight="false" outlineLevel="0" collapsed="false">
      <c r="A11" s="155" t="s">
        <v>135</v>
      </c>
      <c r="B11" s="155"/>
      <c r="C11" s="155"/>
      <c r="D11" s="155"/>
      <c r="E11" s="155"/>
      <c r="F11" s="155"/>
      <c r="G11" s="204"/>
      <c r="H11" s="20" t="n">
        <f aca="false">(H9+H10)*20%</f>
        <v>9647.5</v>
      </c>
      <c r="I11" s="2"/>
      <c r="J11" s="2"/>
      <c r="L11" s="27"/>
      <c r="M11" s="27"/>
    </row>
    <row r="12" customFormat="false" ht="17.35" hidden="false" customHeight="false" outlineLevel="0" collapsed="false">
      <c r="A12" s="155" t="s">
        <v>136</v>
      </c>
      <c r="B12" s="155"/>
      <c r="C12" s="155"/>
      <c r="D12" s="155"/>
      <c r="E12" s="155"/>
      <c r="F12" s="155"/>
      <c r="G12" s="204"/>
      <c r="H12" s="14" t="n">
        <v>0</v>
      </c>
      <c r="I12" s="2"/>
      <c r="J12" s="2"/>
    </row>
    <row r="13" customFormat="false" ht="17.35" hidden="false" customHeight="false" outlineLevel="0" collapsed="false">
      <c r="A13" s="155" t="s">
        <v>137</v>
      </c>
      <c r="B13" s="155"/>
      <c r="C13" s="155"/>
      <c r="D13" s="155"/>
      <c r="E13" s="155"/>
      <c r="F13" s="155"/>
      <c r="G13" s="204"/>
      <c r="H13" s="14" t="n">
        <v>585</v>
      </c>
      <c r="I13" s="2"/>
      <c r="J13" s="2"/>
    </row>
    <row r="14" customFormat="false" ht="17.35" hidden="false" customHeight="false" outlineLevel="0" collapsed="false">
      <c r="A14" s="155" t="s">
        <v>138</v>
      </c>
      <c r="B14" s="155"/>
      <c r="C14" s="155"/>
      <c r="D14" s="155"/>
      <c r="E14" s="155"/>
      <c r="F14" s="155"/>
      <c r="G14" s="204"/>
      <c r="H14" s="14" t="n">
        <v>55</v>
      </c>
      <c r="I14" s="2"/>
      <c r="J14" s="2" t="s">
        <v>13</v>
      </c>
    </row>
    <row r="15" customFormat="false" ht="17.35" hidden="false" customHeight="false" outlineLevel="0" collapsed="false">
      <c r="A15" s="155" t="s">
        <v>139</v>
      </c>
      <c r="B15" s="155"/>
      <c r="C15" s="155"/>
      <c r="D15" s="155"/>
      <c r="E15" s="155"/>
      <c r="F15" s="155"/>
      <c r="G15" s="204"/>
      <c r="H15" s="33" t="n">
        <f aca="false">(H9+H10+H13+H14+H11)-H12</f>
        <v>58525</v>
      </c>
      <c r="I15" s="2"/>
      <c r="J15" s="34" t="n">
        <f aca="false">H15</f>
        <v>58525</v>
      </c>
    </row>
    <row r="16" customFormat="false" ht="17.35" hidden="false" customHeight="false" outlineLevel="0" collapsed="false">
      <c r="A16" s="155" t="s">
        <v>140</v>
      </c>
      <c r="B16" s="155"/>
      <c r="C16" s="155"/>
      <c r="D16" s="155"/>
      <c r="E16" s="155"/>
      <c r="F16" s="155"/>
      <c r="G16" s="204"/>
      <c r="H16" s="14" t="n">
        <v>0</v>
      </c>
      <c r="I16" s="2"/>
      <c r="J16" s="2"/>
      <c r="Y16" s="36" t="s">
        <v>15</v>
      </c>
    </row>
    <row r="17" customFormat="false" ht="17.35" hidden="false" customHeight="false" outlineLevel="0" collapsed="false">
      <c r="A17" s="70" t="s">
        <v>141</v>
      </c>
      <c r="B17" s="70"/>
      <c r="C17" s="70"/>
      <c r="D17" s="70"/>
      <c r="E17" s="70"/>
      <c r="F17" s="70"/>
      <c r="G17" s="201"/>
      <c r="H17" s="20"/>
      <c r="I17" s="2"/>
      <c r="J17" s="2" t="s">
        <v>16</v>
      </c>
      <c r="Y17" s="36" t="s">
        <v>17</v>
      </c>
    </row>
    <row r="18" customFormat="false" ht="17.35" hidden="false" customHeight="false" outlineLevel="0" collapsed="false">
      <c r="A18" s="158" t="s">
        <v>15</v>
      </c>
      <c r="B18" s="159" t="s">
        <v>142</v>
      </c>
      <c r="C18" s="159"/>
      <c r="D18" s="159"/>
      <c r="E18" s="159"/>
      <c r="F18" s="159"/>
      <c r="G18" s="200"/>
      <c r="H18" s="39" t="n">
        <v>0</v>
      </c>
      <c r="I18" s="2"/>
      <c r="J18" s="34" t="n">
        <f aca="false">(B3+D3+F3+H3+H10)*1.2</f>
        <v>57885</v>
      </c>
      <c r="Y18" s="36" t="s">
        <v>18</v>
      </c>
    </row>
    <row r="19" customFormat="false" ht="17.35" hidden="false" customHeight="false" outlineLevel="0" collapsed="false">
      <c r="A19" s="158" t="s">
        <v>17</v>
      </c>
      <c r="B19" s="159" t="s">
        <v>142</v>
      </c>
      <c r="C19" s="159"/>
      <c r="D19" s="159"/>
      <c r="E19" s="159"/>
      <c r="F19" s="159"/>
      <c r="G19" s="200"/>
      <c r="H19" s="39" t="n">
        <v>0</v>
      </c>
      <c r="I19" s="2"/>
      <c r="J19" s="2"/>
      <c r="Z19" s="2" t="s">
        <v>9</v>
      </c>
    </row>
    <row r="20" customFormat="false" ht="17.35" hidden="false" customHeight="false" outlineLevel="0" collapsed="false">
      <c r="A20" s="158" t="s">
        <v>18</v>
      </c>
      <c r="B20" s="159" t="s">
        <v>142</v>
      </c>
      <c r="C20" s="159"/>
      <c r="D20" s="159"/>
      <c r="E20" s="159"/>
      <c r="F20" s="159"/>
      <c r="G20" s="200"/>
      <c r="H20" s="39" t="n">
        <v>0</v>
      </c>
      <c r="I20" s="2"/>
      <c r="J20" s="2"/>
      <c r="Z20" s="2" t="s">
        <v>10</v>
      </c>
    </row>
    <row r="21" customFormat="false" ht="19.7" hidden="false" customHeight="false" outlineLevel="0" collapsed="false">
      <c r="A21" s="449" t="s">
        <v>143</v>
      </c>
      <c r="B21" s="449"/>
      <c r="C21" s="449"/>
      <c r="D21" s="449"/>
      <c r="E21" s="449"/>
      <c r="F21" s="449"/>
      <c r="G21" s="43"/>
      <c r="H21" s="44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45"/>
      <c r="B22" s="45"/>
      <c r="C22" s="45"/>
      <c r="D22" s="45"/>
      <c r="E22" s="45"/>
      <c r="F22" s="45"/>
      <c r="G22" s="45"/>
      <c r="H22" s="45"/>
      <c r="J22" s="2"/>
      <c r="K22" s="2"/>
    </row>
    <row r="23" customFormat="false" ht="17.35" hidden="false" customHeight="false" outlineLevel="0" collapsed="false">
      <c r="A23" s="45"/>
      <c r="B23" s="45"/>
      <c r="C23" s="45"/>
      <c r="D23" s="45"/>
      <c r="E23" s="45"/>
      <c r="F23" s="45"/>
      <c r="G23" s="45"/>
      <c r="H23" s="45"/>
      <c r="J23" s="2"/>
      <c r="K23" s="2"/>
    </row>
    <row r="24" customFormat="false" ht="46.5" hidden="false" customHeight="true" outlineLevel="0" collapsed="false">
      <c r="A24" s="47" t="s">
        <v>350</v>
      </c>
      <c r="B24" s="47"/>
      <c r="C24" s="47"/>
      <c r="D24" s="47"/>
      <c r="E24" s="47"/>
      <c r="F24" s="47"/>
      <c r="G24" s="47"/>
      <c r="H24" s="47"/>
      <c r="I24" s="2"/>
      <c r="J24" s="2"/>
      <c r="K24" s="2"/>
    </row>
    <row r="25" customFormat="false" ht="17.35" hidden="false" customHeight="false" outlineLevel="0" collapsed="false">
      <c r="A25" s="48"/>
      <c r="B25" s="49"/>
      <c r="C25" s="49"/>
      <c r="D25" s="49"/>
      <c r="E25" s="49"/>
      <c r="F25" s="49"/>
      <c r="G25" s="49"/>
      <c r="H25" s="50"/>
      <c r="I25" s="2"/>
      <c r="J25" s="2"/>
      <c r="K25" s="2"/>
    </row>
    <row r="26" customFormat="false" ht="22.05" hidden="false" customHeight="false" outlineLevel="0" collapsed="false">
      <c r="A26" s="58" t="s">
        <v>351</v>
      </c>
      <c r="B26" s="58"/>
      <c r="C26" s="58"/>
      <c r="D26" s="58"/>
      <c r="E26" s="58"/>
      <c r="F26" s="58"/>
      <c r="G26" s="58"/>
      <c r="H26" s="58"/>
      <c r="I26" s="2"/>
      <c r="J26" s="53" t="s">
        <v>23</v>
      </c>
      <c r="K26" s="54" t="s">
        <v>24</v>
      </c>
    </row>
    <row r="27" customFormat="false" ht="17.9" hidden="false" customHeight="false" outlineLevel="0" collapsed="false">
      <c r="A27" s="55"/>
      <c r="B27" s="178"/>
      <c r="C27" s="178"/>
      <c r="D27" s="178"/>
      <c r="E27" s="178"/>
      <c r="F27" s="178"/>
      <c r="G27" s="178"/>
      <c r="H27" s="20"/>
      <c r="I27" s="2"/>
      <c r="J27" s="56" t="s">
        <v>25</v>
      </c>
      <c r="K27" s="57" t="n">
        <v>1</v>
      </c>
    </row>
    <row r="28" customFormat="false" ht="17.9" hidden="false" customHeight="false" outlineLevel="0" collapsed="false">
      <c r="A28" s="51" t="s">
        <v>23</v>
      </c>
      <c r="B28" s="178" t="s">
        <v>352</v>
      </c>
      <c r="C28" s="178"/>
      <c r="D28" s="178"/>
      <c r="E28" s="178"/>
      <c r="F28" s="178"/>
      <c r="G28" s="178"/>
      <c r="H28" s="20"/>
      <c r="I28" s="2"/>
      <c r="J28" s="56" t="s">
        <v>27</v>
      </c>
      <c r="K28" s="57"/>
    </row>
    <row r="29" customFormat="false" ht="17.9" hidden="false" customHeight="false" outlineLevel="0" collapsed="false">
      <c r="A29" s="55"/>
      <c r="B29" s="178"/>
      <c r="C29" s="178"/>
      <c r="D29" s="178"/>
      <c r="E29" s="178"/>
      <c r="F29" s="178"/>
      <c r="G29" s="178"/>
      <c r="H29" s="20"/>
      <c r="I29" s="178"/>
      <c r="J29" s="53" t="s">
        <v>214</v>
      </c>
      <c r="K29" s="61" t="str">
        <f aca="false">A34</f>
        <v>33</v>
      </c>
    </row>
    <row r="30" customFormat="false" ht="17.9" hidden="false" customHeight="false" outlineLevel="0" collapsed="false">
      <c r="A30" s="51" t="s">
        <v>210</v>
      </c>
      <c r="B30" s="178"/>
      <c r="C30" s="201" t="s">
        <v>211</v>
      </c>
      <c r="D30" s="200"/>
      <c r="E30" s="178"/>
      <c r="F30" s="201" t="s">
        <v>353</v>
      </c>
      <c r="G30" s="200"/>
      <c r="H30" s="20"/>
      <c r="I30" s="178"/>
      <c r="J30" s="53" t="s">
        <v>31</v>
      </c>
      <c r="K30" s="61" t="str">
        <f aca="false">C34</f>
        <v>5000</v>
      </c>
    </row>
    <row r="31" customFormat="false" ht="17.9" hidden="false" customHeight="false" outlineLevel="0" collapsed="false">
      <c r="A31" s="52" t="s">
        <v>354</v>
      </c>
      <c r="B31" s="178"/>
      <c r="C31" s="450" t="s">
        <v>355</v>
      </c>
      <c r="D31" s="450"/>
      <c r="E31" s="178"/>
      <c r="F31" s="450"/>
      <c r="G31" s="450"/>
      <c r="H31" s="20"/>
      <c r="I31" s="178"/>
      <c r="J31" s="53" t="s">
        <v>32</v>
      </c>
      <c r="K31" s="410" t="str">
        <f aca="false">A43</f>
        <v>6000</v>
      </c>
    </row>
    <row r="32" customFormat="false" ht="34.8" hidden="false" customHeight="false" outlineLevel="0" collapsed="false">
      <c r="A32" s="51"/>
      <c r="B32" s="198"/>
      <c r="C32" s="198"/>
      <c r="D32" s="198"/>
      <c r="E32" s="198"/>
      <c r="F32" s="198"/>
      <c r="G32" s="198"/>
      <c r="H32" s="20"/>
      <c r="I32" s="2"/>
      <c r="J32" s="53" t="s">
        <v>35</v>
      </c>
      <c r="K32" s="410" t="n">
        <f aca="false">A46</f>
        <v>0</v>
      </c>
    </row>
    <row r="33" customFormat="false" ht="17.35" hidden="false" customHeight="false" outlineLevel="0" collapsed="false">
      <c r="A33" s="51" t="s">
        <v>174</v>
      </c>
      <c r="B33" s="178"/>
      <c r="C33" s="451" t="s">
        <v>175</v>
      </c>
      <c r="D33" s="200"/>
      <c r="E33" s="178"/>
      <c r="F33" s="201" t="s">
        <v>223</v>
      </c>
      <c r="G33" s="200"/>
      <c r="H33" s="65"/>
      <c r="I33" s="2"/>
      <c r="J33" s="56"/>
      <c r="K33" s="66"/>
    </row>
    <row r="34" customFormat="false" ht="17.35" hidden="false" customHeight="false" outlineLevel="0" collapsed="false">
      <c r="A34" s="52" t="s">
        <v>356</v>
      </c>
      <c r="B34" s="178"/>
      <c r="C34" s="450" t="s">
        <v>326</v>
      </c>
      <c r="D34" s="450"/>
      <c r="E34" s="178"/>
      <c r="F34" s="450" t="n">
        <f aca="false">(A34/12)*C34</f>
        <v>13750</v>
      </c>
      <c r="G34" s="450"/>
      <c r="H34" s="65"/>
      <c r="I34" s="2"/>
      <c r="J34" s="2"/>
      <c r="K34" s="2"/>
    </row>
    <row r="35" customFormat="false" ht="20.85" hidden="false" customHeight="false" outlineLevel="0" collapsed="false">
      <c r="A35" s="55"/>
      <c r="B35" s="178"/>
      <c r="C35" s="178"/>
      <c r="E35" s="178"/>
      <c r="F35" s="198"/>
      <c r="G35" s="198"/>
      <c r="H35" s="65"/>
      <c r="I35" s="2"/>
      <c r="J35" s="68" t="s">
        <v>40</v>
      </c>
      <c r="K35" s="452" t="n">
        <v>0.065</v>
      </c>
    </row>
    <row r="36" customFormat="false" ht="17.35" hidden="false" customHeight="false" outlineLevel="0" collapsed="false">
      <c r="A36" s="51" t="s">
        <v>357</v>
      </c>
      <c r="B36" s="178"/>
      <c r="C36" s="201" t="s">
        <v>325</v>
      </c>
      <c r="D36" s="200"/>
      <c r="E36" s="178"/>
      <c r="F36" s="201" t="s">
        <v>327</v>
      </c>
      <c r="G36" s="200"/>
      <c r="H36" s="65"/>
      <c r="I36" s="2"/>
      <c r="J36" s="2" t="s">
        <v>41</v>
      </c>
      <c r="K36" s="2" t="n">
        <f aca="false">C40</f>
        <v>32</v>
      </c>
    </row>
    <row r="37" customFormat="false" ht="17.35" hidden="false" customHeight="false" outlineLevel="0" collapsed="false">
      <c r="A37" s="51" t="n">
        <f aca="false">H9+H10+H13+H14</f>
        <v>48877.5</v>
      </c>
      <c r="B37" s="178"/>
      <c r="C37" s="450" t="s">
        <v>328</v>
      </c>
      <c r="D37" s="450"/>
      <c r="E37" s="178"/>
      <c r="F37" s="198" t="n">
        <f aca="false">A37-C37</f>
        <v>47877.5</v>
      </c>
      <c r="G37" s="198"/>
      <c r="H37" s="65"/>
      <c r="I37" s="2"/>
      <c r="J37" s="2"/>
      <c r="K37" s="2"/>
    </row>
    <row r="38" customFormat="false" ht="17.35" hidden="false" customHeight="false" outlineLevel="0" collapsed="false">
      <c r="A38" s="51"/>
      <c r="B38" s="198"/>
      <c r="C38" s="198"/>
      <c r="D38" s="198"/>
      <c r="E38" s="198"/>
      <c r="F38" s="198"/>
      <c r="G38" s="198"/>
      <c r="H38" s="65"/>
      <c r="J38" s="71" t="s">
        <v>42</v>
      </c>
      <c r="K38" s="71"/>
      <c r="L38" s="2"/>
    </row>
    <row r="39" customFormat="false" ht="17.35" hidden="false" customHeight="false" outlineLevel="0" collapsed="false">
      <c r="A39" s="51" t="s">
        <v>152</v>
      </c>
      <c r="B39" s="178"/>
      <c r="C39" s="200" t="s">
        <v>329</v>
      </c>
      <c r="D39" s="201"/>
      <c r="E39" s="178"/>
      <c r="F39" s="201" t="s">
        <v>330</v>
      </c>
      <c r="G39" s="200"/>
      <c r="H39" s="65"/>
      <c r="J39" s="2" t="s">
        <v>331</v>
      </c>
      <c r="K39" s="2" t="str">
        <f aca="false">F40</f>
        <v>500</v>
      </c>
      <c r="L39" s="2"/>
    </row>
    <row r="40" customFormat="false" ht="17.35" hidden="false" customHeight="false" outlineLevel="0" collapsed="false">
      <c r="A40" s="52" t="s">
        <v>232</v>
      </c>
      <c r="B40" s="178"/>
      <c r="C40" s="453" t="n">
        <f aca="false">A34-1</f>
        <v>32</v>
      </c>
      <c r="D40" s="453"/>
      <c r="E40" s="178"/>
      <c r="F40" s="450" t="s">
        <v>226</v>
      </c>
      <c r="G40" s="450"/>
      <c r="H40" s="65"/>
      <c r="J40" s="2" t="s">
        <v>335</v>
      </c>
      <c r="K40" s="2" t="n">
        <f aca="false">H11</f>
        <v>9647.5</v>
      </c>
      <c r="L40" s="2"/>
    </row>
    <row r="41" customFormat="false" ht="17.35" hidden="false" customHeight="false" outlineLevel="0" collapsed="false">
      <c r="A41" s="51"/>
      <c r="B41" s="198"/>
      <c r="C41" s="198"/>
      <c r="D41" s="198"/>
      <c r="E41" s="198"/>
      <c r="F41" s="198"/>
      <c r="G41" s="198"/>
      <c r="H41" s="65"/>
      <c r="J41" s="2" t="s">
        <v>338</v>
      </c>
      <c r="K41" s="2" t="n">
        <f aca="false">IF(F43="Yes", A46, 0)</f>
        <v>0</v>
      </c>
      <c r="L41" s="2"/>
    </row>
    <row r="42" customFormat="false" ht="17.35" hidden="false" customHeight="false" outlineLevel="0" collapsed="false">
      <c r="A42" s="51" t="s">
        <v>219</v>
      </c>
      <c r="B42" s="178"/>
      <c r="C42" s="201" t="s">
        <v>333</v>
      </c>
      <c r="D42" s="200"/>
      <c r="E42" s="178"/>
      <c r="F42" s="201" t="s">
        <v>334</v>
      </c>
      <c r="G42" s="200"/>
      <c r="H42" s="65"/>
      <c r="J42" s="2" t="s">
        <v>332</v>
      </c>
      <c r="K42" s="2" t="str">
        <f aca="false">A43</f>
        <v>6000</v>
      </c>
      <c r="L42" s="2"/>
    </row>
    <row r="43" customFormat="false" ht="17.35" hidden="false" customHeight="false" outlineLevel="0" collapsed="false">
      <c r="A43" s="52" t="s">
        <v>336</v>
      </c>
      <c r="B43" s="178"/>
      <c r="C43" s="450" t="s">
        <v>337</v>
      </c>
      <c r="D43" s="450"/>
      <c r="E43" s="178"/>
      <c r="F43" s="450" t="s">
        <v>9</v>
      </c>
      <c r="G43" s="450"/>
      <c r="H43" s="65"/>
      <c r="J43" s="2" t="s">
        <v>339</v>
      </c>
      <c r="K43" s="2" t="str">
        <f aca="false">A34</f>
        <v>33</v>
      </c>
      <c r="L43" s="2"/>
    </row>
    <row r="44" customFormat="false" ht="17.35" hidden="false" customHeight="false" outlineLevel="0" collapsed="false">
      <c r="A44" s="51"/>
      <c r="B44" s="198"/>
      <c r="C44" s="198"/>
      <c r="D44" s="198"/>
      <c r="E44" s="198"/>
      <c r="F44" s="198"/>
      <c r="G44" s="198"/>
      <c r="H44" s="65"/>
      <c r="J44" s="2" t="s">
        <v>342</v>
      </c>
      <c r="K44" s="2" t="n">
        <f aca="false">((K40-(((K42/(1.2))*0.2)))/(K43))</f>
        <v>262.045454545455</v>
      </c>
      <c r="L44" s="2"/>
    </row>
    <row r="45" customFormat="false" ht="17.35" hidden="false" customHeight="false" outlineLevel="0" collapsed="false">
      <c r="A45" s="51" t="s">
        <v>358</v>
      </c>
      <c r="B45" s="178"/>
      <c r="C45" s="201" t="s">
        <v>180</v>
      </c>
      <c r="D45" s="200"/>
      <c r="E45" s="178"/>
      <c r="F45" s="201" t="s">
        <v>359</v>
      </c>
      <c r="G45" s="200"/>
      <c r="H45" s="65"/>
      <c r="J45" s="2" t="s">
        <v>343</v>
      </c>
      <c r="K45" s="2" t="n">
        <f aca="false">(K39-K44)+K41</f>
        <v>237.954545454545</v>
      </c>
      <c r="L45" s="2"/>
    </row>
    <row r="46" customFormat="false" ht="17.35" hidden="false" customHeight="false" outlineLevel="0" collapsed="false">
      <c r="A46" s="52" t="n">
        <v>0</v>
      </c>
      <c r="B46" s="178"/>
      <c r="C46" s="450" t="n">
        <v>1</v>
      </c>
      <c r="D46" s="450"/>
      <c r="E46" s="178"/>
      <c r="F46" s="450" t="n">
        <v>0</v>
      </c>
      <c r="G46" s="450"/>
      <c r="H46" s="65"/>
      <c r="J46" s="2" t="s">
        <v>345</v>
      </c>
      <c r="K46" s="2" t="n">
        <v>0</v>
      </c>
      <c r="L46" s="2"/>
    </row>
    <row r="47" customFormat="false" ht="17.35" hidden="false" customHeight="false" outlineLevel="0" collapsed="false">
      <c r="A47" s="51"/>
      <c r="B47" s="198"/>
      <c r="C47" s="198"/>
      <c r="D47" s="198"/>
      <c r="E47" s="198"/>
      <c r="F47" s="198"/>
      <c r="G47" s="198"/>
      <c r="H47" s="65"/>
      <c r="J47" s="2" t="s">
        <v>346</v>
      </c>
      <c r="K47" s="2" t="n">
        <f aca="false">A40/K29</f>
        <v>0.363636363636364</v>
      </c>
      <c r="L47" s="2"/>
    </row>
    <row r="48" customFormat="false" ht="17.35" hidden="false" customHeight="false" outlineLevel="0" collapsed="false">
      <c r="A48" s="51" t="s">
        <v>182</v>
      </c>
      <c r="B48" s="198"/>
      <c r="C48" s="198"/>
      <c r="D48" s="198"/>
      <c r="E48" s="198"/>
      <c r="F48" s="198"/>
      <c r="G48" s="198"/>
      <c r="H48" s="65"/>
      <c r="J48" s="86" t="s">
        <v>347</v>
      </c>
      <c r="K48" s="2" t="n">
        <f aca="false">C43/A34</f>
        <v>0.606060606060606</v>
      </c>
      <c r="L48" s="2"/>
    </row>
    <row r="49" customFormat="false" ht="17.35" hidden="false" customHeight="false" outlineLevel="0" collapsed="false">
      <c r="A49" s="51" t="n">
        <f aca="false">C46+F46</f>
        <v>1</v>
      </c>
      <c r="B49" s="198"/>
      <c r="C49" s="198"/>
      <c r="D49" s="198"/>
      <c r="E49" s="178"/>
      <c r="F49" s="198"/>
      <c r="G49" s="198"/>
      <c r="H49" s="65"/>
      <c r="J49" s="86" t="s">
        <v>348</v>
      </c>
      <c r="K49" s="2" t="n">
        <f aca="false">K45+K48+K47</f>
        <v>238.924242424242</v>
      </c>
      <c r="L49" s="2"/>
    </row>
    <row r="50" customFormat="false" ht="17.35" hidden="false" customHeight="false" outlineLevel="0" collapsed="false">
      <c r="A50" s="74"/>
      <c r="B50" s="75"/>
      <c r="C50" s="75"/>
      <c r="D50" s="75"/>
      <c r="E50" s="75"/>
      <c r="F50" s="75"/>
      <c r="G50" s="76"/>
      <c r="H50" s="77"/>
      <c r="I50" s="2"/>
      <c r="J50" s="86" t="s">
        <v>360</v>
      </c>
      <c r="K50" s="2" t="n">
        <f aca="false">K49-A46</f>
        <v>238.924242424242</v>
      </c>
    </row>
    <row r="51" customFormat="false" ht="19.5" hidden="false" customHeight="true" outlineLevel="0" collapsed="false">
      <c r="A51" s="48"/>
      <c r="B51" s="49"/>
      <c r="C51" s="49"/>
      <c r="D51" s="49"/>
      <c r="E51" s="49"/>
      <c r="F51" s="49"/>
      <c r="G51" s="49"/>
      <c r="H51" s="50"/>
      <c r="I51" s="2"/>
      <c r="J51" s="2"/>
      <c r="K51" s="2"/>
    </row>
    <row r="52" customFormat="false" ht="17.35" hidden="false" customHeight="false" outlineLevel="0" collapsed="false">
      <c r="A52" s="78" t="s">
        <v>51</v>
      </c>
      <c r="B52" s="178"/>
      <c r="C52" s="178" t="s">
        <v>52</v>
      </c>
      <c r="D52" s="178"/>
      <c r="E52" s="178"/>
      <c r="F52" s="178"/>
      <c r="G52" s="178"/>
      <c r="H52" s="20"/>
      <c r="I52" s="2"/>
      <c r="J52" s="2"/>
      <c r="K52" s="2"/>
    </row>
    <row r="53" customFormat="false" ht="17.35" hidden="false" customHeight="false" outlineLevel="0" collapsed="false">
      <c r="A53" s="454" t="n">
        <v>1</v>
      </c>
      <c r="B53" s="178"/>
      <c r="C53" s="81" t="n">
        <v>1</v>
      </c>
      <c r="D53" s="81"/>
      <c r="E53" s="81"/>
      <c r="F53" s="178"/>
      <c r="G53" s="178"/>
      <c r="H53" s="20"/>
      <c r="I53" s="2"/>
      <c r="J53" s="19" t="s">
        <v>361</v>
      </c>
      <c r="K53" s="455" t="s">
        <v>362</v>
      </c>
    </row>
    <row r="54" customFormat="false" ht="17.35" hidden="false" customHeight="false" outlineLevel="0" collapsed="false">
      <c r="A54" s="74"/>
      <c r="B54" s="75"/>
      <c r="C54" s="75"/>
      <c r="D54" s="75"/>
      <c r="E54" s="75"/>
      <c r="F54" s="75"/>
      <c r="G54" s="75"/>
      <c r="H54" s="82"/>
      <c r="I54" s="2"/>
      <c r="J54" s="2"/>
      <c r="K54" s="2"/>
    </row>
    <row r="55" customFormat="false" ht="17.35" hidden="false" customHeight="false" outlineLevel="0" collapsed="false">
      <c r="A55" s="48"/>
      <c r="B55" s="49"/>
      <c r="C55" s="49"/>
      <c r="D55" s="49"/>
      <c r="E55" s="49"/>
      <c r="F55" s="49"/>
      <c r="G55" s="49"/>
      <c r="H55" s="50"/>
      <c r="I55" s="2"/>
      <c r="J55" s="2" t="s">
        <v>363</v>
      </c>
      <c r="K55" s="2" t="n">
        <f aca="false">A46*A34</f>
        <v>0</v>
      </c>
    </row>
    <row r="56" customFormat="false" ht="17.35" hidden="false" customHeight="false" outlineLevel="0" collapsed="false">
      <c r="A56" s="83" t="s">
        <v>57</v>
      </c>
      <c r="B56" s="178"/>
      <c r="C56" s="178"/>
      <c r="D56" s="84"/>
      <c r="E56" s="84"/>
      <c r="F56" s="84"/>
      <c r="G56" s="84"/>
      <c r="H56" s="85"/>
      <c r="I56" s="2"/>
      <c r="J56" s="2"/>
      <c r="K56" s="2"/>
    </row>
    <row r="57" customFormat="false" ht="19.5" hidden="false" customHeight="true" outlineLevel="0" collapsed="false">
      <c r="A57" s="55"/>
      <c r="B57" s="87"/>
      <c r="C57" s="87"/>
      <c r="D57" s="178"/>
      <c r="E57" s="178"/>
      <c r="F57" s="178"/>
      <c r="G57" s="178"/>
      <c r="H57" s="20"/>
      <c r="I57" s="2"/>
      <c r="J57" s="2"/>
      <c r="K57" s="2"/>
    </row>
    <row r="58" customFormat="false" ht="19.7" hidden="false" customHeight="false" outlineLevel="0" collapsed="false">
      <c r="A58" s="456" t="s">
        <v>28</v>
      </c>
      <c r="B58" s="89" t="s">
        <v>33</v>
      </c>
      <c r="C58" s="89"/>
      <c r="D58" s="89"/>
      <c r="E58" s="178"/>
      <c r="F58" s="178"/>
      <c r="G58" s="178"/>
      <c r="H58" s="20"/>
      <c r="I58" s="2"/>
      <c r="J58" s="2"/>
      <c r="K58" s="2"/>
    </row>
    <row r="59" customFormat="false" ht="17.35" hidden="false" customHeight="false" outlineLevel="0" collapsed="false">
      <c r="A59" s="456"/>
      <c r="B59" s="90" t="str">
        <f aca="false">K30</f>
        <v>5000</v>
      </c>
      <c r="C59" s="90"/>
      <c r="D59" s="90"/>
      <c r="E59" s="178"/>
      <c r="F59" s="178"/>
      <c r="G59" s="178"/>
      <c r="H59" s="20"/>
      <c r="I59" s="2"/>
      <c r="J59" s="2"/>
      <c r="K59" s="2"/>
    </row>
    <row r="60" customFormat="false" ht="17.35" hidden="false" customHeight="false" outlineLevel="0" collapsed="false">
      <c r="A60" s="91" t="str">
        <f aca="false">K29</f>
        <v>33</v>
      </c>
      <c r="B60" s="92" t="n">
        <f aca="false">K49</f>
        <v>238.924242424242</v>
      </c>
      <c r="C60" s="92"/>
      <c r="D60" s="92"/>
      <c r="E60" s="178"/>
      <c r="F60" s="178"/>
      <c r="G60" s="178"/>
      <c r="H60" s="20"/>
      <c r="I60" s="2"/>
      <c r="J60" s="2"/>
      <c r="K60" s="2"/>
    </row>
    <row r="61" customFormat="false" ht="17.35" hidden="false" customHeight="false" outlineLevel="0" collapsed="false">
      <c r="A61" s="55"/>
      <c r="B61" s="178"/>
      <c r="C61" s="178"/>
      <c r="D61" s="178"/>
      <c r="E61" s="178"/>
      <c r="F61" s="178"/>
      <c r="G61" s="178"/>
      <c r="H61" s="20"/>
      <c r="I61" s="2"/>
      <c r="J61" s="2"/>
      <c r="K61" s="2"/>
    </row>
    <row r="62" customFormat="false" ht="17.35" hidden="false" customHeight="false" outlineLevel="0" collapsed="false">
      <c r="A62" s="74"/>
      <c r="B62" s="75"/>
      <c r="C62" s="75"/>
      <c r="D62" s="75"/>
      <c r="E62" s="75"/>
      <c r="F62" s="75"/>
      <c r="G62" s="75"/>
      <c r="H62" s="82"/>
      <c r="I62" s="2"/>
      <c r="J62" s="2"/>
      <c r="K62" s="2"/>
    </row>
    <row r="63" customFormat="false" ht="17.35" hidden="false" customHeight="false" outlineLevel="0" collapsed="false">
      <c r="A63" s="178"/>
      <c r="B63" s="178"/>
      <c r="C63" s="178"/>
      <c r="D63" s="178"/>
      <c r="E63" s="178"/>
      <c r="F63" s="178"/>
      <c r="G63" s="178"/>
      <c r="H63" s="178"/>
      <c r="I63" s="2"/>
      <c r="J63" s="2"/>
      <c r="K63" s="2"/>
    </row>
    <row r="64" customFormat="false" ht="17.35" hidden="false" customHeight="false" outlineLevel="0" collapsed="false">
      <c r="A64" s="178"/>
      <c r="B64" s="178"/>
      <c r="C64" s="178"/>
      <c r="D64" s="178"/>
      <c r="E64" s="178"/>
      <c r="F64" s="178"/>
      <c r="G64" s="178"/>
      <c r="H64" s="178"/>
      <c r="I64" s="2"/>
      <c r="J64" s="2"/>
      <c r="K64" s="2"/>
    </row>
    <row r="65" customFormat="false" ht="17.35" hidden="false" customHeight="false" outlineLevel="0" collapsed="false">
      <c r="A65" s="45"/>
      <c r="B65" s="45"/>
      <c r="C65" s="45"/>
      <c r="D65" s="45"/>
      <c r="E65" s="45"/>
      <c r="F65" s="45"/>
      <c r="G65" s="45"/>
      <c r="H65" s="45"/>
      <c r="J65" s="2"/>
      <c r="K65" s="2"/>
    </row>
    <row r="66" customFormat="false" ht="17.35" hidden="false" customHeight="false" outlineLevel="0" collapsed="false">
      <c r="A66" s="48"/>
      <c r="B66" s="49"/>
      <c r="C66" s="49"/>
      <c r="D66" s="49"/>
      <c r="E66" s="93"/>
      <c r="F66" s="93"/>
      <c r="G66" s="93"/>
      <c r="H66" s="50"/>
      <c r="J66" s="48"/>
      <c r="K66" s="49"/>
      <c r="L66" s="49"/>
      <c r="M66" s="49"/>
      <c r="N66" s="93"/>
      <c r="O66" s="93"/>
      <c r="P66" s="93"/>
      <c r="Q66" s="50"/>
      <c r="S66" s="48"/>
      <c r="T66" s="49"/>
      <c r="U66" s="49"/>
      <c r="V66" s="49"/>
      <c r="W66" s="93"/>
      <c r="X66" s="93"/>
      <c r="Y66" s="93"/>
      <c r="Z66" s="50"/>
      <c r="AB66" s="48"/>
      <c r="AC66" s="49"/>
      <c r="AD66" s="49"/>
      <c r="AE66" s="49"/>
      <c r="AF66" s="93"/>
      <c r="AG66" s="93"/>
      <c r="AH66" s="93"/>
      <c r="AI66" s="50"/>
    </row>
    <row r="67" customFormat="false" ht="17.35" hidden="false" customHeight="false" outlineLevel="0" collapsed="false">
      <c r="A67" s="55" t="s">
        <v>46</v>
      </c>
      <c r="B67" s="178" t="n">
        <v>1</v>
      </c>
      <c r="C67" s="178"/>
      <c r="D67" s="178"/>
      <c r="E67" s="45"/>
      <c r="F67" s="45"/>
      <c r="G67" s="45"/>
      <c r="H67" s="20"/>
      <c r="J67" s="55" t="s">
        <v>46</v>
      </c>
      <c r="K67" s="178" t="n">
        <v>1</v>
      </c>
      <c r="L67" s="178"/>
      <c r="M67" s="178"/>
      <c r="N67" s="45"/>
      <c r="O67" s="45"/>
      <c r="P67" s="45"/>
      <c r="Q67" s="20"/>
      <c r="S67" s="55" t="s">
        <v>46</v>
      </c>
      <c r="T67" s="178" t="n">
        <v>1</v>
      </c>
      <c r="U67" s="178"/>
      <c r="V67" s="178"/>
      <c r="W67" s="45"/>
      <c r="X67" s="45"/>
      <c r="Y67" s="45"/>
      <c r="Z67" s="20"/>
      <c r="AB67" s="55" t="s">
        <v>46</v>
      </c>
      <c r="AC67" s="178" t="n">
        <v>1</v>
      </c>
      <c r="AD67" s="178"/>
      <c r="AE67" s="178"/>
      <c r="AF67" s="45"/>
      <c r="AG67" s="45"/>
      <c r="AH67" s="45"/>
      <c r="AI67" s="20"/>
    </row>
    <row r="68" customFormat="false" ht="17.35" hidden="false" customHeight="false" outlineLevel="0" collapsed="false">
      <c r="A68" s="55" t="s">
        <v>60</v>
      </c>
      <c r="B68" s="178" t="n">
        <f aca="false">K29-B67</f>
        <v>32</v>
      </c>
      <c r="C68" s="178"/>
      <c r="D68" s="178"/>
      <c r="E68" s="45"/>
      <c r="F68" s="45"/>
      <c r="G68" s="45"/>
      <c r="H68" s="20"/>
      <c r="J68" s="55" t="s">
        <v>60</v>
      </c>
      <c r="K68" s="178" t="n">
        <f aca="false">K29-K67</f>
        <v>32</v>
      </c>
      <c r="L68" s="178"/>
      <c r="M68" s="178"/>
      <c r="N68" s="45"/>
      <c r="O68" s="45"/>
      <c r="P68" s="45"/>
      <c r="Q68" s="20"/>
      <c r="S68" s="55" t="s">
        <v>60</v>
      </c>
      <c r="T68" s="178" t="n">
        <f aca="false">K29-T67</f>
        <v>32</v>
      </c>
      <c r="U68" s="178"/>
      <c r="V68" s="178"/>
      <c r="W68" s="45"/>
      <c r="X68" s="45"/>
      <c r="Y68" s="45"/>
      <c r="Z68" s="20"/>
      <c r="AB68" s="55" t="s">
        <v>60</v>
      </c>
      <c r="AC68" s="178" t="n">
        <f aca="false">K29-AC67</f>
        <v>32</v>
      </c>
      <c r="AD68" s="178"/>
      <c r="AE68" s="178"/>
      <c r="AF68" s="45"/>
      <c r="AG68" s="45"/>
      <c r="AH68" s="45"/>
      <c r="AI68" s="20"/>
    </row>
    <row r="69" customFormat="false" ht="17.35" hidden="false" customHeight="false" outlineLevel="0" collapsed="false">
      <c r="A69" s="95" t="s">
        <v>61</v>
      </c>
      <c r="B69" s="96" t="n">
        <v>10</v>
      </c>
      <c r="C69" s="178"/>
      <c r="D69" s="178"/>
      <c r="E69" s="45"/>
      <c r="F69" s="45"/>
      <c r="G69" s="45"/>
      <c r="H69" s="20"/>
      <c r="J69" s="95" t="s">
        <v>61</v>
      </c>
      <c r="K69" s="96" t="n">
        <v>20</v>
      </c>
      <c r="L69" s="178"/>
      <c r="M69" s="178"/>
      <c r="N69" s="45"/>
      <c r="O69" s="45"/>
      <c r="P69" s="45"/>
      <c r="Q69" s="20"/>
      <c r="S69" s="95" t="s">
        <v>61</v>
      </c>
      <c r="T69" s="96" t="n">
        <v>10</v>
      </c>
      <c r="U69" s="178"/>
      <c r="V69" s="178"/>
      <c r="W69" s="45"/>
      <c r="X69" s="45"/>
      <c r="Y69" s="45"/>
      <c r="Z69" s="20"/>
      <c r="AB69" s="95" t="s">
        <v>61</v>
      </c>
      <c r="AC69" s="96" t="n">
        <v>10</v>
      </c>
      <c r="AD69" s="178"/>
      <c r="AE69" s="178"/>
      <c r="AF69" s="45"/>
      <c r="AG69" s="45"/>
      <c r="AH69" s="45"/>
      <c r="AI69" s="20"/>
    </row>
    <row r="70" customFormat="false" ht="17.35" hidden="false" customHeight="false" outlineLevel="0" collapsed="false">
      <c r="A70" s="55" t="s">
        <v>16</v>
      </c>
      <c r="B70" s="178" t="n">
        <f aca="false">J18</f>
        <v>57885</v>
      </c>
      <c r="C70" s="178"/>
      <c r="D70" s="178"/>
      <c r="E70" s="45"/>
      <c r="F70" s="45"/>
      <c r="G70" s="45"/>
      <c r="H70" s="20"/>
      <c r="J70" s="55" t="s">
        <v>16</v>
      </c>
      <c r="K70" s="178" t="n">
        <f aca="false">J18</f>
        <v>57885</v>
      </c>
      <c r="L70" s="178"/>
      <c r="M70" s="178"/>
      <c r="N70" s="45"/>
      <c r="O70" s="45"/>
      <c r="P70" s="45"/>
      <c r="Q70" s="20"/>
      <c r="S70" s="55" t="s">
        <v>16</v>
      </c>
      <c r="T70" s="178" t="n">
        <f aca="false">J18</f>
        <v>57885</v>
      </c>
      <c r="U70" s="178"/>
      <c r="V70" s="178"/>
      <c r="W70" s="45"/>
      <c r="X70" s="45"/>
      <c r="Y70" s="45"/>
      <c r="Z70" s="20"/>
      <c r="AB70" s="55" t="s">
        <v>16</v>
      </c>
      <c r="AC70" s="178" t="n">
        <f aca="false">J18</f>
        <v>57885</v>
      </c>
      <c r="AD70" s="178"/>
      <c r="AE70" s="178"/>
      <c r="AF70" s="45"/>
      <c r="AG70" s="45"/>
      <c r="AH70" s="45"/>
      <c r="AI70" s="20"/>
    </row>
    <row r="71" customFormat="false" ht="17.35" hidden="false" customHeight="false" outlineLevel="0" collapsed="false">
      <c r="A71" s="97" t="s">
        <v>62</v>
      </c>
      <c r="B71" s="457" t="n">
        <v>0</v>
      </c>
      <c r="C71" s="178"/>
      <c r="D71" s="178"/>
      <c r="E71" s="45"/>
      <c r="F71" s="45"/>
      <c r="G71" s="45"/>
      <c r="H71" s="20"/>
      <c r="J71" s="97" t="s">
        <v>62</v>
      </c>
      <c r="K71" s="457" t="n">
        <v>0.06</v>
      </c>
      <c r="L71" s="178"/>
      <c r="M71" s="178"/>
      <c r="N71" s="45"/>
      <c r="O71" s="45"/>
      <c r="P71" s="45"/>
      <c r="Q71" s="20"/>
      <c r="S71" s="97" t="s">
        <v>62</v>
      </c>
      <c r="T71" s="457" t="n">
        <f aca="false">IF(AND(K29&gt;= 12, K29&lt;=24), 0.0105, IF(AND(K29&gt;=48), -0.0075, 0))</f>
        <v>-0.0075</v>
      </c>
      <c r="U71" s="178"/>
      <c r="V71" s="178"/>
      <c r="W71" s="45"/>
      <c r="X71" s="45"/>
      <c r="Y71" s="45"/>
      <c r="Z71" s="20"/>
      <c r="AB71" s="97" t="s">
        <v>62</v>
      </c>
      <c r="AC71" s="457" t="n">
        <f aca="false">IF(AND(K29&gt;= 12, K29&lt;=24), 0.0105, IF(AND(K29&gt;=48), -0.0075, 0))</f>
        <v>-0.0075</v>
      </c>
      <c r="AD71" s="178"/>
      <c r="AE71" s="178"/>
      <c r="AF71" s="45"/>
      <c r="AG71" s="45"/>
      <c r="AH71" s="45"/>
      <c r="AI71" s="20"/>
    </row>
    <row r="72" customFormat="false" ht="17.35" hidden="false" customHeight="false" outlineLevel="0" collapsed="false">
      <c r="A72" s="99" t="s">
        <v>63</v>
      </c>
      <c r="B72" s="458" t="n">
        <v>0.065</v>
      </c>
      <c r="C72" s="178"/>
      <c r="D72" s="178"/>
      <c r="E72" s="45"/>
      <c r="F72" s="45"/>
      <c r="G72" s="45"/>
      <c r="H72" s="20"/>
      <c r="J72" s="99" t="s">
        <v>63</v>
      </c>
      <c r="K72" s="458" t="n">
        <v>0.08</v>
      </c>
      <c r="L72" s="178"/>
      <c r="M72" s="178"/>
      <c r="N72" s="45"/>
      <c r="O72" s="45"/>
      <c r="P72" s="45"/>
      <c r="Q72" s="20"/>
      <c r="S72" s="99" t="s">
        <v>63</v>
      </c>
      <c r="T72" s="458" t="n">
        <v>0.059</v>
      </c>
      <c r="U72" s="178"/>
      <c r="V72" s="178"/>
      <c r="W72" s="45"/>
      <c r="X72" s="45"/>
      <c r="Y72" s="45"/>
      <c r="Z72" s="20"/>
      <c r="AB72" s="99" t="s">
        <v>63</v>
      </c>
      <c r="AC72" s="458" t="n">
        <v>0.059</v>
      </c>
      <c r="AD72" s="178"/>
      <c r="AE72" s="178"/>
      <c r="AF72" s="45"/>
      <c r="AG72" s="45"/>
      <c r="AH72" s="45"/>
      <c r="AI72" s="20"/>
    </row>
    <row r="73" customFormat="false" ht="17.35" hidden="false" customHeight="false" outlineLevel="0" collapsed="false">
      <c r="A73" s="101" t="s">
        <v>64</v>
      </c>
      <c r="B73" s="459" t="n">
        <v>0.05</v>
      </c>
      <c r="C73" s="178"/>
      <c r="D73" s="178"/>
      <c r="E73" s="45"/>
      <c r="F73" s="45"/>
      <c r="G73" s="45"/>
      <c r="H73" s="20"/>
      <c r="J73" s="101" t="s">
        <v>64</v>
      </c>
      <c r="K73" s="459" t="n">
        <v>0.1</v>
      </c>
      <c r="L73" s="178"/>
      <c r="M73" s="178"/>
      <c r="N73" s="45"/>
      <c r="O73" s="45"/>
      <c r="P73" s="45"/>
      <c r="Q73" s="20"/>
      <c r="S73" s="101" t="s">
        <v>64</v>
      </c>
      <c r="T73" s="459" t="n">
        <f aca="false">IF(T117=AP117, 2.4%, 7.2%)</f>
        <v>0.072</v>
      </c>
      <c r="U73" s="178"/>
      <c r="V73" s="178"/>
      <c r="W73" s="45"/>
      <c r="X73" s="45"/>
      <c r="Y73" s="45"/>
      <c r="Z73" s="20"/>
      <c r="AB73" s="101" t="s">
        <v>64</v>
      </c>
      <c r="AC73" s="459" t="n">
        <f aca="false">IF(AC117=AP117, 2.4%, 7.2%)</f>
        <v>0.072</v>
      </c>
      <c r="AD73" s="178"/>
      <c r="AE73" s="178"/>
      <c r="AF73" s="45"/>
      <c r="AG73" s="45"/>
      <c r="AH73" s="45"/>
      <c r="AI73" s="20"/>
    </row>
    <row r="74" customFormat="false" ht="17.35" hidden="false" customHeight="false" outlineLevel="0" collapsed="false">
      <c r="A74" s="74" t="s">
        <v>65</v>
      </c>
      <c r="B74" s="82" t="n">
        <f aca="false">(B98*B68)-(K47*K29)</f>
        <v>50702.1248437457</v>
      </c>
      <c r="C74" s="178"/>
      <c r="D74" s="178"/>
      <c r="E74" s="45"/>
      <c r="F74" s="45"/>
      <c r="G74" s="45"/>
      <c r="H74" s="20"/>
      <c r="J74" s="74" t="s">
        <v>65</v>
      </c>
      <c r="K74" s="82" t="n">
        <f aca="false">(K98*K68)-(K47*K29)</f>
        <v>50218.602484192</v>
      </c>
      <c r="L74" s="178"/>
      <c r="M74" s="178"/>
      <c r="N74" s="45"/>
      <c r="O74" s="45"/>
      <c r="P74" s="45"/>
      <c r="Q74" s="20"/>
      <c r="S74" s="74" t="s">
        <v>65</v>
      </c>
      <c r="T74" s="82" t="n">
        <f aca="false">(T98*T68)-(K47*K29)</f>
        <v>53575.5554919699</v>
      </c>
      <c r="U74" s="178"/>
      <c r="V74" s="178"/>
      <c r="W74" s="45"/>
      <c r="X74" s="45"/>
      <c r="Y74" s="45"/>
      <c r="Z74" s="20"/>
      <c r="AB74" s="74" t="s">
        <v>65</v>
      </c>
      <c r="AC74" s="82" t="n">
        <f aca="false">(AC98*AC68)-(K47*K29)</f>
        <v>53575.5554919699</v>
      </c>
      <c r="AD74" s="178"/>
      <c r="AE74" s="178"/>
      <c r="AF74" s="45"/>
      <c r="AG74" s="45"/>
      <c r="AH74" s="45"/>
      <c r="AI74" s="20"/>
    </row>
    <row r="75" customFormat="false" ht="17.35" hidden="false" customHeight="false" outlineLevel="0" collapsed="false">
      <c r="A75" s="97" t="s">
        <v>66</v>
      </c>
      <c r="B75" s="457" t="n">
        <v>0.005</v>
      </c>
      <c r="C75" s="178"/>
      <c r="D75" s="178"/>
      <c r="E75" s="45"/>
      <c r="F75" s="45"/>
      <c r="G75" s="45"/>
      <c r="H75" s="20"/>
      <c r="J75" s="97" t="s">
        <v>66</v>
      </c>
      <c r="K75" s="457" t="n">
        <v>0.05</v>
      </c>
      <c r="L75" s="178"/>
      <c r="M75" s="178"/>
      <c r="N75" s="45"/>
      <c r="O75" s="45"/>
      <c r="P75" s="45"/>
      <c r="Q75" s="20"/>
      <c r="S75" s="97" t="s">
        <v>66</v>
      </c>
      <c r="T75" s="457" t="n">
        <v>0.005</v>
      </c>
      <c r="U75" s="178"/>
      <c r="V75" s="178"/>
      <c r="W75" s="45"/>
      <c r="X75" s="45"/>
      <c r="Y75" s="45"/>
      <c r="Z75" s="20"/>
      <c r="AB75" s="97" t="s">
        <v>66</v>
      </c>
      <c r="AC75" s="457" t="n">
        <v>0.005</v>
      </c>
      <c r="AD75" s="178"/>
      <c r="AE75" s="178"/>
      <c r="AF75" s="45"/>
      <c r="AG75" s="45"/>
      <c r="AH75" s="45"/>
      <c r="AI75" s="20"/>
    </row>
    <row r="76" customFormat="false" ht="17.35" hidden="false" customHeight="false" outlineLevel="0" collapsed="false">
      <c r="A76" s="55" t="s">
        <v>67</v>
      </c>
      <c r="B76" s="460" t="n">
        <f aca="false">B75+(B75*0.5*(K29/12-1))</f>
        <v>0.009375</v>
      </c>
      <c r="C76" s="178"/>
      <c r="D76" s="178"/>
      <c r="E76" s="45"/>
      <c r="F76" s="45"/>
      <c r="G76" s="45"/>
      <c r="H76" s="20"/>
      <c r="J76" s="55" t="s">
        <v>67</v>
      </c>
      <c r="K76" s="460" t="n">
        <f aca="false">K75+(K75*0.25*(K29/12-1))</f>
        <v>0.071875</v>
      </c>
      <c r="L76" s="178"/>
      <c r="M76" s="178"/>
      <c r="N76" s="45"/>
      <c r="O76" s="45"/>
      <c r="P76" s="45"/>
      <c r="Q76" s="20"/>
      <c r="S76" s="55" t="s">
        <v>67</v>
      </c>
      <c r="T76" s="460" t="n">
        <f aca="false">T75+(T75*0.5*(K29/12-1))</f>
        <v>0.009375</v>
      </c>
      <c r="U76" s="178"/>
      <c r="V76" s="178"/>
      <c r="W76" s="45"/>
      <c r="X76" s="45"/>
      <c r="Y76" s="45"/>
      <c r="Z76" s="20"/>
      <c r="AB76" s="55" t="s">
        <v>67</v>
      </c>
      <c r="AC76" s="460" t="n">
        <f aca="false">AC75+(AC75*0.5*(K29/12-1))</f>
        <v>0.009375</v>
      </c>
      <c r="AD76" s="178"/>
      <c r="AE76" s="178"/>
      <c r="AF76" s="45"/>
      <c r="AG76" s="45"/>
      <c r="AH76" s="45"/>
      <c r="AI76" s="20"/>
    </row>
    <row r="77" customFormat="false" ht="17.35" hidden="false" customHeight="false" outlineLevel="0" collapsed="false">
      <c r="A77" s="74" t="s">
        <v>68</v>
      </c>
      <c r="B77" s="82" t="n">
        <f aca="false">(G167*B76)</f>
        <v>548.671875</v>
      </c>
      <c r="C77" s="178"/>
      <c r="D77" s="178"/>
      <c r="E77" s="45"/>
      <c r="F77" s="45"/>
      <c r="G77" s="45"/>
      <c r="H77" s="20"/>
      <c r="J77" s="74" t="s">
        <v>68</v>
      </c>
      <c r="K77" s="82" t="n">
        <f aca="false">K70*K76</f>
        <v>4160.484375</v>
      </c>
      <c r="L77" s="178"/>
      <c r="M77" s="178"/>
      <c r="N77" s="45"/>
      <c r="O77" s="45"/>
      <c r="P77" s="45"/>
      <c r="Q77" s="20"/>
      <c r="S77" s="74" t="s">
        <v>68</v>
      </c>
      <c r="T77" s="82" t="n">
        <f aca="false">T70*T76</f>
        <v>542.671875</v>
      </c>
      <c r="U77" s="178"/>
      <c r="V77" s="178"/>
      <c r="W77" s="45"/>
      <c r="X77" s="45"/>
      <c r="Y77" s="45"/>
      <c r="Z77" s="20"/>
      <c r="AB77" s="74" t="s">
        <v>68</v>
      </c>
      <c r="AC77" s="82" t="n">
        <f aca="false">AH167*AC76</f>
        <v>426.269521875</v>
      </c>
      <c r="AD77" s="178"/>
      <c r="AE77" s="178"/>
      <c r="AF77" s="45"/>
      <c r="AG77" s="45"/>
      <c r="AH77" s="45"/>
      <c r="AI77" s="20"/>
    </row>
    <row r="78" customFormat="false" ht="17.35" hidden="false" customHeight="false" outlineLevel="0" collapsed="false">
      <c r="A78" s="97" t="s">
        <v>69</v>
      </c>
      <c r="B78" s="457" t="n">
        <v>0</v>
      </c>
      <c r="C78" s="178"/>
      <c r="D78" s="178"/>
      <c r="E78" s="45"/>
      <c r="F78" s="45"/>
      <c r="G78" s="45"/>
      <c r="H78" s="20"/>
      <c r="J78" s="97" t="s">
        <v>69</v>
      </c>
      <c r="K78" s="457" t="n">
        <v>0</v>
      </c>
      <c r="L78" s="178"/>
      <c r="M78" s="178"/>
      <c r="N78" s="45"/>
      <c r="O78" s="45"/>
      <c r="P78" s="45"/>
      <c r="Q78" s="20"/>
      <c r="S78" s="97" t="s">
        <v>69</v>
      </c>
      <c r="T78" s="457" t="n">
        <v>0</v>
      </c>
      <c r="U78" s="178"/>
      <c r="V78" s="178"/>
      <c r="W78" s="45"/>
      <c r="X78" s="45"/>
      <c r="Y78" s="45"/>
      <c r="Z78" s="20"/>
      <c r="AB78" s="97" t="s">
        <v>69</v>
      </c>
      <c r="AC78" s="457" t="n">
        <v>0</v>
      </c>
      <c r="AD78" s="178"/>
      <c r="AE78" s="178"/>
      <c r="AF78" s="45"/>
      <c r="AG78" s="45"/>
      <c r="AH78" s="45"/>
      <c r="AI78" s="20"/>
    </row>
    <row r="79" customFormat="false" ht="17.35" hidden="false" customHeight="false" outlineLevel="0" collapsed="false">
      <c r="A79" s="99" t="s">
        <v>70</v>
      </c>
      <c r="B79" s="458" t="n">
        <v>0</v>
      </c>
      <c r="C79" s="178"/>
      <c r="D79" s="178"/>
      <c r="E79" s="45"/>
      <c r="F79" s="45"/>
      <c r="G79" s="45"/>
      <c r="H79" s="20"/>
      <c r="J79" s="99" t="s">
        <v>70</v>
      </c>
      <c r="K79" s="458" t="n">
        <v>0</v>
      </c>
      <c r="L79" s="178"/>
      <c r="M79" s="178"/>
      <c r="N79" s="45"/>
      <c r="O79" s="45"/>
      <c r="P79" s="45"/>
      <c r="Q79" s="20"/>
      <c r="S79" s="99" t="s">
        <v>70</v>
      </c>
      <c r="T79" s="458" t="n">
        <v>0</v>
      </c>
      <c r="U79" s="178"/>
      <c r="V79" s="178"/>
      <c r="W79" s="45"/>
      <c r="X79" s="45"/>
      <c r="Y79" s="45"/>
      <c r="Z79" s="20"/>
      <c r="AB79" s="99" t="s">
        <v>70</v>
      </c>
      <c r="AC79" s="458" t="n">
        <v>0</v>
      </c>
      <c r="AD79" s="178"/>
      <c r="AE79" s="178"/>
      <c r="AF79" s="45"/>
      <c r="AG79" s="45"/>
      <c r="AH79" s="45"/>
      <c r="AI79" s="20"/>
    </row>
    <row r="80" customFormat="false" ht="17.35" hidden="false" customHeight="false" outlineLevel="0" collapsed="false">
      <c r="A80" s="74" t="s">
        <v>71</v>
      </c>
      <c r="B80" s="461" t="n">
        <f aca="false">B78*(1+B79)</f>
        <v>0</v>
      </c>
      <c r="C80" s="178"/>
      <c r="D80" s="178"/>
      <c r="E80" s="45"/>
      <c r="F80" s="45"/>
      <c r="G80" s="45"/>
      <c r="H80" s="20"/>
      <c r="J80" s="74" t="s">
        <v>71</v>
      </c>
      <c r="K80" s="461" t="n">
        <f aca="false">K78*(1+K79)</f>
        <v>0</v>
      </c>
      <c r="L80" s="178"/>
      <c r="M80" s="178"/>
      <c r="N80" s="45"/>
      <c r="O80" s="45"/>
      <c r="P80" s="45"/>
      <c r="Q80" s="20"/>
      <c r="S80" s="74" t="s">
        <v>71</v>
      </c>
      <c r="T80" s="461" t="n">
        <f aca="false">T78*(1+T79)</f>
        <v>0</v>
      </c>
      <c r="U80" s="178"/>
      <c r="V80" s="178"/>
      <c r="W80" s="45"/>
      <c r="X80" s="45"/>
      <c r="Y80" s="45"/>
      <c r="Z80" s="20"/>
      <c r="AB80" s="74" t="s">
        <v>71</v>
      </c>
      <c r="AC80" s="461" t="n">
        <f aca="false">AC78*(1+AC79)</f>
        <v>0</v>
      </c>
      <c r="AD80" s="178"/>
      <c r="AE80" s="178"/>
      <c r="AF80" s="45"/>
      <c r="AG80" s="45"/>
      <c r="AH80" s="45"/>
      <c r="AI80" s="20"/>
    </row>
    <row r="81" customFormat="false" ht="17.35" hidden="false" customHeight="false" outlineLevel="0" collapsed="false">
      <c r="A81" s="97" t="s">
        <v>72</v>
      </c>
      <c r="B81" s="105" t="n">
        <v>0</v>
      </c>
      <c r="C81" s="178"/>
      <c r="D81" s="178"/>
      <c r="E81" s="45"/>
      <c r="F81" s="45"/>
      <c r="G81" s="45"/>
      <c r="H81" s="20"/>
      <c r="J81" s="97" t="s">
        <v>72</v>
      </c>
      <c r="K81" s="105" t="n">
        <v>0</v>
      </c>
      <c r="L81" s="178"/>
      <c r="M81" s="178"/>
      <c r="N81" s="45"/>
      <c r="O81" s="45"/>
      <c r="P81" s="45"/>
      <c r="Q81" s="20"/>
      <c r="S81" s="97" t="s">
        <v>72</v>
      </c>
      <c r="T81" s="105" t="n">
        <v>0</v>
      </c>
      <c r="U81" s="178"/>
      <c r="V81" s="178"/>
      <c r="W81" s="45"/>
      <c r="X81" s="45"/>
      <c r="Y81" s="45"/>
      <c r="Z81" s="20"/>
      <c r="AB81" s="97" t="s">
        <v>72</v>
      </c>
      <c r="AC81" s="105" t="n">
        <v>0</v>
      </c>
      <c r="AD81" s="178"/>
      <c r="AE81" s="178"/>
      <c r="AF81" s="45"/>
      <c r="AG81" s="45"/>
      <c r="AH81" s="45"/>
      <c r="AI81" s="20"/>
    </row>
    <row r="82" customFormat="false" ht="17.35" hidden="false" customHeight="false" outlineLevel="0" collapsed="false">
      <c r="A82" s="99" t="s">
        <v>73</v>
      </c>
      <c r="B82" s="96" t="n">
        <v>0</v>
      </c>
      <c r="C82" s="178"/>
      <c r="D82" s="178"/>
      <c r="E82" s="45"/>
      <c r="F82" s="45"/>
      <c r="G82" s="45"/>
      <c r="H82" s="20"/>
      <c r="J82" s="99" t="s">
        <v>73</v>
      </c>
      <c r="K82" s="96" t="n">
        <v>0</v>
      </c>
      <c r="L82" s="178"/>
      <c r="M82" s="178"/>
      <c r="N82" s="45"/>
      <c r="O82" s="45"/>
      <c r="P82" s="45"/>
      <c r="Q82" s="20"/>
      <c r="S82" s="99" t="s">
        <v>73</v>
      </c>
      <c r="T82" s="96" t="n">
        <v>0</v>
      </c>
      <c r="U82" s="178"/>
      <c r="V82" s="178"/>
      <c r="W82" s="45"/>
      <c r="X82" s="45"/>
      <c r="Y82" s="45"/>
      <c r="Z82" s="20"/>
      <c r="AB82" s="99" t="s">
        <v>73</v>
      </c>
      <c r="AC82" s="96" t="n">
        <v>0</v>
      </c>
      <c r="AD82" s="178"/>
      <c r="AE82" s="178"/>
      <c r="AF82" s="45"/>
      <c r="AG82" s="45"/>
      <c r="AH82" s="45"/>
      <c r="AI82" s="20"/>
    </row>
    <row r="83" customFormat="false" ht="17.35" hidden="false" customHeight="false" outlineLevel="0" collapsed="false">
      <c r="A83" s="74" t="s">
        <v>74</v>
      </c>
      <c r="B83" s="82" t="n">
        <f aca="false">B82*K29</f>
        <v>0</v>
      </c>
      <c r="C83" s="178"/>
      <c r="D83" s="178" t="n">
        <f aca="false">B83+B81</f>
        <v>0</v>
      </c>
      <c r="E83" s="45"/>
      <c r="F83" s="45"/>
      <c r="G83" s="45"/>
      <c r="H83" s="20"/>
      <c r="J83" s="74" t="s">
        <v>74</v>
      </c>
      <c r="K83" s="82" t="n">
        <f aca="false">K82*K29</f>
        <v>0</v>
      </c>
      <c r="L83" s="178"/>
      <c r="M83" s="178" t="n">
        <f aca="false">K83+K81</f>
        <v>0</v>
      </c>
      <c r="N83" s="45"/>
      <c r="O83" s="45"/>
      <c r="P83" s="45"/>
      <c r="Q83" s="20"/>
      <c r="S83" s="74" t="s">
        <v>74</v>
      </c>
      <c r="T83" s="82" t="n">
        <f aca="false">T82*K29</f>
        <v>0</v>
      </c>
      <c r="U83" s="178"/>
      <c r="V83" s="178" t="n">
        <f aca="false">T83+T81</f>
        <v>0</v>
      </c>
      <c r="W83" s="45"/>
      <c r="X83" s="45"/>
      <c r="Y83" s="45"/>
      <c r="Z83" s="20"/>
      <c r="AB83" s="74" t="s">
        <v>74</v>
      </c>
      <c r="AC83" s="82" t="n">
        <f aca="false">AC82*K29</f>
        <v>0</v>
      </c>
      <c r="AD83" s="178"/>
      <c r="AE83" s="178" t="n">
        <f aca="false">AC83+AC81</f>
        <v>0</v>
      </c>
      <c r="AF83" s="45"/>
      <c r="AG83" s="45"/>
      <c r="AH83" s="45"/>
      <c r="AI83" s="20"/>
    </row>
    <row r="84" customFormat="false" ht="17.35" hidden="false" customHeight="false" outlineLevel="0" collapsed="false">
      <c r="A84" s="99" t="s">
        <v>75</v>
      </c>
      <c r="B84" s="96" t="n">
        <v>0</v>
      </c>
      <c r="C84" s="178"/>
      <c r="D84" s="178" t="n">
        <f aca="false">B84</f>
        <v>0</v>
      </c>
      <c r="E84" s="45"/>
      <c r="F84" s="45"/>
      <c r="G84" s="45"/>
      <c r="H84" s="20"/>
      <c r="J84" s="99" t="s">
        <v>75</v>
      </c>
      <c r="K84" s="96" t="n">
        <v>0</v>
      </c>
      <c r="L84" s="178"/>
      <c r="M84" s="178" t="n">
        <f aca="false">K84</f>
        <v>0</v>
      </c>
      <c r="N84" s="45"/>
      <c r="O84" s="45"/>
      <c r="P84" s="45"/>
      <c r="Q84" s="20"/>
      <c r="S84" s="99" t="s">
        <v>75</v>
      </c>
      <c r="T84" s="96" t="n">
        <v>0</v>
      </c>
      <c r="U84" s="178"/>
      <c r="V84" s="178" t="n">
        <f aca="false">T84</f>
        <v>0</v>
      </c>
      <c r="W84" s="45"/>
      <c r="X84" s="45"/>
      <c r="Y84" s="45"/>
      <c r="Z84" s="20"/>
      <c r="AB84" s="99" t="s">
        <v>75</v>
      </c>
      <c r="AC84" s="96" t="n">
        <v>0</v>
      </c>
      <c r="AD84" s="178"/>
      <c r="AE84" s="178" t="n">
        <f aca="false">AC84</f>
        <v>0</v>
      </c>
      <c r="AF84" s="45"/>
      <c r="AG84" s="45"/>
      <c r="AH84" s="45"/>
      <c r="AI84" s="20"/>
    </row>
    <row r="85" customFormat="false" ht="17.35" hidden="false" customHeight="false" outlineLevel="0" collapsed="false">
      <c r="A85" s="101" t="s">
        <v>76</v>
      </c>
      <c r="B85" s="106" t="n">
        <v>0</v>
      </c>
      <c r="C85" s="178"/>
      <c r="D85" s="178" t="n">
        <f aca="false">B85</f>
        <v>0</v>
      </c>
      <c r="E85" s="45"/>
      <c r="F85" s="178"/>
      <c r="G85" s="45"/>
      <c r="H85" s="20"/>
      <c r="J85" s="101" t="s">
        <v>76</v>
      </c>
      <c r="K85" s="106" t="n">
        <v>0</v>
      </c>
      <c r="L85" s="178"/>
      <c r="M85" s="178" t="n">
        <f aca="false">K85</f>
        <v>0</v>
      </c>
      <c r="N85" s="45"/>
      <c r="O85" s="45"/>
      <c r="P85" s="45"/>
      <c r="Q85" s="20"/>
      <c r="S85" s="101" t="s">
        <v>76</v>
      </c>
      <c r="T85" s="106" t="n">
        <v>0</v>
      </c>
      <c r="U85" s="178"/>
      <c r="V85" s="178" t="n">
        <f aca="false">T85</f>
        <v>0</v>
      </c>
      <c r="W85" s="45"/>
      <c r="X85" s="45"/>
      <c r="Y85" s="45"/>
      <c r="Z85" s="20"/>
      <c r="AB85" s="101" t="s">
        <v>76</v>
      </c>
      <c r="AC85" s="106" t="n">
        <v>0</v>
      </c>
      <c r="AD85" s="178"/>
      <c r="AE85" s="178" t="n">
        <f aca="false">AC85</f>
        <v>0</v>
      </c>
      <c r="AF85" s="45"/>
      <c r="AG85" s="45"/>
      <c r="AH85" s="45"/>
      <c r="AI85" s="20"/>
    </row>
    <row r="86" customFormat="false" ht="17.35" hidden="false" customHeight="false" outlineLevel="0" collapsed="false">
      <c r="A86" s="107" t="s">
        <v>77</v>
      </c>
      <c r="B86" s="108" t="n">
        <f aca="false">SUM(D74:D85)</f>
        <v>0</v>
      </c>
      <c r="C86" s="178"/>
      <c r="D86" s="178"/>
      <c r="E86" s="45"/>
      <c r="F86" s="178"/>
      <c r="G86" s="178"/>
      <c r="H86" s="20"/>
      <c r="J86" s="107" t="s">
        <v>77</v>
      </c>
      <c r="K86" s="108" t="n">
        <f aca="false">SUM(M74:M85)</f>
        <v>0</v>
      </c>
      <c r="L86" s="178"/>
      <c r="M86" s="178"/>
      <c r="N86" s="45"/>
      <c r="O86" s="45"/>
      <c r="P86" s="45"/>
      <c r="Q86" s="20"/>
      <c r="S86" s="107" t="s">
        <v>77</v>
      </c>
      <c r="T86" s="108" t="n">
        <f aca="false">SUM(V74:V85)</f>
        <v>0</v>
      </c>
      <c r="U86" s="178"/>
      <c r="V86" s="178"/>
      <c r="W86" s="45"/>
      <c r="X86" s="45"/>
      <c r="Y86" s="45"/>
      <c r="Z86" s="20"/>
      <c r="AB86" s="107" t="s">
        <v>77</v>
      </c>
      <c r="AC86" s="108" t="n">
        <f aca="false">SUM(AE74:AE85)</f>
        <v>0</v>
      </c>
      <c r="AD86" s="178"/>
      <c r="AE86" s="178"/>
      <c r="AF86" s="45"/>
      <c r="AG86" s="45"/>
      <c r="AH86" s="45"/>
      <c r="AI86" s="20"/>
    </row>
    <row r="87" customFormat="false" ht="17.35" hidden="false" customHeight="false" outlineLevel="0" collapsed="false">
      <c r="A87" s="55" t="s">
        <v>78</v>
      </c>
      <c r="B87" s="20" t="n">
        <f aca="false">B86/K29</f>
        <v>0</v>
      </c>
      <c r="C87" s="178"/>
      <c r="D87" s="178"/>
      <c r="E87" s="45"/>
      <c r="F87" s="45"/>
      <c r="G87" s="45"/>
      <c r="H87" s="20"/>
      <c r="J87" s="55" t="s">
        <v>78</v>
      </c>
      <c r="K87" s="20" t="n">
        <f aca="false">K86/K29</f>
        <v>0</v>
      </c>
      <c r="L87" s="178"/>
      <c r="M87" s="178"/>
      <c r="N87" s="45"/>
      <c r="O87" s="45"/>
      <c r="P87" s="45"/>
      <c r="Q87" s="20"/>
      <c r="S87" s="55" t="s">
        <v>78</v>
      </c>
      <c r="T87" s="20" t="n">
        <f aca="false">T86/K29</f>
        <v>0</v>
      </c>
      <c r="U87" s="178"/>
      <c r="V87" s="178"/>
      <c r="W87" s="45"/>
      <c r="X87" s="45"/>
      <c r="Y87" s="45"/>
      <c r="Z87" s="20"/>
      <c r="AB87" s="55" t="s">
        <v>78</v>
      </c>
      <c r="AC87" s="20" t="n">
        <f aca="false">AC86/K29</f>
        <v>0</v>
      </c>
      <c r="AD87" s="178"/>
      <c r="AE87" s="178"/>
      <c r="AF87" s="45"/>
      <c r="AG87" s="45"/>
      <c r="AH87" s="45"/>
      <c r="AI87" s="20"/>
    </row>
    <row r="88" customFormat="false" ht="17.35" hidden="false" customHeight="false" outlineLevel="0" collapsed="false">
      <c r="A88" s="109" t="s">
        <v>79</v>
      </c>
      <c r="B88" s="77" t="n">
        <f aca="false">K49</f>
        <v>238.924242424242</v>
      </c>
      <c r="C88" s="178"/>
      <c r="D88" s="178"/>
      <c r="E88" s="45"/>
      <c r="F88" s="45"/>
      <c r="G88" s="45"/>
      <c r="H88" s="20"/>
      <c r="J88" s="109" t="s">
        <v>79</v>
      </c>
      <c r="K88" s="77" t="n">
        <f aca="false">K47</f>
        <v>0.363636363636364</v>
      </c>
      <c r="L88" s="178"/>
      <c r="M88" s="178"/>
      <c r="N88" s="45"/>
      <c r="O88" s="45"/>
      <c r="P88" s="45"/>
      <c r="Q88" s="20"/>
      <c r="S88" s="109" t="s">
        <v>79</v>
      </c>
      <c r="T88" s="77" t="n">
        <f aca="false">B60</f>
        <v>238.924242424242</v>
      </c>
      <c r="U88" s="178"/>
      <c r="V88" s="178"/>
      <c r="W88" s="45"/>
      <c r="X88" s="45"/>
      <c r="Y88" s="45"/>
      <c r="Z88" s="20"/>
      <c r="AB88" s="109" t="s">
        <v>79</v>
      </c>
      <c r="AC88" s="77" t="n">
        <f aca="false">B60</f>
        <v>238.924242424242</v>
      </c>
      <c r="AD88" s="178"/>
      <c r="AE88" s="178"/>
      <c r="AF88" s="45"/>
      <c r="AG88" s="45"/>
      <c r="AH88" s="45"/>
      <c r="AI88" s="20"/>
    </row>
    <row r="89" customFormat="false" ht="17.35" hidden="false" customHeight="false" outlineLevel="0" collapsed="false">
      <c r="A89" s="55"/>
      <c r="B89" s="178"/>
      <c r="C89" s="178"/>
      <c r="D89" s="178"/>
      <c r="E89" s="45"/>
      <c r="F89" s="45"/>
      <c r="G89" s="45"/>
      <c r="H89" s="20"/>
      <c r="J89" s="55"/>
      <c r="K89" s="178"/>
      <c r="L89" s="178"/>
      <c r="M89" s="178"/>
      <c r="N89" s="45"/>
      <c r="O89" s="45"/>
      <c r="P89" s="45"/>
      <c r="Q89" s="20"/>
      <c r="S89" s="55"/>
      <c r="T89" s="178"/>
      <c r="U89" s="178"/>
      <c r="V89" s="178"/>
      <c r="W89" s="45"/>
      <c r="X89" s="45"/>
      <c r="Y89" s="45"/>
      <c r="Z89" s="20"/>
      <c r="AB89" s="55"/>
      <c r="AC89" s="178"/>
      <c r="AD89" s="178"/>
      <c r="AE89" s="178"/>
      <c r="AF89" s="45"/>
      <c r="AG89" s="45"/>
      <c r="AH89" s="45"/>
      <c r="AI89" s="20"/>
    </row>
    <row r="90" customFormat="false" ht="17.35" hidden="false" customHeight="false" outlineLevel="0" collapsed="false">
      <c r="A90" s="48" t="s">
        <v>80</v>
      </c>
      <c r="B90" s="50" t="n">
        <f aca="false">F37</f>
        <v>47877.5</v>
      </c>
      <c r="C90" s="178"/>
      <c r="D90" s="178"/>
      <c r="E90" s="45"/>
      <c r="F90" s="45"/>
      <c r="G90" s="45"/>
      <c r="H90" s="20"/>
      <c r="J90" s="48" t="s">
        <v>80</v>
      </c>
      <c r="K90" s="50" t="n">
        <f aca="false">P167</f>
        <v>37655</v>
      </c>
      <c r="L90" s="178"/>
      <c r="M90" s="178"/>
      <c r="N90" s="45"/>
      <c r="O90" s="45"/>
      <c r="P90" s="45"/>
      <c r="Q90" s="20"/>
      <c r="S90" s="48" t="s">
        <v>80</v>
      </c>
      <c r="T90" s="50" t="n">
        <f aca="false">Y167</f>
        <v>45468.749</v>
      </c>
      <c r="U90" s="178"/>
      <c r="V90" s="178"/>
      <c r="W90" s="45"/>
      <c r="X90" s="45"/>
      <c r="Y90" s="45"/>
      <c r="Z90" s="20"/>
      <c r="AB90" s="48" t="s">
        <v>80</v>
      </c>
      <c r="AC90" s="50" t="n">
        <f aca="false">AH167</f>
        <v>45468.749</v>
      </c>
      <c r="AD90" s="178"/>
      <c r="AE90" s="178"/>
      <c r="AF90" s="45"/>
      <c r="AG90" s="45"/>
      <c r="AH90" s="45"/>
      <c r="AI90" s="20"/>
    </row>
    <row r="91" customFormat="false" ht="17.35" hidden="false" customHeight="false" outlineLevel="0" collapsed="false">
      <c r="A91" s="55" t="s">
        <v>47</v>
      </c>
      <c r="B91" s="20" t="str">
        <f aca="false">IF(A120 = "Yes", A43, 0)</f>
        <v>6000</v>
      </c>
      <c r="C91" s="178"/>
      <c r="D91" s="178"/>
      <c r="E91" s="45"/>
      <c r="F91" s="45"/>
      <c r="G91" s="45"/>
      <c r="H91" s="20"/>
      <c r="J91" s="55" t="s">
        <v>47</v>
      </c>
      <c r="K91" s="20" t="n">
        <f aca="false">IF(J120 = "YES", A40, 0)</f>
        <v>0</v>
      </c>
      <c r="L91" s="178"/>
      <c r="M91" s="178"/>
      <c r="N91" s="45"/>
      <c r="O91" s="45"/>
      <c r="P91" s="45"/>
      <c r="Q91" s="20"/>
      <c r="S91" s="55" t="s">
        <v>47</v>
      </c>
      <c r="T91" s="20" t="str">
        <f aca="false">A40</f>
        <v>12</v>
      </c>
      <c r="U91" s="178"/>
      <c r="V91" s="178"/>
      <c r="W91" s="45"/>
      <c r="X91" s="45"/>
      <c r="Y91" s="45"/>
      <c r="Z91" s="20"/>
      <c r="AB91" s="55" t="s">
        <v>47</v>
      </c>
      <c r="AC91" s="20" t="str">
        <f aca="false">A40</f>
        <v>12</v>
      </c>
      <c r="AD91" s="178"/>
      <c r="AE91" s="178"/>
      <c r="AF91" s="45"/>
      <c r="AG91" s="45"/>
      <c r="AH91" s="45"/>
      <c r="AI91" s="20"/>
    </row>
    <row r="92" customFormat="false" ht="17.35" hidden="false" customHeight="false" outlineLevel="0" collapsed="false">
      <c r="A92" s="55" t="s">
        <v>81</v>
      </c>
      <c r="B92" s="460" t="n">
        <f aca="false">B71+B72+B73</f>
        <v>0.115</v>
      </c>
      <c r="C92" s="178"/>
      <c r="D92" s="178"/>
      <c r="E92" s="45"/>
      <c r="F92" s="45"/>
      <c r="G92" s="45"/>
      <c r="H92" s="20"/>
      <c r="J92" s="55" t="s">
        <v>81</v>
      </c>
      <c r="K92" s="460" t="n">
        <f aca="false">K71+K72+K73</f>
        <v>0.24</v>
      </c>
      <c r="L92" s="178"/>
      <c r="M92" s="178"/>
      <c r="N92" s="45"/>
      <c r="O92" s="45"/>
      <c r="P92" s="45"/>
      <c r="Q92" s="20"/>
      <c r="S92" s="55" t="s">
        <v>81</v>
      </c>
      <c r="T92" s="460" t="n">
        <f aca="false">T71+T72+T73</f>
        <v>0.1235</v>
      </c>
      <c r="U92" s="178"/>
      <c r="V92" s="178"/>
      <c r="W92" s="45"/>
      <c r="X92" s="45"/>
      <c r="Y92" s="45"/>
      <c r="Z92" s="20"/>
      <c r="AB92" s="55" t="s">
        <v>81</v>
      </c>
      <c r="AC92" s="460" t="n">
        <f aca="false">AC71+AC72+AC73</f>
        <v>0.1235</v>
      </c>
      <c r="AD92" s="178"/>
      <c r="AE92" s="178"/>
      <c r="AF92" s="45"/>
      <c r="AG92" s="45"/>
      <c r="AH92" s="45"/>
      <c r="AI92" s="20"/>
    </row>
    <row r="93" customFormat="false" ht="17.35" hidden="false" customHeight="false" outlineLevel="0" collapsed="false">
      <c r="A93" s="55" t="s">
        <v>82</v>
      </c>
      <c r="B93" s="460" t="n">
        <f aca="false">B92/12</f>
        <v>0.00958333333333333</v>
      </c>
      <c r="C93" s="178"/>
      <c r="D93" s="178"/>
      <c r="E93" s="45"/>
      <c r="F93" s="45"/>
      <c r="G93" s="45"/>
      <c r="H93" s="20"/>
      <c r="J93" s="55" t="s">
        <v>82</v>
      </c>
      <c r="K93" s="460" t="n">
        <f aca="false">K92/12</f>
        <v>0.02</v>
      </c>
      <c r="L93" s="178"/>
      <c r="M93" s="178"/>
      <c r="N93" s="45"/>
      <c r="O93" s="45"/>
      <c r="P93" s="45"/>
      <c r="Q93" s="20"/>
      <c r="S93" s="55" t="s">
        <v>82</v>
      </c>
      <c r="T93" s="460" t="n">
        <f aca="false">T92/12</f>
        <v>0.0102916666666667</v>
      </c>
      <c r="U93" s="178"/>
      <c r="V93" s="178"/>
      <c r="W93" s="45"/>
      <c r="X93" s="45"/>
      <c r="Y93" s="45"/>
      <c r="Z93" s="20"/>
      <c r="AB93" s="55" t="s">
        <v>82</v>
      </c>
      <c r="AC93" s="460" t="n">
        <f aca="false">AC92/12</f>
        <v>0.0102916666666667</v>
      </c>
      <c r="AD93" s="178"/>
      <c r="AE93" s="178"/>
      <c r="AF93" s="45"/>
      <c r="AG93" s="45"/>
      <c r="AH93" s="45"/>
      <c r="AI93" s="20"/>
    </row>
    <row r="94" customFormat="false" ht="17.35" hidden="false" customHeight="false" outlineLevel="0" collapsed="false">
      <c r="A94" s="55" t="s">
        <v>83</v>
      </c>
      <c r="B94" s="20" t="n">
        <f aca="false">IF(B91=0, (B68+B67), (B68))</f>
        <v>32</v>
      </c>
      <c r="C94" s="178"/>
      <c r="D94" s="178"/>
      <c r="E94" s="45"/>
      <c r="F94" s="45"/>
      <c r="G94" s="45"/>
      <c r="H94" s="20"/>
      <c r="J94" s="55" t="s">
        <v>83</v>
      </c>
      <c r="K94" s="20" t="n">
        <f aca="false">IF(K91=0, (K68+K67), (K68))</f>
        <v>33</v>
      </c>
      <c r="L94" s="178"/>
      <c r="M94" s="178"/>
      <c r="N94" s="45"/>
      <c r="O94" s="45"/>
      <c r="P94" s="45"/>
      <c r="Q94" s="20"/>
      <c r="S94" s="55" t="s">
        <v>83</v>
      </c>
      <c r="T94" s="20" t="n">
        <f aca="false">T68</f>
        <v>32</v>
      </c>
      <c r="U94" s="178"/>
      <c r="V94" s="178"/>
      <c r="W94" s="45"/>
      <c r="X94" s="45"/>
      <c r="Y94" s="45"/>
      <c r="Z94" s="20"/>
      <c r="AB94" s="55" t="s">
        <v>83</v>
      </c>
      <c r="AC94" s="20" t="n">
        <f aca="false">AC68</f>
        <v>32</v>
      </c>
      <c r="AD94" s="178"/>
      <c r="AE94" s="178"/>
      <c r="AF94" s="45"/>
      <c r="AG94" s="45"/>
      <c r="AH94" s="45"/>
      <c r="AI94" s="20"/>
    </row>
    <row r="95" customFormat="false" ht="17.35" hidden="false" customHeight="false" outlineLevel="0" collapsed="false">
      <c r="A95" s="55" t="s">
        <v>84</v>
      </c>
      <c r="B95" s="20" t="n">
        <f aca="false">(B91/((1+B93)^(B94+1)))</f>
        <v>4379.8532592462</v>
      </c>
      <c r="C95" s="178"/>
      <c r="D95" s="178"/>
      <c r="E95" s="45"/>
      <c r="F95" s="45"/>
      <c r="G95" s="45"/>
      <c r="H95" s="20"/>
      <c r="J95" s="55" t="s">
        <v>84</v>
      </c>
      <c r="K95" s="20" t="n">
        <f aca="false">(K91/((1+K93)^(K94+1)))</f>
        <v>0</v>
      </c>
      <c r="L95" s="178"/>
      <c r="M95" s="178"/>
      <c r="N95" s="45"/>
      <c r="O95" s="45"/>
      <c r="P95" s="45"/>
      <c r="Q95" s="20"/>
      <c r="S95" s="55" t="s">
        <v>84</v>
      </c>
      <c r="T95" s="20" t="n">
        <f aca="false">(T91/((1+T93)^(T94+1)))</f>
        <v>8.55929138316766</v>
      </c>
      <c r="U95" s="178"/>
      <c r="V95" s="178"/>
      <c r="W95" s="45"/>
      <c r="X95" s="45"/>
      <c r="Y95" s="45"/>
      <c r="Z95" s="20"/>
      <c r="AB95" s="55" t="s">
        <v>84</v>
      </c>
      <c r="AC95" s="20" t="n">
        <f aca="false">(AC91/((1+AC93)^(AC94+1)))</f>
        <v>8.55929138316766</v>
      </c>
      <c r="AD95" s="178"/>
      <c r="AE95" s="178"/>
      <c r="AF95" s="45"/>
      <c r="AG95" s="45"/>
      <c r="AH95" s="45"/>
      <c r="AI95" s="20"/>
    </row>
    <row r="96" customFormat="false" ht="17.35" hidden="false" customHeight="false" outlineLevel="0" collapsed="false">
      <c r="A96" s="55" t="s">
        <v>85</v>
      </c>
      <c r="B96" s="20" t="n">
        <f aca="false">((1-(1/((1+B93)^B94)))/B93)</f>
        <v>27.4464895133802</v>
      </c>
      <c r="C96" s="178"/>
      <c r="D96" s="178"/>
      <c r="E96" s="45"/>
      <c r="F96" s="45"/>
      <c r="G96" s="45"/>
      <c r="H96" s="20"/>
      <c r="J96" s="55" t="s">
        <v>85</v>
      </c>
      <c r="K96" s="20" t="n">
        <f aca="false">((1-(1/((1+K93)^K94)))/K93)</f>
        <v>23.9885635530494</v>
      </c>
      <c r="L96" s="178"/>
      <c r="M96" s="178"/>
      <c r="N96" s="45"/>
      <c r="O96" s="45"/>
      <c r="P96" s="45"/>
      <c r="Q96" s="20"/>
      <c r="S96" s="55" t="s">
        <v>85</v>
      </c>
      <c r="T96" s="20" t="n">
        <f aca="false">((1-(1/((1+T93)^T94)))/T93)</f>
        <v>27.1467145183312</v>
      </c>
      <c r="U96" s="178"/>
      <c r="V96" s="178"/>
      <c r="W96" s="45"/>
      <c r="X96" s="45"/>
      <c r="Y96" s="45"/>
      <c r="Z96" s="20"/>
      <c r="AB96" s="55" t="s">
        <v>85</v>
      </c>
      <c r="AC96" s="20" t="n">
        <f aca="false">((1-(1/((1+AC93)^AC94)))/AC93)</f>
        <v>27.1467145183312</v>
      </c>
      <c r="AD96" s="178"/>
      <c r="AE96" s="178"/>
      <c r="AF96" s="45"/>
      <c r="AG96" s="45"/>
      <c r="AH96" s="45"/>
      <c r="AI96" s="20"/>
    </row>
    <row r="97" customFormat="false" ht="17.35" hidden="false" customHeight="false" outlineLevel="0" collapsed="false">
      <c r="A97" s="55" t="s">
        <v>86</v>
      </c>
      <c r="B97" s="20" t="n">
        <f aca="false">B90-B95</f>
        <v>43497.6467407538</v>
      </c>
      <c r="C97" s="178"/>
      <c r="D97" s="178"/>
      <c r="E97" s="45"/>
      <c r="F97" s="45"/>
      <c r="G97" s="45"/>
      <c r="H97" s="20"/>
      <c r="J97" s="55" t="s">
        <v>86</v>
      </c>
      <c r="K97" s="20" t="n">
        <f aca="false">K90-K95</f>
        <v>37655</v>
      </c>
      <c r="L97" s="178"/>
      <c r="M97" s="178"/>
      <c r="N97" s="45"/>
      <c r="O97" s="45"/>
      <c r="P97" s="45"/>
      <c r="Q97" s="20"/>
      <c r="S97" s="55" t="s">
        <v>86</v>
      </c>
      <c r="T97" s="20" t="n">
        <f aca="false">T90-T95</f>
        <v>45460.1897086168</v>
      </c>
      <c r="U97" s="178"/>
      <c r="V97" s="178"/>
      <c r="W97" s="45"/>
      <c r="X97" s="45"/>
      <c r="Y97" s="45"/>
      <c r="Z97" s="20"/>
      <c r="AB97" s="55" t="s">
        <v>86</v>
      </c>
      <c r="AC97" s="20" t="n">
        <f aca="false">AC90-AC95</f>
        <v>45460.1897086168</v>
      </c>
      <c r="AD97" s="178"/>
      <c r="AE97" s="178"/>
      <c r="AF97" s="45"/>
      <c r="AG97" s="45"/>
      <c r="AH97" s="45"/>
      <c r="AI97" s="20"/>
    </row>
    <row r="98" customFormat="false" ht="17.35" hidden="false" customHeight="false" outlineLevel="0" collapsed="false">
      <c r="A98" s="55" t="s">
        <v>87</v>
      </c>
      <c r="B98" s="20" t="n">
        <f aca="false">(B97/B96)</f>
        <v>1584.81640136705</v>
      </c>
      <c r="C98" s="178"/>
      <c r="D98" s="178"/>
      <c r="E98" s="45"/>
      <c r="F98" s="45"/>
      <c r="G98" s="45"/>
      <c r="H98" s="20"/>
      <c r="J98" s="55" t="s">
        <v>87</v>
      </c>
      <c r="K98" s="20" t="n">
        <f aca="false">(K97/K96)</f>
        <v>1569.706327631</v>
      </c>
      <c r="L98" s="178"/>
      <c r="M98" s="178"/>
      <c r="N98" s="45"/>
      <c r="O98" s="45"/>
      <c r="P98" s="45"/>
      <c r="Q98" s="20"/>
      <c r="S98" s="55" t="s">
        <v>87</v>
      </c>
      <c r="T98" s="20" t="n">
        <f aca="false">(T97/T96)</f>
        <v>1674.61110912406</v>
      </c>
      <c r="U98" s="178"/>
      <c r="V98" s="178"/>
      <c r="W98" s="45"/>
      <c r="X98" s="45"/>
      <c r="Y98" s="45"/>
      <c r="Z98" s="20"/>
      <c r="AB98" s="55" t="s">
        <v>87</v>
      </c>
      <c r="AC98" s="20" t="n">
        <f aca="false">(AC97/AC96)</f>
        <v>1674.61110912406</v>
      </c>
      <c r="AD98" s="178"/>
      <c r="AE98" s="178"/>
      <c r="AF98" s="45"/>
      <c r="AG98" s="45"/>
      <c r="AH98" s="45"/>
      <c r="AI98" s="20"/>
    </row>
    <row r="99" customFormat="false" ht="17.35" hidden="false" customHeight="false" outlineLevel="0" collapsed="false">
      <c r="A99" s="55" t="s">
        <v>88</v>
      </c>
      <c r="B99" s="20" t="n">
        <f aca="false">((B98*(B94))+B86)</f>
        <v>50714.1248437457</v>
      </c>
      <c r="C99" s="178"/>
      <c r="D99" s="178"/>
      <c r="E99" s="45"/>
      <c r="F99" s="45"/>
      <c r="G99" s="45"/>
      <c r="H99" s="20"/>
      <c r="J99" s="55" t="s">
        <v>88</v>
      </c>
      <c r="K99" s="20" t="n">
        <f aca="false">((K98*(K94))+K86)</f>
        <v>51800.308811823</v>
      </c>
      <c r="L99" s="178"/>
      <c r="M99" s="178"/>
      <c r="N99" s="45"/>
      <c r="O99" s="45"/>
      <c r="P99" s="45"/>
      <c r="Q99" s="20"/>
      <c r="S99" s="55" t="s">
        <v>88</v>
      </c>
      <c r="T99" s="20" t="n">
        <f aca="false">(T98*(T94))+T86</f>
        <v>53587.5554919699</v>
      </c>
      <c r="U99" s="178"/>
      <c r="V99" s="178"/>
      <c r="W99" s="45"/>
      <c r="X99" s="45"/>
      <c r="Y99" s="45"/>
      <c r="Z99" s="20"/>
      <c r="AB99" s="55" t="s">
        <v>88</v>
      </c>
      <c r="AC99" s="20" t="n">
        <f aca="false">(AC98*(AC68))+AC86</f>
        <v>53587.5554919699</v>
      </c>
      <c r="AD99" s="178"/>
      <c r="AE99" s="178"/>
      <c r="AF99" s="45"/>
      <c r="AG99" s="45"/>
      <c r="AH99" s="45"/>
      <c r="AI99" s="20"/>
    </row>
    <row r="100" customFormat="false" ht="17.35" hidden="false" customHeight="false" outlineLevel="0" collapsed="false">
      <c r="A100" s="55" t="s">
        <v>89</v>
      </c>
      <c r="B100" s="20" t="n">
        <f aca="false">(((B98*(B94))+B86)/(1-B80))*B80</f>
        <v>0</v>
      </c>
      <c r="C100" s="178"/>
      <c r="D100" s="178"/>
      <c r="E100" s="45"/>
      <c r="F100" s="45"/>
      <c r="G100" s="45"/>
      <c r="H100" s="20"/>
      <c r="J100" s="55" t="s">
        <v>89</v>
      </c>
      <c r="K100" s="20" t="n">
        <f aca="false">(K99/(1-K80))*K80</f>
        <v>0</v>
      </c>
      <c r="L100" s="178"/>
      <c r="M100" s="178"/>
      <c r="N100" s="45"/>
      <c r="O100" s="45"/>
      <c r="P100" s="45"/>
      <c r="Q100" s="20"/>
      <c r="S100" s="55" t="s">
        <v>89</v>
      </c>
      <c r="T100" s="20" t="n">
        <f aca="false">(T99/(1-T80))*T80</f>
        <v>0</v>
      </c>
      <c r="U100" s="178"/>
      <c r="V100" s="178"/>
      <c r="W100" s="45"/>
      <c r="X100" s="45"/>
      <c r="Y100" s="45"/>
      <c r="Z100" s="20"/>
      <c r="AB100" s="55" t="s">
        <v>89</v>
      </c>
      <c r="AC100" s="20" t="n">
        <f aca="false">(AC99/(1-AC80))*AC80</f>
        <v>0</v>
      </c>
      <c r="AD100" s="178"/>
      <c r="AE100" s="178"/>
      <c r="AF100" s="45"/>
      <c r="AG100" s="45"/>
      <c r="AH100" s="45"/>
      <c r="AI100" s="20"/>
    </row>
    <row r="101" customFormat="false" ht="17.35" hidden="false" customHeight="false" outlineLevel="0" collapsed="false">
      <c r="A101" s="74" t="s">
        <v>90</v>
      </c>
      <c r="B101" s="82" t="n">
        <f aca="false">(B99+B100)</f>
        <v>50714.1248437457</v>
      </c>
      <c r="C101" s="178"/>
      <c r="D101" s="178"/>
      <c r="E101" s="45"/>
      <c r="F101" s="45"/>
      <c r="G101" s="45"/>
      <c r="H101" s="20"/>
      <c r="J101" s="74" t="s">
        <v>90</v>
      </c>
      <c r="K101" s="82" t="n">
        <f aca="false">(K99+K100)</f>
        <v>51800.308811823</v>
      </c>
      <c r="L101" s="178"/>
      <c r="M101" s="178"/>
      <c r="N101" s="45"/>
      <c r="O101" s="45"/>
      <c r="P101" s="45"/>
      <c r="Q101" s="20"/>
      <c r="S101" s="74" t="s">
        <v>90</v>
      </c>
      <c r="T101" s="82" t="n">
        <f aca="false">(T99+T100)</f>
        <v>53587.5554919699</v>
      </c>
      <c r="U101" s="178"/>
      <c r="V101" s="178"/>
      <c r="W101" s="45"/>
      <c r="X101" s="45"/>
      <c r="Y101" s="45"/>
      <c r="Z101" s="20"/>
      <c r="AB101" s="74" t="s">
        <v>90</v>
      </c>
      <c r="AC101" s="82" t="n">
        <f aca="false">(AC99+AC100)</f>
        <v>53587.5554919699</v>
      </c>
      <c r="AD101" s="178"/>
      <c r="AE101" s="178"/>
      <c r="AF101" s="45"/>
      <c r="AG101" s="45"/>
      <c r="AH101" s="45"/>
      <c r="AI101" s="20"/>
    </row>
    <row r="102" customFormat="false" ht="17.35" hidden="false" customHeight="false" outlineLevel="0" collapsed="false">
      <c r="A102" s="55"/>
      <c r="B102" s="178"/>
      <c r="C102" s="178"/>
      <c r="D102" s="178"/>
      <c r="E102" s="45"/>
      <c r="F102" s="45"/>
      <c r="G102" s="45"/>
      <c r="H102" s="20"/>
      <c r="J102" s="55"/>
      <c r="K102" s="178"/>
      <c r="L102" s="178"/>
      <c r="M102" s="178"/>
      <c r="N102" s="45"/>
      <c r="O102" s="45"/>
      <c r="P102" s="45"/>
      <c r="Q102" s="20"/>
      <c r="S102" s="55"/>
      <c r="T102" s="178"/>
      <c r="U102" s="178"/>
      <c r="V102" s="178"/>
      <c r="W102" s="45"/>
      <c r="X102" s="45"/>
      <c r="Y102" s="45"/>
      <c r="Z102" s="20"/>
      <c r="AB102" s="55"/>
      <c r="AC102" s="178"/>
      <c r="AD102" s="178"/>
      <c r="AE102" s="178"/>
      <c r="AF102" s="45"/>
      <c r="AG102" s="45"/>
      <c r="AH102" s="45"/>
      <c r="AI102" s="20"/>
    </row>
    <row r="103" customFormat="false" ht="17.35" hidden="false" customHeight="false" outlineLevel="0" collapsed="false">
      <c r="A103" s="107" t="s">
        <v>91</v>
      </c>
      <c r="B103" s="108" t="n">
        <f aca="false">((A46 * A34) + ((A46 * A34)*A117))/(B68)</f>
        <v>0</v>
      </c>
      <c r="C103" s="178"/>
      <c r="D103" s="178"/>
      <c r="E103" s="45"/>
      <c r="F103" s="45"/>
      <c r="G103" s="45"/>
      <c r="H103" s="20"/>
      <c r="J103" s="107" t="s">
        <v>91</v>
      </c>
      <c r="K103" s="108" t="n">
        <f aca="false">((E40/K94)*(1+J117))*1.2</f>
        <v>0</v>
      </c>
      <c r="L103" s="178"/>
      <c r="M103" s="178"/>
      <c r="N103" s="45"/>
      <c r="O103" s="45"/>
      <c r="P103" s="45"/>
      <c r="Q103" s="20"/>
      <c r="S103" s="107" t="s">
        <v>91</v>
      </c>
      <c r="T103" s="108" t="n">
        <f aca="false">((E40/T94)*(1+S117))</f>
        <v>0</v>
      </c>
      <c r="U103" s="178"/>
      <c r="V103" s="178"/>
      <c r="W103" s="45"/>
      <c r="X103" s="45"/>
      <c r="Y103" s="45"/>
      <c r="Z103" s="20"/>
      <c r="AB103" s="107" t="s">
        <v>91</v>
      </c>
      <c r="AC103" s="108" t="n">
        <f aca="false">((E40/AC94)*(1+AB117))*1.2</f>
        <v>0</v>
      </c>
      <c r="AD103" s="178"/>
      <c r="AE103" s="178"/>
      <c r="AF103" s="45"/>
      <c r="AG103" s="45"/>
      <c r="AH103" s="45"/>
      <c r="AI103" s="20"/>
    </row>
    <row r="104" customFormat="false" ht="17.35" hidden="false" customHeight="false" outlineLevel="0" collapsed="false">
      <c r="A104" s="112" t="s">
        <v>92</v>
      </c>
      <c r="B104" s="113" t="n">
        <f aca="false">B101/(B94)</f>
        <v>1584.81640136705</v>
      </c>
      <c r="C104" s="178"/>
      <c r="D104" s="178"/>
      <c r="E104" s="45"/>
      <c r="F104" s="45"/>
      <c r="G104" s="45"/>
      <c r="H104" s="20"/>
      <c r="J104" s="112" t="s">
        <v>92</v>
      </c>
      <c r="K104" s="113" t="n">
        <f aca="false">K101/(K94)</f>
        <v>1569.706327631</v>
      </c>
      <c r="L104" s="178"/>
      <c r="M104" s="178"/>
      <c r="N104" s="45"/>
      <c r="O104" s="45"/>
      <c r="P104" s="45"/>
      <c r="Q104" s="20"/>
      <c r="S104" s="112" t="s">
        <v>92</v>
      </c>
      <c r="T104" s="113" t="n">
        <f aca="false">T101/(T94)</f>
        <v>1674.61110912406</v>
      </c>
      <c r="U104" s="178"/>
      <c r="V104" s="178"/>
      <c r="W104" s="45"/>
      <c r="X104" s="45"/>
      <c r="Y104" s="45"/>
      <c r="Z104" s="20"/>
      <c r="AB104" s="112" t="s">
        <v>92</v>
      </c>
      <c r="AC104" s="113" t="n">
        <f aca="false">AC101/(AC68)</f>
        <v>1674.61110912406</v>
      </c>
      <c r="AD104" s="178"/>
      <c r="AE104" s="178"/>
      <c r="AF104" s="45"/>
      <c r="AG104" s="45"/>
      <c r="AH104" s="45"/>
      <c r="AI104" s="20"/>
    </row>
    <row r="105" customFormat="false" ht="17.35" hidden="false" customHeight="false" outlineLevel="0" collapsed="false">
      <c r="A105" s="114" t="s">
        <v>93</v>
      </c>
      <c r="B105" s="115" t="n">
        <f aca="false">B103+B104</f>
        <v>1584.81640136705</v>
      </c>
      <c r="C105" s="178"/>
      <c r="D105" s="178"/>
      <c r="E105" s="45" t="s">
        <v>9</v>
      </c>
      <c r="F105" s="45"/>
      <c r="G105" s="45"/>
      <c r="H105" s="20"/>
      <c r="J105" s="114" t="s">
        <v>93</v>
      </c>
      <c r="K105" s="115" t="n">
        <f aca="false">(K103+K104)</f>
        <v>1569.706327631</v>
      </c>
      <c r="L105" s="178"/>
      <c r="M105" s="178"/>
      <c r="N105" s="45"/>
      <c r="O105" s="45"/>
      <c r="P105" s="45"/>
      <c r="Q105" s="20"/>
      <c r="S105" s="114" t="s">
        <v>93</v>
      </c>
      <c r="T105" s="115" t="n">
        <f aca="false">T103+T104</f>
        <v>1674.61110912406</v>
      </c>
      <c r="U105" s="178"/>
      <c r="V105" s="178"/>
      <c r="W105" s="45"/>
      <c r="X105" s="45"/>
      <c r="Y105" s="45"/>
      <c r="Z105" s="20"/>
      <c r="AB105" s="114" t="s">
        <v>93</v>
      </c>
      <c r="AC105" s="115" t="n">
        <f aca="false">AC103+AC104</f>
        <v>1674.61110912406</v>
      </c>
      <c r="AD105" s="178"/>
      <c r="AE105" s="178"/>
      <c r="AF105" s="45"/>
      <c r="AG105" s="45"/>
      <c r="AH105" s="45"/>
      <c r="AI105" s="20"/>
    </row>
    <row r="106" customFormat="false" ht="17.35" hidden="false" customHeight="false" outlineLevel="0" collapsed="false">
      <c r="A106" s="74"/>
      <c r="B106" s="75"/>
      <c r="C106" s="75"/>
      <c r="D106" s="75"/>
      <c r="E106" s="116"/>
      <c r="F106" s="116"/>
      <c r="G106" s="116"/>
      <c r="H106" s="82"/>
      <c r="J106" s="74"/>
      <c r="K106" s="75"/>
      <c r="L106" s="75"/>
      <c r="M106" s="75"/>
      <c r="N106" s="116"/>
      <c r="O106" s="116"/>
      <c r="P106" s="116"/>
      <c r="Q106" s="82"/>
      <c r="S106" s="74"/>
      <c r="T106" s="75"/>
      <c r="U106" s="75"/>
      <c r="V106" s="75"/>
      <c r="W106" s="116"/>
      <c r="X106" s="116"/>
      <c r="Y106" s="116"/>
      <c r="Z106" s="82"/>
      <c r="AB106" s="74"/>
      <c r="AC106" s="75"/>
      <c r="AD106" s="75"/>
      <c r="AE106" s="75"/>
      <c r="AF106" s="116"/>
      <c r="AG106" s="116"/>
      <c r="AH106" s="116"/>
      <c r="AI106" s="82"/>
    </row>
    <row r="107" customFormat="false" ht="13.8" hidden="false" customHeight="false" outlineLevel="0" collapsed="false">
      <c r="A107" s="45"/>
      <c r="B107" s="45"/>
      <c r="C107" s="45"/>
      <c r="D107" s="45"/>
      <c r="E107" s="45"/>
      <c r="F107" s="45"/>
      <c r="G107" s="45"/>
      <c r="H107" s="45"/>
      <c r="J107" s="45"/>
      <c r="K107" s="45"/>
      <c r="L107" s="45"/>
      <c r="M107" s="45"/>
      <c r="N107" s="45"/>
      <c r="O107" s="45"/>
      <c r="P107" s="45"/>
      <c r="Q107" s="45"/>
      <c r="S107" s="45"/>
      <c r="T107" s="45"/>
      <c r="U107" s="45"/>
      <c r="V107" s="45"/>
      <c r="W107" s="45"/>
      <c r="X107" s="45"/>
      <c r="Y107" s="45"/>
      <c r="Z107" s="45"/>
      <c r="AB107" s="45"/>
      <c r="AC107" s="45"/>
      <c r="AD107" s="45"/>
      <c r="AE107" s="45"/>
      <c r="AF107" s="45"/>
      <c r="AG107" s="45"/>
      <c r="AH107" s="45"/>
      <c r="AI107" s="45"/>
    </row>
    <row r="108" customFormat="false" ht="13.8" hidden="false" customHeight="false" outlineLevel="0" collapsed="false">
      <c r="A108" s="45" t="n">
        <v>0.2</v>
      </c>
      <c r="B108" s="45" t="s">
        <v>364</v>
      </c>
      <c r="C108" s="45"/>
      <c r="D108" s="45"/>
      <c r="E108" s="45"/>
      <c r="F108" s="45"/>
      <c r="G108" s="45"/>
      <c r="H108" s="45"/>
      <c r="J108" s="45"/>
      <c r="K108" s="45"/>
      <c r="L108" s="45"/>
      <c r="M108" s="45"/>
      <c r="N108" s="45"/>
      <c r="O108" s="45"/>
      <c r="P108" s="45"/>
      <c r="Q108" s="45"/>
      <c r="S108" s="45"/>
      <c r="T108" s="45"/>
      <c r="U108" s="45"/>
      <c r="V108" s="45"/>
      <c r="W108" s="45"/>
      <c r="X108" s="45"/>
      <c r="Y108" s="45"/>
      <c r="Z108" s="45"/>
      <c r="AB108" s="45"/>
      <c r="AC108" s="45"/>
      <c r="AD108" s="45"/>
      <c r="AE108" s="45"/>
      <c r="AF108" s="45"/>
      <c r="AG108" s="45"/>
      <c r="AH108" s="45"/>
      <c r="AI108" s="45"/>
    </row>
    <row r="109" customFormat="false" ht="47.25" hidden="false" customHeight="true" outlineLevel="0" collapsed="false">
      <c r="A109" s="4" t="s">
        <v>94</v>
      </c>
      <c r="B109" s="4"/>
      <c r="C109" s="4"/>
      <c r="D109" s="4"/>
      <c r="E109" s="4"/>
      <c r="F109" s="4"/>
      <c r="G109" s="4"/>
      <c r="H109" s="4"/>
      <c r="J109" s="47" t="s">
        <v>95</v>
      </c>
      <c r="K109" s="47"/>
      <c r="L109" s="47"/>
      <c r="M109" s="47"/>
      <c r="N109" s="47"/>
      <c r="O109" s="47"/>
      <c r="P109" s="47"/>
      <c r="Q109" s="47"/>
      <c r="S109" s="4" t="s">
        <v>96</v>
      </c>
      <c r="T109" s="4"/>
      <c r="U109" s="4"/>
      <c r="V109" s="4"/>
      <c r="W109" s="4"/>
      <c r="X109" s="4"/>
      <c r="Y109" s="4"/>
      <c r="Z109" s="4"/>
      <c r="AB109" s="4" t="s">
        <v>97</v>
      </c>
      <c r="AC109" s="4"/>
      <c r="AD109" s="4"/>
      <c r="AE109" s="4"/>
      <c r="AF109" s="4"/>
      <c r="AG109" s="4"/>
      <c r="AH109" s="4"/>
      <c r="AI109" s="4"/>
    </row>
    <row r="110" customFormat="false" ht="17.35" hidden="false" customHeight="false" outlineLevel="0" collapsed="false">
      <c r="A110" s="48"/>
      <c r="B110" s="49"/>
      <c r="C110" s="49"/>
      <c r="D110" s="49"/>
      <c r="E110" s="93"/>
      <c r="F110" s="93"/>
      <c r="G110" s="93"/>
      <c r="H110" s="117"/>
      <c r="J110" s="48"/>
      <c r="K110" s="49"/>
      <c r="L110" s="49"/>
      <c r="M110" s="49"/>
      <c r="N110" s="93"/>
      <c r="O110" s="93"/>
      <c r="P110" s="93"/>
      <c r="Q110" s="117"/>
      <c r="S110" s="48"/>
      <c r="T110" s="49"/>
      <c r="U110" s="49"/>
      <c r="V110" s="49"/>
      <c r="W110" s="93"/>
      <c r="X110" s="93"/>
      <c r="Y110" s="93"/>
      <c r="Z110" s="117"/>
      <c r="AB110" s="48"/>
      <c r="AC110" s="49"/>
      <c r="AD110" s="49"/>
      <c r="AE110" s="49"/>
      <c r="AF110" s="93"/>
      <c r="AG110" s="93"/>
      <c r="AH110" s="93"/>
      <c r="AI110" s="117"/>
    </row>
    <row r="111" customFormat="false" ht="22.05" hidden="false" customHeight="false" outlineLevel="0" collapsed="false">
      <c r="A111" s="58" t="s">
        <v>9</v>
      </c>
      <c r="B111" s="58" t="n">
        <v>0</v>
      </c>
      <c r="C111" s="58"/>
      <c r="D111" s="58"/>
      <c r="E111" s="58" t="n">
        <v>0</v>
      </c>
      <c r="F111" s="58"/>
      <c r="G111" s="58"/>
      <c r="H111" s="58"/>
      <c r="J111" s="58" t="s">
        <v>26</v>
      </c>
      <c r="K111" s="58"/>
      <c r="L111" s="58"/>
      <c r="M111" s="58"/>
      <c r="N111" s="58"/>
      <c r="O111" s="58"/>
      <c r="P111" s="58"/>
      <c r="Q111" s="58"/>
      <c r="S111" s="58" t="s">
        <v>26</v>
      </c>
      <c r="T111" s="58"/>
      <c r="U111" s="58"/>
      <c r="V111" s="58"/>
      <c r="W111" s="58"/>
      <c r="X111" s="58"/>
      <c r="Y111" s="58"/>
      <c r="Z111" s="58"/>
      <c r="AB111" s="58" t="s">
        <v>26</v>
      </c>
      <c r="AC111" s="58"/>
      <c r="AD111" s="58"/>
      <c r="AE111" s="58"/>
      <c r="AF111" s="58"/>
      <c r="AG111" s="58"/>
      <c r="AH111" s="58"/>
      <c r="AI111" s="58"/>
    </row>
    <row r="112" customFormat="false" ht="17.35" hidden="false" customHeight="false" outlineLevel="0" collapsed="false">
      <c r="A112" s="55"/>
      <c r="B112" s="178"/>
      <c r="C112" s="178"/>
      <c r="D112" s="178"/>
      <c r="E112" s="45"/>
      <c r="F112" s="45"/>
      <c r="G112" s="45"/>
      <c r="H112" s="118"/>
      <c r="J112" s="55"/>
      <c r="K112" s="178"/>
      <c r="L112" s="178"/>
      <c r="M112" s="178"/>
      <c r="N112" s="45"/>
      <c r="O112" s="45"/>
      <c r="P112" s="45"/>
      <c r="Q112" s="118"/>
      <c r="S112" s="55"/>
      <c r="T112" s="178"/>
      <c r="U112" s="178"/>
      <c r="V112" s="178"/>
      <c r="W112" s="45"/>
      <c r="X112" s="45"/>
      <c r="Y112" s="45"/>
      <c r="Z112" s="118"/>
      <c r="AB112" s="55"/>
      <c r="AC112" s="178"/>
      <c r="AD112" s="178"/>
      <c r="AE112" s="178"/>
      <c r="AF112" s="45"/>
      <c r="AG112" s="45"/>
      <c r="AH112" s="45"/>
      <c r="AI112" s="118"/>
    </row>
    <row r="113" customFormat="false" ht="17.35" hidden="false" customHeight="false" outlineLevel="0" collapsed="false">
      <c r="A113" s="55" t="s">
        <v>98</v>
      </c>
      <c r="B113" s="178" t="s">
        <v>23</v>
      </c>
      <c r="C113" s="178"/>
      <c r="D113" s="178"/>
      <c r="E113" s="178" t="s">
        <v>22</v>
      </c>
      <c r="F113" s="178"/>
      <c r="G113" s="178"/>
      <c r="H113" s="20"/>
      <c r="J113" s="55" t="s">
        <v>98</v>
      </c>
      <c r="K113" s="178" t="s">
        <v>23</v>
      </c>
      <c r="L113" s="178"/>
      <c r="M113" s="178"/>
      <c r="N113" s="178" t="s">
        <v>22</v>
      </c>
      <c r="O113" s="178"/>
      <c r="P113" s="178"/>
      <c r="Q113" s="20"/>
      <c r="S113" s="55" t="s">
        <v>98</v>
      </c>
      <c r="T113" s="178" t="s">
        <v>23</v>
      </c>
      <c r="U113" s="178"/>
      <c r="V113" s="178"/>
      <c r="W113" s="178" t="s">
        <v>22</v>
      </c>
      <c r="X113" s="178"/>
      <c r="Y113" s="178"/>
      <c r="Z113" s="20"/>
      <c r="AB113" s="55" t="s">
        <v>98</v>
      </c>
      <c r="AC113" s="178" t="s">
        <v>23</v>
      </c>
      <c r="AD113" s="178"/>
      <c r="AE113" s="178"/>
      <c r="AF113" s="178" t="s">
        <v>22</v>
      </c>
      <c r="AG113" s="178"/>
      <c r="AH113" s="178"/>
      <c r="AI113" s="20"/>
    </row>
    <row r="114" customFormat="false" ht="17.35" hidden="false" customHeight="false" outlineLevel="0" collapsed="false">
      <c r="A114" s="51" t="s">
        <v>99</v>
      </c>
      <c r="B114" s="37"/>
      <c r="C114" s="37"/>
      <c r="D114" s="37"/>
      <c r="E114" s="60" t="s">
        <v>10</v>
      </c>
      <c r="F114" s="60"/>
      <c r="G114" s="60"/>
      <c r="H114" s="118"/>
      <c r="J114" s="51" t="s">
        <v>99</v>
      </c>
      <c r="K114" s="177" t="s">
        <v>100</v>
      </c>
      <c r="L114" s="177"/>
      <c r="M114" s="177"/>
      <c r="N114" s="60" t="s">
        <v>9</v>
      </c>
      <c r="O114" s="60"/>
      <c r="P114" s="60"/>
      <c r="Q114" s="118"/>
      <c r="S114" s="51" t="s">
        <v>99</v>
      </c>
      <c r="T114" s="37" t="s">
        <v>100</v>
      </c>
      <c r="U114" s="37"/>
      <c r="V114" s="37"/>
      <c r="W114" s="60" t="s">
        <v>9</v>
      </c>
      <c r="X114" s="60"/>
      <c r="Y114" s="60"/>
      <c r="Z114" s="118"/>
      <c r="AB114" s="51" t="s">
        <v>99</v>
      </c>
      <c r="AC114" s="37" t="s">
        <v>100</v>
      </c>
      <c r="AD114" s="37"/>
      <c r="AE114" s="37"/>
      <c r="AF114" s="60" t="s">
        <v>9</v>
      </c>
      <c r="AG114" s="60"/>
      <c r="AH114" s="60"/>
      <c r="AI114" s="118"/>
    </row>
    <row r="115" customFormat="false" ht="17.35" hidden="false" customHeight="false" outlineLevel="0" collapsed="false">
      <c r="A115" s="55"/>
      <c r="B115" s="178"/>
      <c r="C115" s="178"/>
      <c r="D115" s="45"/>
      <c r="E115" s="178"/>
      <c r="F115" s="178"/>
      <c r="G115" s="45"/>
      <c r="H115" s="20"/>
      <c r="J115" s="55"/>
      <c r="K115" s="178"/>
      <c r="L115" s="178"/>
      <c r="M115" s="45"/>
      <c r="N115" s="178"/>
      <c r="O115" s="178"/>
      <c r="P115" s="45"/>
      <c r="Q115" s="20"/>
      <c r="S115" s="55"/>
      <c r="T115" s="178"/>
      <c r="U115" s="178"/>
      <c r="V115" s="45"/>
      <c r="W115" s="178"/>
      <c r="X115" s="178"/>
      <c r="Y115" s="45"/>
      <c r="Z115" s="20"/>
      <c r="AB115" s="55"/>
      <c r="AC115" s="178"/>
      <c r="AD115" s="178"/>
      <c r="AE115" s="45"/>
      <c r="AF115" s="178"/>
      <c r="AG115" s="178"/>
      <c r="AH115" s="45"/>
      <c r="AI115" s="20"/>
    </row>
    <row r="116" customFormat="false" ht="17.35" hidden="false" customHeight="false" outlineLevel="0" collapsed="false">
      <c r="A116" s="55" t="s">
        <v>101</v>
      </c>
      <c r="B116" s="178" t="s">
        <v>102</v>
      </c>
      <c r="C116" s="178"/>
      <c r="D116" s="45"/>
      <c r="E116" s="178" t="s">
        <v>103</v>
      </c>
      <c r="F116" s="178"/>
      <c r="G116" s="45"/>
      <c r="H116" s="118"/>
      <c r="J116" s="55" t="s">
        <v>101</v>
      </c>
      <c r="K116" s="178" t="s">
        <v>102</v>
      </c>
      <c r="L116" s="178"/>
      <c r="M116" s="45"/>
      <c r="N116" s="178" t="s">
        <v>103</v>
      </c>
      <c r="O116" s="178"/>
      <c r="P116" s="45"/>
      <c r="Q116" s="118"/>
      <c r="S116" s="55" t="s">
        <v>101</v>
      </c>
      <c r="T116" s="178" t="s">
        <v>102</v>
      </c>
      <c r="U116" s="178"/>
      <c r="V116" s="45"/>
      <c r="W116" s="178" t="s">
        <v>103</v>
      </c>
      <c r="X116" s="178"/>
      <c r="Y116" s="45"/>
      <c r="Z116" s="118"/>
      <c r="AB116" s="55" t="s">
        <v>101</v>
      </c>
      <c r="AC116" s="178" t="s">
        <v>102</v>
      </c>
      <c r="AD116" s="178"/>
      <c r="AE116" s="45"/>
      <c r="AF116" s="178" t="s">
        <v>103</v>
      </c>
      <c r="AG116" s="178"/>
      <c r="AH116" s="45"/>
      <c r="AI116" s="118"/>
    </row>
    <row r="117" customFormat="false" ht="17.35" hidden="false" customHeight="false" outlineLevel="0" collapsed="false">
      <c r="A117" s="120" t="n">
        <v>0.2</v>
      </c>
      <c r="B117" s="72" t="s">
        <v>104</v>
      </c>
      <c r="C117" s="72"/>
      <c r="D117" s="72"/>
      <c r="E117" s="121" t="n">
        <f aca="false">B92</f>
        <v>0.115</v>
      </c>
      <c r="F117" s="121"/>
      <c r="G117" s="121"/>
      <c r="H117" s="65"/>
      <c r="J117" s="120" t="n">
        <v>0.3</v>
      </c>
      <c r="K117" s="72" t="s">
        <v>104</v>
      </c>
      <c r="L117" s="72"/>
      <c r="M117" s="72"/>
      <c r="N117" s="121" t="n">
        <f aca="false">K92</f>
        <v>0.24</v>
      </c>
      <c r="O117" s="121"/>
      <c r="P117" s="121"/>
      <c r="Q117" s="65"/>
      <c r="S117" s="120" t="n">
        <v>0.2</v>
      </c>
      <c r="T117" s="72" t="s">
        <v>105</v>
      </c>
      <c r="U117" s="72"/>
      <c r="V117" s="72"/>
      <c r="W117" s="121" t="n">
        <f aca="false">T92</f>
        <v>0.1235</v>
      </c>
      <c r="X117" s="121"/>
      <c r="Y117" s="121"/>
      <c r="Z117" s="65"/>
      <c r="AB117" s="120" t="n">
        <v>0.2</v>
      </c>
      <c r="AC117" s="72" t="s">
        <v>105</v>
      </c>
      <c r="AD117" s="72"/>
      <c r="AE117" s="72"/>
      <c r="AF117" s="122" t="n">
        <f aca="false">AC92</f>
        <v>0.1235</v>
      </c>
      <c r="AG117" s="122"/>
      <c r="AH117" s="122"/>
      <c r="AI117" s="65"/>
      <c r="AP117" s="1" t="s">
        <v>106</v>
      </c>
    </row>
    <row r="118" customFormat="false" ht="17.35" hidden="false" customHeight="false" outlineLevel="0" collapsed="false">
      <c r="A118" s="55"/>
      <c r="B118" s="178"/>
      <c r="C118" s="178"/>
      <c r="D118" s="178"/>
      <c r="E118" s="178"/>
      <c r="F118" s="178"/>
      <c r="G118" s="178"/>
      <c r="H118" s="20"/>
      <c r="J118" s="55"/>
      <c r="K118" s="178"/>
      <c r="L118" s="178"/>
      <c r="M118" s="178"/>
      <c r="N118" s="178"/>
      <c r="O118" s="178"/>
      <c r="P118" s="178"/>
      <c r="Q118" s="20"/>
      <c r="S118" s="55"/>
      <c r="T118" s="178"/>
      <c r="U118" s="178"/>
      <c r="V118" s="178"/>
      <c r="W118" s="178"/>
      <c r="X118" s="178"/>
      <c r="Y118" s="178"/>
      <c r="Z118" s="20"/>
      <c r="AB118" s="55"/>
      <c r="AC118" s="178"/>
      <c r="AD118" s="178"/>
      <c r="AE118" s="178"/>
      <c r="AF118" s="178"/>
      <c r="AG118" s="178"/>
      <c r="AH118" s="178"/>
      <c r="AI118" s="20"/>
      <c r="AP118" s="1" t="s">
        <v>104</v>
      </c>
    </row>
    <row r="119" customFormat="false" ht="17.35" hidden="false" customHeight="false" outlineLevel="0" collapsed="false">
      <c r="A119" s="55" t="s">
        <v>107</v>
      </c>
      <c r="B119" s="178" t="s">
        <v>108</v>
      </c>
      <c r="C119" s="178"/>
      <c r="D119" s="178"/>
      <c r="E119" s="178" t="s">
        <v>109</v>
      </c>
      <c r="F119" s="178"/>
      <c r="G119" s="178"/>
      <c r="H119" s="20"/>
      <c r="J119" s="55" t="s">
        <v>107</v>
      </c>
      <c r="K119" s="178" t="s">
        <v>108</v>
      </c>
      <c r="L119" s="178"/>
      <c r="M119" s="178"/>
      <c r="N119" s="178" t="s">
        <v>109</v>
      </c>
      <c r="O119" s="178"/>
      <c r="P119" s="178"/>
      <c r="Q119" s="20"/>
      <c r="S119" s="55" t="s">
        <v>107</v>
      </c>
      <c r="T119" s="178" t="s">
        <v>108</v>
      </c>
      <c r="U119" s="178"/>
      <c r="V119" s="178"/>
      <c r="W119" s="178" t="s">
        <v>109</v>
      </c>
      <c r="X119" s="178"/>
      <c r="Y119" s="178"/>
      <c r="Z119" s="20"/>
      <c r="AB119" s="55" t="s">
        <v>107</v>
      </c>
      <c r="AC119" s="178" t="s">
        <v>108</v>
      </c>
      <c r="AD119" s="178"/>
      <c r="AE119" s="178"/>
      <c r="AF119" s="178" t="s">
        <v>109</v>
      </c>
      <c r="AG119" s="178"/>
      <c r="AH119" s="178"/>
      <c r="AI119" s="20"/>
    </row>
    <row r="120" customFormat="false" ht="17.35" hidden="false" customHeight="false" outlineLevel="0" collapsed="false">
      <c r="A120" s="52" t="s">
        <v>9</v>
      </c>
      <c r="B120" s="72" t="n">
        <v>0</v>
      </c>
      <c r="C120" s="72"/>
      <c r="D120" s="72"/>
      <c r="E120" s="72" t="n">
        <v>0</v>
      </c>
      <c r="F120" s="72"/>
      <c r="G120" s="72"/>
      <c r="H120" s="118"/>
      <c r="J120" s="52" t="s">
        <v>10</v>
      </c>
      <c r="K120" s="72" t="n">
        <v>1000</v>
      </c>
      <c r="L120" s="72"/>
      <c r="M120" s="72"/>
      <c r="N120" s="72" t="n">
        <v>0</v>
      </c>
      <c r="O120" s="72"/>
      <c r="P120" s="72"/>
      <c r="Q120" s="118"/>
      <c r="S120" s="52" t="s">
        <v>9</v>
      </c>
      <c r="T120" s="72" t="n">
        <v>1000</v>
      </c>
      <c r="U120" s="72"/>
      <c r="V120" s="72"/>
      <c r="W120" s="72" t="n">
        <v>0</v>
      </c>
      <c r="X120" s="72"/>
      <c r="Y120" s="72"/>
      <c r="Z120" s="118"/>
      <c r="AB120" s="52" t="s">
        <v>9</v>
      </c>
      <c r="AC120" s="72" t="n">
        <v>1000</v>
      </c>
      <c r="AD120" s="72"/>
      <c r="AE120" s="72"/>
      <c r="AF120" s="72" t="n">
        <v>0</v>
      </c>
      <c r="AG120" s="72"/>
      <c r="AH120" s="72"/>
      <c r="AI120" s="118"/>
    </row>
    <row r="121" customFormat="false" ht="17.35" hidden="false" customHeight="false" outlineLevel="0" collapsed="false">
      <c r="A121" s="55"/>
      <c r="B121" s="178"/>
      <c r="C121" s="178"/>
      <c r="D121" s="178"/>
      <c r="E121" s="178"/>
      <c r="F121" s="178"/>
      <c r="G121" s="45"/>
      <c r="H121" s="118"/>
      <c r="J121" s="55"/>
      <c r="K121" s="178"/>
      <c r="L121" s="178"/>
      <c r="M121" s="178"/>
      <c r="N121" s="178"/>
      <c r="O121" s="178"/>
      <c r="P121" s="45"/>
      <c r="Q121" s="118"/>
      <c r="S121" s="55"/>
      <c r="T121" s="178"/>
      <c r="U121" s="178"/>
      <c r="V121" s="178"/>
      <c r="W121" s="178"/>
      <c r="X121" s="178"/>
      <c r="Y121" s="45"/>
      <c r="Z121" s="118"/>
      <c r="AB121" s="55"/>
      <c r="AC121" s="178"/>
      <c r="AD121" s="178"/>
      <c r="AE121" s="178"/>
      <c r="AF121" s="178"/>
      <c r="AG121" s="178"/>
      <c r="AH121" s="45"/>
      <c r="AI121" s="118"/>
    </row>
    <row r="122" customFormat="false" ht="17.35" hidden="false" customHeight="false" outlineLevel="0" collapsed="false">
      <c r="A122" s="123" t="s">
        <v>110</v>
      </c>
      <c r="B122" s="178" t="s">
        <v>111</v>
      </c>
      <c r="C122" s="178"/>
      <c r="D122" s="178"/>
      <c r="E122" s="178" t="s">
        <v>112</v>
      </c>
      <c r="F122" s="178"/>
      <c r="G122" s="45"/>
      <c r="H122" s="118"/>
      <c r="J122" s="123" t="s">
        <v>110</v>
      </c>
      <c r="K122" s="178" t="s">
        <v>111</v>
      </c>
      <c r="L122" s="178"/>
      <c r="M122" s="178"/>
      <c r="N122" s="178" t="s">
        <v>112</v>
      </c>
      <c r="O122" s="178"/>
      <c r="P122" s="45"/>
      <c r="Q122" s="118"/>
      <c r="S122" s="123" t="s">
        <v>110</v>
      </c>
      <c r="T122" s="178" t="s">
        <v>111</v>
      </c>
      <c r="U122" s="178"/>
      <c r="V122" s="178"/>
      <c r="W122" s="178" t="s">
        <v>112</v>
      </c>
      <c r="X122" s="178"/>
      <c r="Y122" s="45"/>
      <c r="Z122" s="118"/>
      <c r="AB122" s="123" t="s">
        <v>110</v>
      </c>
      <c r="AC122" s="178" t="s">
        <v>111</v>
      </c>
      <c r="AD122" s="178"/>
      <c r="AE122" s="178"/>
      <c r="AF122" s="178" t="s">
        <v>112</v>
      </c>
      <c r="AG122" s="178"/>
      <c r="AH122" s="45"/>
      <c r="AI122" s="118"/>
    </row>
    <row r="123" customFormat="false" ht="17.35" hidden="false" customHeight="false" outlineLevel="0" collapsed="false">
      <c r="A123" s="70" t="n">
        <f aca="false">B120+E120</f>
        <v>0</v>
      </c>
      <c r="B123" s="72" t="s">
        <v>206</v>
      </c>
      <c r="C123" s="72"/>
      <c r="D123" s="72"/>
      <c r="E123" s="72" t="n">
        <v>0</v>
      </c>
      <c r="F123" s="72"/>
      <c r="G123" s="72"/>
      <c r="H123" s="118"/>
      <c r="J123" s="70" t="n">
        <f aca="false">K120+N120</f>
        <v>1000</v>
      </c>
      <c r="K123" s="72" t="n">
        <v>239.99</v>
      </c>
      <c r="L123" s="72"/>
      <c r="M123" s="72"/>
      <c r="N123" s="72" t="n">
        <v>0</v>
      </c>
      <c r="O123" s="72"/>
      <c r="P123" s="72"/>
      <c r="Q123" s="118"/>
      <c r="S123" s="70" t="n">
        <f aca="false">T120+W120</f>
        <v>1000</v>
      </c>
      <c r="T123" s="72" t="n">
        <v>199.99</v>
      </c>
      <c r="U123" s="72"/>
      <c r="V123" s="72"/>
      <c r="W123" s="72" t="n">
        <v>0</v>
      </c>
      <c r="X123" s="72"/>
      <c r="Y123" s="72"/>
      <c r="Z123" s="118"/>
      <c r="AB123" s="70" t="n">
        <f aca="false">AC120+AF120</f>
        <v>1000</v>
      </c>
      <c r="AC123" s="72" t="n">
        <v>239.99</v>
      </c>
      <c r="AD123" s="72"/>
      <c r="AE123" s="72"/>
      <c r="AF123" s="72" t="n">
        <v>0</v>
      </c>
      <c r="AG123" s="72"/>
      <c r="AH123" s="72"/>
      <c r="AI123" s="118"/>
    </row>
    <row r="124" customFormat="false" ht="13.8" hidden="false" customHeight="false" outlineLevel="0" collapsed="false">
      <c r="A124" s="124"/>
      <c r="B124" s="45"/>
      <c r="C124" s="45"/>
      <c r="D124" s="45"/>
      <c r="E124" s="45"/>
      <c r="F124" s="45"/>
      <c r="G124" s="45"/>
      <c r="H124" s="118"/>
      <c r="J124" s="124"/>
      <c r="K124" s="45"/>
      <c r="L124" s="45"/>
      <c r="M124" s="45"/>
      <c r="N124" s="45"/>
      <c r="O124" s="45"/>
      <c r="P124" s="45"/>
      <c r="Q124" s="118"/>
      <c r="S124" s="124"/>
      <c r="T124" s="45"/>
      <c r="U124" s="45"/>
      <c r="V124" s="45"/>
      <c r="W124" s="45"/>
      <c r="X124" s="45"/>
      <c r="Y124" s="45"/>
      <c r="Z124" s="118"/>
      <c r="AB124" s="124"/>
      <c r="AC124" s="45"/>
      <c r="AD124" s="45"/>
      <c r="AE124" s="45"/>
      <c r="AF124" s="45"/>
      <c r="AG124" s="45"/>
      <c r="AH124" s="45"/>
      <c r="AI124" s="118"/>
    </row>
    <row r="125" customFormat="false" ht="13.8" hidden="false" customHeight="false" outlineLevel="0" collapsed="false">
      <c r="A125" s="124"/>
      <c r="B125" s="45"/>
      <c r="C125" s="45"/>
      <c r="D125" s="45"/>
      <c r="E125" s="45"/>
      <c r="F125" s="45"/>
      <c r="G125" s="45"/>
      <c r="H125" s="118"/>
      <c r="J125" s="124"/>
      <c r="K125" s="45"/>
      <c r="L125" s="45"/>
      <c r="M125" s="45"/>
      <c r="N125" s="45"/>
      <c r="O125" s="45"/>
      <c r="P125" s="45"/>
      <c r="Q125" s="118"/>
      <c r="S125" s="124"/>
      <c r="T125" s="45"/>
      <c r="U125" s="45"/>
      <c r="V125" s="45"/>
      <c r="W125" s="45"/>
      <c r="X125" s="45"/>
      <c r="Y125" s="45"/>
      <c r="Z125" s="118"/>
      <c r="AB125" s="124"/>
      <c r="AC125" s="45"/>
      <c r="AD125" s="45"/>
      <c r="AE125" s="45"/>
      <c r="AF125" s="45"/>
      <c r="AG125" s="45"/>
      <c r="AH125" s="45"/>
      <c r="AI125" s="118"/>
    </row>
    <row r="126" customFormat="false" ht="22.05" hidden="false" customHeight="false" outlineLevel="0" collapsed="false">
      <c r="A126" s="58" t="s">
        <v>114</v>
      </c>
      <c r="B126" s="58"/>
      <c r="C126" s="58"/>
      <c r="D126" s="58"/>
      <c r="E126" s="58"/>
      <c r="F126" s="58"/>
      <c r="G126" s="58"/>
      <c r="H126" s="58"/>
      <c r="J126" s="58" t="s">
        <v>114</v>
      </c>
      <c r="K126" s="58"/>
      <c r="L126" s="58"/>
      <c r="M126" s="58"/>
      <c r="N126" s="58"/>
      <c r="O126" s="58"/>
      <c r="P126" s="58"/>
      <c r="Q126" s="58"/>
      <c r="S126" s="58" t="s">
        <v>114</v>
      </c>
      <c r="T126" s="58"/>
      <c r="U126" s="58"/>
      <c r="V126" s="58"/>
      <c r="W126" s="58"/>
      <c r="X126" s="58"/>
      <c r="Y126" s="58"/>
      <c r="Z126" s="58"/>
      <c r="AB126" s="58" t="s">
        <v>114</v>
      </c>
      <c r="AC126" s="58"/>
      <c r="AD126" s="58"/>
      <c r="AE126" s="58"/>
      <c r="AF126" s="58"/>
      <c r="AG126" s="58"/>
      <c r="AH126" s="58"/>
      <c r="AI126" s="58"/>
    </row>
    <row r="127" customFormat="false" ht="13.8" hidden="false" customHeight="false" outlineLevel="0" collapsed="false">
      <c r="A127" s="124"/>
      <c r="B127" s="45"/>
      <c r="C127" s="45"/>
      <c r="D127" s="45"/>
      <c r="E127" s="45"/>
      <c r="F127" s="45"/>
      <c r="G127" s="45"/>
      <c r="H127" s="118"/>
      <c r="J127" s="124"/>
      <c r="K127" s="45"/>
      <c r="L127" s="45"/>
      <c r="M127" s="45"/>
      <c r="N127" s="45"/>
      <c r="O127" s="45"/>
      <c r="P127" s="45"/>
      <c r="Q127" s="118"/>
      <c r="S127" s="124"/>
      <c r="T127" s="45"/>
      <c r="U127" s="45"/>
      <c r="V127" s="45"/>
      <c r="W127" s="45"/>
      <c r="X127" s="45"/>
      <c r="Y127" s="45"/>
      <c r="Z127" s="118"/>
      <c r="AB127" s="124"/>
      <c r="AC127" s="45"/>
      <c r="AD127" s="45"/>
      <c r="AE127" s="45"/>
      <c r="AF127" s="45"/>
      <c r="AG127" s="45"/>
      <c r="AH127" s="45"/>
      <c r="AI127" s="118"/>
    </row>
    <row r="128" customFormat="false" ht="19.7" hidden="false" customHeight="false" outlineLevel="0" collapsed="false">
      <c r="A128" s="97"/>
      <c r="B128" s="125" t="s">
        <v>115</v>
      </c>
      <c r="C128" s="125"/>
      <c r="D128" s="125" t="s">
        <v>116</v>
      </c>
      <c r="E128" s="125"/>
      <c r="F128" s="125" t="s">
        <v>117</v>
      </c>
      <c r="G128" s="125"/>
      <c r="H128" s="126" t="s">
        <v>118</v>
      </c>
      <c r="J128" s="97"/>
      <c r="K128" s="125" t="s">
        <v>115</v>
      </c>
      <c r="L128" s="125"/>
      <c r="M128" s="125" t="s">
        <v>116</v>
      </c>
      <c r="N128" s="125"/>
      <c r="O128" s="125" t="s">
        <v>117</v>
      </c>
      <c r="P128" s="125"/>
      <c r="Q128" s="126" t="s">
        <v>118</v>
      </c>
      <c r="S128" s="97"/>
      <c r="T128" s="125" t="s">
        <v>115</v>
      </c>
      <c r="U128" s="125"/>
      <c r="V128" s="125" t="s">
        <v>116</v>
      </c>
      <c r="W128" s="125"/>
      <c r="X128" s="125" t="s">
        <v>117</v>
      </c>
      <c r="Y128" s="125"/>
      <c r="Z128" s="126" t="s">
        <v>118</v>
      </c>
      <c r="AB128" s="97"/>
      <c r="AC128" s="125" t="s">
        <v>115</v>
      </c>
      <c r="AD128" s="125"/>
      <c r="AE128" s="125" t="s">
        <v>116</v>
      </c>
      <c r="AF128" s="125"/>
      <c r="AG128" s="125" t="s">
        <v>117</v>
      </c>
      <c r="AH128" s="125"/>
      <c r="AI128" s="126" t="s">
        <v>118</v>
      </c>
    </row>
    <row r="129" customFormat="false" ht="19.7" hidden="false" customHeight="false" outlineLevel="0" collapsed="false">
      <c r="A129" s="99"/>
      <c r="B129" s="127" t="s">
        <v>119</v>
      </c>
      <c r="C129" s="128" t="s">
        <v>120</v>
      </c>
      <c r="D129" s="127" t="s">
        <v>119</v>
      </c>
      <c r="E129" s="129" t="s">
        <v>120</v>
      </c>
      <c r="F129" s="127" t="s">
        <v>119</v>
      </c>
      <c r="G129" s="129" t="s">
        <v>120</v>
      </c>
      <c r="H129" s="130"/>
      <c r="J129" s="99"/>
      <c r="K129" s="127" t="s">
        <v>119</v>
      </c>
      <c r="L129" s="128" t="s">
        <v>120</v>
      </c>
      <c r="M129" s="127" t="s">
        <v>119</v>
      </c>
      <c r="N129" s="129" t="s">
        <v>120</v>
      </c>
      <c r="O129" s="127" t="s">
        <v>119</v>
      </c>
      <c r="P129" s="129" t="s">
        <v>120</v>
      </c>
      <c r="Q129" s="130"/>
      <c r="S129" s="99"/>
      <c r="T129" s="127" t="s">
        <v>119</v>
      </c>
      <c r="U129" s="128" t="s">
        <v>120</v>
      </c>
      <c r="V129" s="127" t="s">
        <v>119</v>
      </c>
      <c r="W129" s="129" t="s">
        <v>120</v>
      </c>
      <c r="X129" s="127" t="s">
        <v>119</v>
      </c>
      <c r="Y129" s="129" t="s">
        <v>120</v>
      </c>
      <c r="Z129" s="130"/>
      <c r="AB129" s="99"/>
      <c r="AC129" s="127" t="s">
        <v>119</v>
      </c>
      <c r="AD129" s="128" t="s">
        <v>120</v>
      </c>
      <c r="AE129" s="127" t="s">
        <v>119</v>
      </c>
      <c r="AF129" s="129" t="s">
        <v>120</v>
      </c>
      <c r="AG129" s="127" t="s">
        <v>119</v>
      </c>
      <c r="AH129" s="129" t="s">
        <v>120</v>
      </c>
      <c r="AI129" s="130"/>
    </row>
    <row r="130" customFormat="false" ht="17.35" hidden="false" customHeight="false" outlineLevel="0" collapsed="false">
      <c r="A130" s="48" t="s">
        <v>121</v>
      </c>
      <c r="B130" s="48" t="n">
        <f aca="false">B3</f>
        <v>46854.17</v>
      </c>
      <c r="C130" s="52" t="n">
        <f aca="false">B130</f>
        <v>46854.17</v>
      </c>
      <c r="D130" s="48" t="n">
        <f aca="false">D3</f>
        <v>0</v>
      </c>
      <c r="E130" s="52" t="n">
        <f aca="false">D130</f>
        <v>0</v>
      </c>
      <c r="F130" s="48" t="n">
        <f aca="false">F3</f>
        <v>833.33</v>
      </c>
      <c r="G130" s="52" t="n">
        <f aca="false">F130</f>
        <v>833.33</v>
      </c>
      <c r="H130" s="133" t="n">
        <f aca="false">H3</f>
        <v>0</v>
      </c>
      <c r="J130" s="48" t="s">
        <v>121</v>
      </c>
      <c r="K130" s="48" t="n">
        <f aca="false">B3</f>
        <v>46854.17</v>
      </c>
      <c r="L130" s="52" t="n">
        <v>28629.17</v>
      </c>
      <c r="M130" s="48" t="n">
        <f aca="false">D3</f>
        <v>0</v>
      </c>
      <c r="N130" s="52" t="n">
        <f aca="false">M130</f>
        <v>0</v>
      </c>
      <c r="O130" s="48" t="n">
        <f aca="false">F3</f>
        <v>833.33</v>
      </c>
      <c r="P130" s="52" t="n">
        <f aca="false">O130</f>
        <v>833.33</v>
      </c>
      <c r="Q130" s="133" t="n">
        <f aca="false">H3</f>
        <v>0</v>
      </c>
      <c r="S130" s="48" t="s">
        <v>121</v>
      </c>
      <c r="T130" s="48" t="n">
        <f aca="false">B3</f>
        <v>46854.17</v>
      </c>
      <c r="U130" s="52" t="n">
        <f aca="false">T130</f>
        <v>46854.17</v>
      </c>
      <c r="V130" s="48" t="n">
        <f aca="false">D3</f>
        <v>0</v>
      </c>
      <c r="W130" s="52" t="n">
        <f aca="false">V130</f>
        <v>0</v>
      </c>
      <c r="X130" s="48" t="n">
        <f aca="false">F3</f>
        <v>833.33</v>
      </c>
      <c r="Y130" s="52" t="n">
        <f aca="false">X130</f>
        <v>833.33</v>
      </c>
      <c r="Z130" s="133" t="n">
        <f aca="false">H3</f>
        <v>0</v>
      </c>
      <c r="AB130" s="48" t="s">
        <v>121</v>
      </c>
      <c r="AC130" s="48" t="n">
        <f aca="false">B3</f>
        <v>46854.17</v>
      </c>
      <c r="AD130" s="52" t="n">
        <f aca="false">AC130</f>
        <v>46854.17</v>
      </c>
      <c r="AE130" s="48" t="n">
        <f aca="false">D3</f>
        <v>0</v>
      </c>
      <c r="AF130" s="52" t="n">
        <f aca="false">AE130</f>
        <v>0</v>
      </c>
      <c r="AG130" s="48" t="n">
        <f aca="false">F3</f>
        <v>833.33</v>
      </c>
      <c r="AH130" s="52" t="n">
        <f aca="false">AG130</f>
        <v>833.33</v>
      </c>
      <c r="AI130" s="133" t="n">
        <f aca="false">H3</f>
        <v>0</v>
      </c>
    </row>
    <row r="131" customFormat="false" ht="17.35" hidden="false" customHeight="false" outlineLevel="0" collapsed="false">
      <c r="A131" s="55" t="s">
        <v>122</v>
      </c>
      <c r="B131" s="462" t="n">
        <f aca="false">B4</f>
        <v>0</v>
      </c>
      <c r="C131" s="463" t="n">
        <f aca="false">B131</f>
        <v>0</v>
      </c>
      <c r="D131" s="462" t="n">
        <f aca="false">D4</f>
        <v>0</v>
      </c>
      <c r="E131" s="464" t="n">
        <f aca="false">D131</f>
        <v>0</v>
      </c>
      <c r="F131" s="462" t="n">
        <f aca="false">F4</f>
        <v>0</v>
      </c>
      <c r="G131" s="464" t="n">
        <f aca="false">F131</f>
        <v>0</v>
      </c>
      <c r="H131" s="447"/>
      <c r="J131" s="55" t="s">
        <v>122</v>
      </c>
      <c r="K131" s="462" t="n">
        <f aca="false">B4</f>
        <v>0</v>
      </c>
      <c r="L131" s="464" t="n">
        <v>0</v>
      </c>
      <c r="M131" s="462" t="n">
        <f aca="false">D4</f>
        <v>0</v>
      </c>
      <c r="N131" s="464" t="n">
        <f aca="false">M131</f>
        <v>0</v>
      </c>
      <c r="O131" s="462" t="n">
        <f aca="false">F4</f>
        <v>0</v>
      </c>
      <c r="P131" s="464" t="n">
        <f aca="false">O131</f>
        <v>0</v>
      </c>
      <c r="Q131" s="447"/>
      <c r="S131" s="55" t="s">
        <v>122</v>
      </c>
      <c r="T131" s="462" t="n">
        <f aca="false">B4</f>
        <v>0</v>
      </c>
      <c r="U131" s="464" t="n">
        <v>0.25</v>
      </c>
      <c r="V131" s="462" t="n">
        <f aca="false">D4</f>
        <v>0</v>
      </c>
      <c r="W131" s="464" t="n">
        <f aca="false">V131</f>
        <v>0</v>
      </c>
      <c r="X131" s="462" t="n">
        <f aca="false">F4</f>
        <v>0</v>
      </c>
      <c r="Y131" s="464" t="n">
        <f aca="false">X131</f>
        <v>0</v>
      </c>
      <c r="Z131" s="447"/>
      <c r="AB131" s="55" t="s">
        <v>122</v>
      </c>
      <c r="AC131" s="462" t="n">
        <f aca="false">B4</f>
        <v>0</v>
      </c>
      <c r="AD131" s="464" t="n">
        <v>0.25</v>
      </c>
      <c r="AE131" s="462" t="n">
        <f aca="false">D4</f>
        <v>0</v>
      </c>
      <c r="AF131" s="464" t="n">
        <f aca="false">AE131</f>
        <v>0</v>
      </c>
      <c r="AG131" s="462" t="n">
        <f aca="false">F4</f>
        <v>0</v>
      </c>
      <c r="AH131" s="464" t="n">
        <f aca="false">AG131</f>
        <v>0</v>
      </c>
      <c r="AI131" s="447"/>
    </row>
    <row r="132" customFormat="false" ht="17.35" hidden="false" customHeight="false" outlineLevel="0" collapsed="false">
      <c r="A132" s="55" t="s">
        <v>123</v>
      </c>
      <c r="B132" s="55" t="n">
        <f aca="false">B5</f>
        <v>0</v>
      </c>
      <c r="C132" s="52" t="n">
        <f aca="false">B132</f>
        <v>0</v>
      </c>
      <c r="D132" s="55" t="n">
        <f aca="false">D5</f>
        <v>0</v>
      </c>
      <c r="E132" s="52" t="n">
        <f aca="false">D132</f>
        <v>0</v>
      </c>
      <c r="F132" s="55" t="n">
        <f aca="false">F5</f>
        <v>0</v>
      </c>
      <c r="G132" s="52" t="n">
        <f aca="false">F132</f>
        <v>0</v>
      </c>
      <c r="H132" s="20"/>
      <c r="J132" s="55" t="s">
        <v>123</v>
      </c>
      <c r="K132" s="55" t="n">
        <f aca="false">B5</f>
        <v>0</v>
      </c>
      <c r="L132" s="52" t="n">
        <v>0</v>
      </c>
      <c r="M132" s="55" t="n">
        <f aca="false">D5</f>
        <v>0</v>
      </c>
      <c r="N132" s="52" t="n">
        <f aca="false">M132</f>
        <v>0</v>
      </c>
      <c r="O132" s="55" t="n">
        <f aca="false">F5</f>
        <v>0</v>
      </c>
      <c r="P132" s="52" t="n">
        <f aca="false">O132</f>
        <v>0</v>
      </c>
      <c r="Q132" s="20"/>
      <c r="S132" s="55" t="s">
        <v>123</v>
      </c>
      <c r="T132" s="55" t="n">
        <f aca="false">B5</f>
        <v>0</v>
      </c>
      <c r="U132" s="52" t="n">
        <v>0</v>
      </c>
      <c r="V132" s="55" t="n">
        <f aca="false">D5</f>
        <v>0</v>
      </c>
      <c r="W132" s="52" t="n">
        <f aca="false">V132</f>
        <v>0</v>
      </c>
      <c r="X132" s="55" t="n">
        <f aca="false">F5</f>
        <v>0</v>
      </c>
      <c r="Y132" s="52" t="n">
        <f aca="false">X132</f>
        <v>0</v>
      </c>
      <c r="Z132" s="20"/>
      <c r="AB132" s="55" t="s">
        <v>123</v>
      </c>
      <c r="AC132" s="55" t="n">
        <f aca="false">B5</f>
        <v>0</v>
      </c>
      <c r="AD132" s="52" t="n">
        <v>0</v>
      </c>
      <c r="AE132" s="55" t="n">
        <f aca="false">D5</f>
        <v>0</v>
      </c>
      <c r="AF132" s="52" t="n">
        <f aca="false">AE132</f>
        <v>0</v>
      </c>
      <c r="AG132" s="55" t="n">
        <f aca="false">F5</f>
        <v>0</v>
      </c>
      <c r="AH132" s="52" t="n">
        <f aca="false">AG132</f>
        <v>0</v>
      </c>
      <c r="AI132" s="20"/>
    </row>
    <row r="133" customFormat="false" ht="17.35" hidden="false" customHeight="false" outlineLevel="0" collapsed="false">
      <c r="A133" s="55" t="s">
        <v>124</v>
      </c>
      <c r="B133" s="55" t="n">
        <f aca="false">(B130*B131)+B132</f>
        <v>0</v>
      </c>
      <c r="C133" s="50" t="n">
        <f aca="false">(C130*C131/100)+C132</f>
        <v>0</v>
      </c>
      <c r="D133" s="55" t="n">
        <f aca="false">(D130*D131)+D132</f>
        <v>0</v>
      </c>
      <c r="E133" s="50" t="n">
        <f aca="false">(E130*E131/100)+E132</f>
        <v>0</v>
      </c>
      <c r="F133" s="55" t="n">
        <f aca="false">(F130*F131)+F132</f>
        <v>0</v>
      </c>
      <c r="G133" s="50" t="n">
        <f aca="false">(G130*G131/100)+G132</f>
        <v>0</v>
      </c>
      <c r="H133" s="20"/>
      <c r="J133" s="55" t="s">
        <v>124</v>
      </c>
      <c r="K133" s="55" t="n">
        <f aca="false">(K130*K131)+K132</f>
        <v>0</v>
      </c>
      <c r="L133" s="50" t="n">
        <f aca="false">(L130*L131)+L132</f>
        <v>0</v>
      </c>
      <c r="M133" s="55" t="n">
        <f aca="false">(M130*M131)+M132</f>
        <v>0</v>
      </c>
      <c r="N133" s="50" t="n">
        <f aca="false">(N130*N131)+N132</f>
        <v>0</v>
      </c>
      <c r="O133" s="55" t="n">
        <f aca="false">(O130*O131)+O132</f>
        <v>0</v>
      </c>
      <c r="P133" s="50" t="n">
        <f aca="false">(P130*P131)+P132</f>
        <v>0</v>
      </c>
      <c r="Q133" s="20"/>
      <c r="S133" s="55" t="s">
        <v>124</v>
      </c>
      <c r="T133" s="55" t="n">
        <f aca="false">(T130*T131)+T132</f>
        <v>0</v>
      </c>
      <c r="U133" s="50" t="n">
        <f aca="false">(U130*U131)+U132</f>
        <v>11713.5425</v>
      </c>
      <c r="V133" s="55" t="n">
        <f aca="false">(V130*V131)+V132</f>
        <v>0</v>
      </c>
      <c r="W133" s="50" t="n">
        <f aca="false">(W130*W131)+W132</f>
        <v>0</v>
      </c>
      <c r="X133" s="55" t="n">
        <f aca="false">(X130*X131)+X132</f>
        <v>0</v>
      </c>
      <c r="Y133" s="50" t="n">
        <f aca="false">(Y130*Y131)+Y132</f>
        <v>0</v>
      </c>
      <c r="Z133" s="20"/>
      <c r="AB133" s="55" t="s">
        <v>124</v>
      </c>
      <c r="AC133" s="55" t="n">
        <f aca="false">(AC130*AC131)+AC132</f>
        <v>0</v>
      </c>
      <c r="AD133" s="50" t="n">
        <f aca="false">(AD130*AD131)+AD132</f>
        <v>11713.5425</v>
      </c>
      <c r="AE133" s="55" t="n">
        <f aca="false">(AE130*AE131)+AE132</f>
        <v>0</v>
      </c>
      <c r="AF133" s="50" t="n">
        <f aca="false">(AF130*AF131)+AF132</f>
        <v>0</v>
      </c>
      <c r="AG133" s="55" t="n">
        <f aca="false">(AG130*AG131)+AG132</f>
        <v>0</v>
      </c>
      <c r="AH133" s="50" t="n">
        <f aca="false">(AH130*AH131)+AH132</f>
        <v>0</v>
      </c>
      <c r="AI133" s="20"/>
    </row>
    <row r="134" customFormat="false" ht="17.35" hidden="false" customHeight="false" outlineLevel="0" collapsed="false">
      <c r="A134" s="74" t="s">
        <v>125</v>
      </c>
      <c r="B134" s="74" t="n">
        <f aca="false">B130-B133</f>
        <v>46854.17</v>
      </c>
      <c r="C134" s="82" t="n">
        <f aca="false">C130-C133</f>
        <v>46854.17</v>
      </c>
      <c r="D134" s="74" t="n">
        <f aca="false">D130-D133</f>
        <v>0</v>
      </c>
      <c r="E134" s="82" t="n">
        <f aca="false">E130-E133</f>
        <v>0</v>
      </c>
      <c r="F134" s="74" t="n">
        <f aca="false">F130-F133</f>
        <v>833.33</v>
      </c>
      <c r="G134" s="82" t="n">
        <f aca="false">G130-G133</f>
        <v>833.33</v>
      </c>
      <c r="H134" s="82"/>
      <c r="J134" s="74" t="s">
        <v>125</v>
      </c>
      <c r="K134" s="74" t="n">
        <f aca="false">K130-K133</f>
        <v>46854.17</v>
      </c>
      <c r="L134" s="82" t="n">
        <f aca="false">L130-L133</f>
        <v>28629.17</v>
      </c>
      <c r="M134" s="74" t="n">
        <f aca="false">M130-M133</f>
        <v>0</v>
      </c>
      <c r="N134" s="82" t="n">
        <f aca="false">N130-N133</f>
        <v>0</v>
      </c>
      <c r="O134" s="74" t="n">
        <f aca="false">O130-O133</f>
        <v>833.33</v>
      </c>
      <c r="P134" s="82" t="n">
        <f aca="false">P130-P133</f>
        <v>833.33</v>
      </c>
      <c r="Q134" s="82"/>
      <c r="S134" s="74" t="s">
        <v>125</v>
      </c>
      <c r="T134" s="74" t="n">
        <f aca="false">T130-T133</f>
        <v>46854.17</v>
      </c>
      <c r="U134" s="82" t="n">
        <f aca="false">U130-U133</f>
        <v>35140.6275</v>
      </c>
      <c r="V134" s="74" t="n">
        <f aca="false">V130-V133</f>
        <v>0</v>
      </c>
      <c r="W134" s="82" t="n">
        <f aca="false">W130-W133</f>
        <v>0</v>
      </c>
      <c r="X134" s="74" t="n">
        <f aca="false">X130-X133</f>
        <v>833.33</v>
      </c>
      <c r="Y134" s="82" t="n">
        <f aca="false">Y130-Y133</f>
        <v>833.33</v>
      </c>
      <c r="Z134" s="82"/>
      <c r="AB134" s="74" t="s">
        <v>125</v>
      </c>
      <c r="AC134" s="74" t="n">
        <f aca="false">AC130-AC133</f>
        <v>46854.17</v>
      </c>
      <c r="AD134" s="82" t="n">
        <f aca="false">AD130-AD133</f>
        <v>35140.6275</v>
      </c>
      <c r="AE134" s="74" t="n">
        <f aca="false">AE130-AE133</f>
        <v>0</v>
      </c>
      <c r="AF134" s="82" t="n">
        <f aca="false">AF130-AF133</f>
        <v>0</v>
      </c>
      <c r="AG134" s="74" t="n">
        <f aca="false">AG130-AG133</f>
        <v>833.33</v>
      </c>
      <c r="AH134" s="82" t="n">
        <f aca="false">AH130-AH133</f>
        <v>833.33</v>
      </c>
      <c r="AI134" s="82"/>
    </row>
    <row r="135" customFormat="false" ht="17.35" hidden="false" customHeight="false" outlineLevel="0" collapsed="false">
      <c r="A135" s="55"/>
      <c r="B135" s="178"/>
      <c r="C135" s="178"/>
      <c r="D135" s="178"/>
      <c r="E135" s="178"/>
      <c r="F135" s="178"/>
      <c r="G135" s="178"/>
      <c r="H135" s="20"/>
      <c r="J135" s="55"/>
      <c r="K135" s="178"/>
      <c r="L135" s="178"/>
      <c r="M135" s="178"/>
      <c r="N135" s="178"/>
      <c r="O135" s="178"/>
      <c r="P135" s="178"/>
      <c r="Q135" s="20"/>
      <c r="S135" s="55"/>
      <c r="T135" s="178"/>
      <c r="U135" s="178"/>
      <c r="V135" s="178"/>
      <c r="W135" s="178"/>
      <c r="X135" s="178"/>
      <c r="Y135" s="178"/>
      <c r="Z135" s="20"/>
      <c r="AB135" s="55"/>
      <c r="AC135" s="178"/>
      <c r="AD135" s="178"/>
      <c r="AE135" s="178"/>
      <c r="AF135" s="178"/>
      <c r="AG135" s="178"/>
      <c r="AH135" s="178"/>
      <c r="AI135" s="20"/>
    </row>
    <row r="136" customFormat="false" ht="19.7" hidden="false" customHeight="false" outlineLevel="0" collapsed="false">
      <c r="A136" s="140"/>
      <c r="B136" s="465"/>
      <c r="C136" s="465"/>
      <c r="D136" s="465"/>
      <c r="E136" s="465"/>
      <c r="F136" s="465"/>
      <c r="G136" s="448" t="s">
        <v>119</v>
      </c>
      <c r="H136" s="142" t="s">
        <v>120</v>
      </c>
      <c r="J136" s="140"/>
      <c r="K136" s="465"/>
      <c r="L136" s="465"/>
      <c r="M136" s="465"/>
      <c r="N136" s="465"/>
      <c r="O136" s="465"/>
      <c r="P136" s="448" t="s">
        <v>119</v>
      </c>
      <c r="Q136" s="142" t="s">
        <v>120</v>
      </c>
      <c r="S136" s="140"/>
      <c r="T136" s="465"/>
      <c r="U136" s="465"/>
      <c r="V136" s="465"/>
      <c r="W136" s="465"/>
      <c r="X136" s="465"/>
      <c r="Y136" s="448" t="s">
        <v>119</v>
      </c>
      <c r="Z136" s="142" t="s">
        <v>120</v>
      </c>
      <c r="AB136" s="140"/>
      <c r="AC136" s="465"/>
      <c r="AD136" s="465"/>
      <c r="AE136" s="465"/>
      <c r="AF136" s="465"/>
      <c r="AG136" s="465"/>
      <c r="AH136" s="448" t="s">
        <v>119</v>
      </c>
      <c r="AI136" s="142" t="s">
        <v>120</v>
      </c>
    </row>
    <row r="137" customFormat="false" ht="17.35" hidden="false" customHeight="false" outlineLevel="0" collapsed="false">
      <c r="A137" s="143" t="s">
        <v>126</v>
      </c>
      <c r="B137" s="144"/>
      <c r="C137" s="144"/>
      <c r="D137" s="144"/>
      <c r="E137" s="144"/>
      <c r="F137" s="144"/>
      <c r="G137" s="145" t="n">
        <f aca="false">H130</f>
        <v>0</v>
      </c>
      <c r="H137" s="146" t="n">
        <f aca="false">SUM(H140:H142)</f>
        <v>0</v>
      </c>
      <c r="J137" s="143" t="s">
        <v>126</v>
      </c>
      <c r="K137" s="144"/>
      <c r="L137" s="144"/>
      <c r="M137" s="144"/>
      <c r="N137" s="144"/>
      <c r="O137" s="144"/>
      <c r="P137" s="145" t="n">
        <f aca="false">Q130</f>
        <v>0</v>
      </c>
      <c r="Q137" s="146" t="n">
        <f aca="false">SUM(Q140:Q142)</f>
        <v>0</v>
      </c>
      <c r="S137" s="143" t="s">
        <v>126</v>
      </c>
      <c r="T137" s="144"/>
      <c r="U137" s="144"/>
      <c r="V137" s="144"/>
      <c r="W137" s="144"/>
      <c r="X137" s="144"/>
      <c r="Y137" s="145" t="n">
        <f aca="false">Z130</f>
        <v>0</v>
      </c>
      <c r="Z137" s="146" t="n">
        <f aca="false">SUM(Z140:Z142)</f>
        <v>0</v>
      </c>
      <c r="AB137" s="143" t="s">
        <v>126</v>
      </c>
      <c r="AC137" s="144"/>
      <c r="AD137" s="144"/>
      <c r="AE137" s="144"/>
      <c r="AF137" s="144"/>
      <c r="AG137" s="144"/>
      <c r="AH137" s="145" t="n">
        <f aca="false">AI130</f>
        <v>0</v>
      </c>
      <c r="AI137" s="146" t="n">
        <f aca="false">SUM(AI140:AI142)</f>
        <v>0</v>
      </c>
    </row>
    <row r="138" customFormat="false" ht="17.35" hidden="false" customHeight="false" outlineLevel="0" collapsed="false">
      <c r="A138" s="55"/>
      <c r="B138" s="178"/>
      <c r="C138" s="178"/>
      <c r="D138" s="178"/>
      <c r="E138" s="178"/>
      <c r="F138" s="178"/>
      <c r="G138" s="199"/>
      <c r="H138" s="148"/>
      <c r="J138" s="55"/>
      <c r="K138" s="178"/>
      <c r="L138" s="178"/>
      <c r="M138" s="178"/>
      <c r="N138" s="178"/>
      <c r="O138" s="178"/>
      <c r="P138" s="199"/>
      <c r="Q138" s="148"/>
      <c r="S138" s="55"/>
      <c r="T138" s="178"/>
      <c r="U138" s="178"/>
      <c r="V138" s="178"/>
      <c r="W138" s="178"/>
      <c r="X138" s="178"/>
      <c r="Y138" s="199"/>
      <c r="Z138" s="148"/>
      <c r="AB138" s="55"/>
      <c r="AC138" s="178"/>
      <c r="AD138" s="178"/>
      <c r="AE138" s="178"/>
      <c r="AF138" s="178"/>
      <c r="AG138" s="178"/>
      <c r="AH138" s="199"/>
      <c r="AI138" s="148"/>
    </row>
    <row r="139" customFormat="false" ht="17.35" hidden="false" customHeight="false" outlineLevel="0" collapsed="false">
      <c r="A139" s="149" t="s">
        <v>127</v>
      </c>
      <c r="B139" s="147" t="s">
        <v>128</v>
      </c>
      <c r="C139" s="147"/>
      <c r="D139" s="147" t="s">
        <v>129</v>
      </c>
      <c r="E139" s="147"/>
      <c r="F139" s="147" t="s">
        <v>123</v>
      </c>
      <c r="G139" s="147"/>
      <c r="H139" s="148" t="s">
        <v>120</v>
      </c>
      <c r="J139" s="149" t="s">
        <v>127</v>
      </c>
      <c r="K139" s="466" t="s">
        <v>128</v>
      </c>
      <c r="L139" s="466"/>
      <c r="M139" s="147" t="s">
        <v>129</v>
      </c>
      <c r="N139" s="147"/>
      <c r="O139" s="147" t="s">
        <v>123</v>
      </c>
      <c r="P139" s="147"/>
      <c r="Q139" s="148" t="s">
        <v>120</v>
      </c>
      <c r="S139" s="149" t="s">
        <v>127</v>
      </c>
      <c r="T139" s="147" t="s">
        <v>128</v>
      </c>
      <c r="U139" s="147"/>
      <c r="V139" s="147" t="s">
        <v>129</v>
      </c>
      <c r="W139" s="147"/>
      <c r="X139" s="147" t="s">
        <v>123</v>
      </c>
      <c r="Y139" s="147"/>
      <c r="Z139" s="148" t="s">
        <v>120</v>
      </c>
      <c r="AB139" s="149" t="s">
        <v>127</v>
      </c>
      <c r="AC139" s="147" t="s">
        <v>128</v>
      </c>
      <c r="AD139" s="147"/>
      <c r="AE139" s="147" t="s">
        <v>129</v>
      </c>
      <c r="AF139" s="147"/>
      <c r="AG139" s="147" t="s">
        <v>123</v>
      </c>
      <c r="AH139" s="147"/>
      <c r="AI139" s="148" t="s">
        <v>120</v>
      </c>
    </row>
    <row r="140" customFormat="false" ht="17.35" hidden="false" customHeight="false" outlineLevel="0" collapsed="false">
      <c r="A140" s="55" t="s">
        <v>130</v>
      </c>
      <c r="B140" s="150" t="n">
        <f aca="false">G137</f>
        <v>0</v>
      </c>
      <c r="C140" s="150"/>
      <c r="D140" s="151" t="n">
        <v>0</v>
      </c>
      <c r="E140" s="151"/>
      <c r="F140" s="150" t="n">
        <v>0</v>
      </c>
      <c r="G140" s="150"/>
      <c r="H140" s="152" t="n">
        <f aca="false">(B140-(B140*D140))-F140</f>
        <v>0</v>
      </c>
      <c r="J140" s="55" t="s">
        <v>130</v>
      </c>
      <c r="K140" s="150" t="n">
        <f aca="false">P137</f>
        <v>0</v>
      </c>
      <c r="L140" s="150"/>
      <c r="M140" s="151" t="n">
        <v>0</v>
      </c>
      <c r="N140" s="151"/>
      <c r="O140" s="150" t="n">
        <v>0</v>
      </c>
      <c r="P140" s="150"/>
      <c r="Q140" s="152" t="n">
        <f aca="false">(K140-(K140*M140))-O140</f>
        <v>0</v>
      </c>
      <c r="S140" s="55" t="s">
        <v>130</v>
      </c>
      <c r="T140" s="150" t="n">
        <f aca="false">Y137</f>
        <v>0</v>
      </c>
      <c r="U140" s="150"/>
      <c r="V140" s="151" t="n">
        <v>0</v>
      </c>
      <c r="W140" s="151"/>
      <c r="X140" s="150" t="n">
        <v>0</v>
      </c>
      <c r="Y140" s="150"/>
      <c r="Z140" s="152" t="n">
        <f aca="false">(T140-(T140*V140))-X140</f>
        <v>0</v>
      </c>
      <c r="AB140" s="55" t="s">
        <v>130</v>
      </c>
      <c r="AC140" s="150" t="n">
        <f aca="false">AH137</f>
        <v>0</v>
      </c>
      <c r="AD140" s="150"/>
      <c r="AE140" s="151" t="n">
        <v>0</v>
      </c>
      <c r="AF140" s="151"/>
      <c r="AG140" s="150" t="n">
        <v>0</v>
      </c>
      <c r="AH140" s="150"/>
      <c r="AI140" s="152" t="n">
        <f aca="false">(AC140-(AC140*AE140))-AG140</f>
        <v>0</v>
      </c>
    </row>
    <row r="141" customFormat="false" ht="17.35" hidden="false" customHeight="false" outlineLevel="0" collapsed="false">
      <c r="A141" s="55" t="s">
        <v>131</v>
      </c>
      <c r="B141" s="150" t="n">
        <v>0</v>
      </c>
      <c r="C141" s="150"/>
      <c r="D141" s="151" t="n">
        <v>0</v>
      </c>
      <c r="E141" s="151"/>
      <c r="F141" s="150" t="n">
        <v>0</v>
      </c>
      <c r="G141" s="150"/>
      <c r="H141" s="152" t="n">
        <f aca="false">(B141-(B141*D141))-F141</f>
        <v>0</v>
      </c>
      <c r="J141" s="55" t="s">
        <v>131</v>
      </c>
      <c r="K141" s="150" t="n">
        <v>0</v>
      </c>
      <c r="L141" s="150"/>
      <c r="M141" s="151" t="n">
        <v>0</v>
      </c>
      <c r="N141" s="151"/>
      <c r="O141" s="150" t="n">
        <v>0</v>
      </c>
      <c r="P141" s="150"/>
      <c r="Q141" s="152" t="n">
        <f aca="false">(K141-(K141*M141))-O141</f>
        <v>0</v>
      </c>
      <c r="S141" s="55" t="s">
        <v>131</v>
      </c>
      <c r="T141" s="150" t="n">
        <v>0</v>
      </c>
      <c r="U141" s="150"/>
      <c r="V141" s="151" t="n">
        <v>0</v>
      </c>
      <c r="W141" s="151"/>
      <c r="X141" s="150" t="n">
        <v>0</v>
      </c>
      <c r="Y141" s="150"/>
      <c r="Z141" s="152" t="n">
        <f aca="false">(T141-(T141*V141))-X141</f>
        <v>0</v>
      </c>
      <c r="AB141" s="55" t="s">
        <v>131</v>
      </c>
      <c r="AC141" s="150" t="n">
        <v>0</v>
      </c>
      <c r="AD141" s="150"/>
      <c r="AE141" s="151" t="n">
        <v>0</v>
      </c>
      <c r="AF141" s="151"/>
      <c r="AG141" s="150" t="n">
        <v>0</v>
      </c>
      <c r="AH141" s="150"/>
      <c r="AI141" s="152" t="n">
        <f aca="false">(AC141-(AC141*AE141))-AG141</f>
        <v>0</v>
      </c>
    </row>
    <row r="142" customFormat="false" ht="17.35" hidden="false" customHeight="false" outlineLevel="0" collapsed="false">
      <c r="A142" s="55" t="s">
        <v>132</v>
      </c>
      <c r="B142" s="150" t="n">
        <v>0</v>
      </c>
      <c r="C142" s="150"/>
      <c r="D142" s="151" t="n">
        <v>0</v>
      </c>
      <c r="E142" s="151"/>
      <c r="F142" s="150" t="n">
        <v>0</v>
      </c>
      <c r="G142" s="150"/>
      <c r="H142" s="152" t="n">
        <f aca="false">(B142-(B142*D142))-F142</f>
        <v>0</v>
      </c>
      <c r="J142" s="55" t="s">
        <v>132</v>
      </c>
      <c r="K142" s="150" t="n">
        <v>0</v>
      </c>
      <c r="L142" s="150"/>
      <c r="M142" s="151" t="n">
        <v>0</v>
      </c>
      <c r="N142" s="151"/>
      <c r="O142" s="150" t="n">
        <v>0</v>
      </c>
      <c r="P142" s="150"/>
      <c r="Q142" s="152" t="n">
        <f aca="false">(K142-(K142*M142))-O142</f>
        <v>0</v>
      </c>
      <c r="S142" s="55" t="s">
        <v>132</v>
      </c>
      <c r="T142" s="150" t="n">
        <v>0</v>
      </c>
      <c r="U142" s="150"/>
      <c r="V142" s="151" t="n">
        <v>0</v>
      </c>
      <c r="W142" s="151"/>
      <c r="X142" s="150" t="n">
        <v>0</v>
      </c>
      <c r="Y142" s="150"/>
      <c r="Z142" s="152" t="n">
        <f aca="false">(T142-(T142*V142))-X142</f>
        <v>0</v>
      </c>
      <c r="AB142" s="55" t="s">
        <v>132</v>
      </c>
      <c r="AC142" s="150" t="n">
        <v>0</v>
      </c>
      <c r="AD142" s="150"/>
      <c r="AE142" s="151" t="n">
        <v>0</v>
      </c>
      <c r="AF142" s="151"/>
      <c r="AG142" s="150" t="n">
        <v>0</v>
      </c>
      <c r="AH142" s="150"/>
      <c r="AI142" s="152" t="n">
        <f aca="false">(AC142-(AC142*AE142))-AG142</f>
        <v>0</v>
      </c>
    </row>
    <row r="143" customFormat="false" ht="17.35" hidden="false" customHeight="false" outlineLevel="0" collapsed="false">
      <c r="A143" s="55"/>
      <c r="B143" s="178"/>
      <c r="C143" s="178"/>
      <c r="D143" s="178"/>
      <c r="E143" s="178"/>
      <c r="F143" s="178"/>
      <c r="G143" s="199"/>
      <c r="H143" s="148"/>
      <c r="J143" s="55"/>
      <c r="K143" s="178"/>
      <c r="L143" s="178"/>
      <c r="M143" s="178"/>
      <c r="N143" s="178"/>
      <c r="O143" s="178"/>
      <c r="P143" s="199"/>
      <c r="Q143" s="148"/>
      <c r="S143" s="55"/>
      <c r="T143" s="178"/>
      <c r="U143" s="178"/>
      <c r="V143" s="178"/>
      <c r="W143" s="178"/>
      <c r="X143" s="178"/>
      <c r="Y143" s="199"/>
      <c r="Z143" s="148"/>
      <c r="AB143" s="55"/>
      <c r="AC143" s="178"/>
      <c r="AD143" s="178"/>
      <c r="AE143" s="178"/>
      <c r="AF143" s="178"/>
      <c r="AG143" s="178"/>
      <c r="AH143" s="199"/>
      <c r="AI143" s="148"/>
    </row>
    <row r="144" customFormat="false" ht="19.7" hidden="false" customHeight="false" outlineLevel="0" collapsed="false">
      <c r="A144" s="153" t="s">
        <v>133</v>
      </c>
      <c r="B144" s="153"/>
      <c r="C144" s="153"/>
      <c r="D144" s="153"/>
      <c r="E144" s="153"/>
      <c r="F144" s="153"/>
      <c r="G144" s="448" t="n">
        <f aca="false">H9</f>
        <v>47687.5</v>
      </c>
      <c r="H144" s="154" t="n">
        <f aca="false">C134+E134+G134+H137</f>
        <v>47687.5</v>
      </c>
      <c r="J144" s="153" t="s">
        <v>133</v>
      </c>
      <c r="K144" s="153"/>
      <c r="L144" s="153"/>
      <c r="M144" s="153"/>
      <c r="N144" s="153"/>
      <c r="O144" s="153"/>
      <c r="P144" s="448" t="n">
        <f aca="false">H9</f>
        <v>47687.5</v>
      </c>
      <c r="Q144" s="154" t="n">
        <f aca="false">L134+N134+P134+Q137</f>
        <v>29462.5</v>
      </c>
      <c r="S144" s="153" t="s">
        <v>133</v>
      </c>
      <c r="T144" s="153"/>
      <c r="U144" s="153"/>
      <c r="V144" s="153"/>
      <c r="W144" s="153"/>
      <c r="X144" s="153"/>
      <c r="Y144" s="448" t="n">
        <f aca="false">H9</f>
        <v>47687.5</v>
      </c>
      <c r="Z144" s="154" t="n">
        <f aca="false">U134+W134+Y134+Z137</f>
        <v>35973.9575</v>
      </c>
      <c r="AB144" s="153" t="s">
        <v>133</v>
      </c>
      <c r="AC144" s="153"/>
      <c r="AD144" s="153"/>
      <c r="AE144" s="153"/>
      <c r="AF144" s="153"/>
      <c r="AG144" s="153"/>
      <c r="AH144" s="448" t="n">
        <f aca="false">H9</f>
        <v>47687.5</v>
      </c>
      <c r="AI144" s="154" t="n">
        <f aca="false">AD134+AF134+AH134+AI137</f>
        <v>35973.9575</v>
      </c>
    </row>
    <row r="145" customFormat="false" ht="17.35" hidden="false" customHeight="false" outlineLevel="0" collapsed="false">
      <c r="A145" s="155" t="s">
        <v>134</v>
      </c>
      <c r="B145" s="155"/>
      <c r="C145" s="155"/>
      <c r="D145" s="155"/>
      <c r="E145" s="155"/>
      <c r="F145" s="155"/>
      <c r="G145" s="204" t="n">
        <f aca="false">H10</f>
        <v>550</v>
      </c>
      <c r="H145" s="20" t="n">
        <f aca="false">G145</f>
        <v>550</v>
      </c>
      <c r="J145" s="155" t="s">
        <v>134</v>
      </c>
      <c r="K145" s="155"/>
      <c r="L145" s="155"/>
      <c r="M145" s="155"/>
      <c r="N145" s="155"/>
      <c r="O145" s="155"/>
      <c r="P145" s="204" t="n">
        <f aca="false">H10</f>
        <v>550</v>
      </c>
      <c r="Q145" s="20" t="n">
        <f aca="false">P145</f>
        <v>550</v>
      </c>
      <c r="S145" s="155" t="s">
        <v>134</v>
      </c>
      <c r="T145" s="155"/>
      <c r="U145" s="155"/>
      <c r="V145" s="155"/>
      <c r="W145" s="155"/>
      <c r="X145" s="155"/>
      <c r="Y145" s="204" t="n">
        <f aca="false">H10</f>
        <v>550</v>
      </c>
      <c r="Z145" s="20" t="n">
        <f aca="false">Y145</f>
        <v>550</v>
      </c>
      <c r="AB145" s="155" t="s">
        <v>134</v>
      </c>
      <c r="AC145" s="155"/>
      <c r="AD145" s="155"/>
      <c r="AE145" s="155"/>
      <c r="AF145" s="155"/>
      <c r="AG145" s="155"/>
      <c r="AH145" s="204" t="n">
        <f aca="false">H10</f>
        <v>550</v>
      </c>
      <c r="AI145" s="20" t="n">
        <f aca="false">AH145</f>
        <v>550</v>
      </c>
    </row>
    <row r="146" customFormat="false" ht="17.35" hidden="false" customHeight="false" outlineLevel="0" collapsed="false">
      <c r="A146" s="155" t="s">
        <v>135</v>
      </c>
      <c r="B146" s="155"/>
      <c r="C146" s="155"/>
      <c r="D146" s="155"/>
      <c r="E146" s="155"/>
      <c r="F146" s="155"/>
      <c r="G146" s="204" t="n">
        <f aca="false">H11</f>
        <v>9647.5</v>
      </c>
      <c r="H146" s="20" t="n">
        <f aca="false">(H144+H145)*20%</f>
        <v>9647.5</v>
      </c>
      <c r="J146" s="155" t="s">
        <v>135</v>
      </c>
      <c r="K146" s="155"/>
      <c r="L146" s="155"/>
      <c r="M146" s="155"/>
      <c r="N146" s="155"/>
      <c r="O146" s="155"/>
      <c r="P146" s="204" t="n">
        <f aca="false">H11</f>
        <v>9647.5</v>
      </c>
      <c r="Q146" s="20" t="n">
        <f aca="false">(Q144+Q145)*20%</f>
        <v>6002.5</v>
      </c>
      <c r="S146" s="155" t="s">
        <v>135</v>
      </c>
      <c r="T146" s="155"/>
      <c r="U146" s="155"/>
      <c r="V146" s="155"/>
      <c r="W146" s="155"/>
      <c r="X146" s="155"/>
      <c r="Y146" s="204" t="n">
        <f aca="false">H11</f>
        <v>9647.5</v>
      </c>
      <c r="Z146" s="20" t="n">
        <f aca="false">(Z144+Z145)*20%</f>
        <v>7304.7915</v>
      </c>
      <c r="AB146" s="155" t="s">
        <v>135</v>
      </c>
      <c r="AC146" s="155"/>
      <c r="AD146" s="155"/>
      <c r="AE146" s="155"/>
      <c r="AF146" s="155"/>
      <c r="AG146" s="155"/>
      <c r="AH146" s="204" t="n">
        <f aca="false">H11</f>
        <v>9647.5</v>
      </c>
      <c r="AI146" s="20" t="n">
        <f aca="false">(AI144+AI145)*20%</f>
        <v>7304.7915</v>
      </c>
    </row>
    <row r="147" customFormat="false" ht="17.35" hidden="false" customHeight="false" outlineLevel="0" collapsed="false">
      <c r="A147" s="155" t="s">
        <v>136</v>
      </c>
      <c r="B147" s="155"/>
      <c r="C147" s="155"/>
      <c r="D147" s="155"/>
      <c r="E147" s="155"/>
      <c r="F147" s="155"/>
      <c r="G147" s="204" t="n">
        <f aca="false">H12</f>
        <v>0</v>
      </c>
      <c r="H147" s="20" t="n">
        <v>0</v>
      </c>
      <c r="J147" s="155" t="s">
        <v>136</v>
      </c>
      <c r="K147" s="155"/>
      <c r="L147" s="155"/>
      <c r="M147" s="155"/>
      <c r="N147" s="155"/>
      <c r="O147" s="155"/>
      <c r="P147" s="204" t="n">
        <f aca="false">H12</f>
        <v>0</v>
      </c>
      <c r="Q147" s="20" t="n">
        <f aca="false">P147</f>
        <v>0</v>
      </c>
      <c r="S147" s="155" t="s">
        <v>136</v>
      </c>
      <c r="T147" s="155"/>
      <c r="U147" s="155"/>
      <c r="V147" s="155"/>
      <c r="W147" s="155"/>
      <c r="X147" s="155"/>
      <c r="Y147" s="204" t="n">
        <f aca="false">H12</f>
        <v>0</v>
      </c>
      <c r="Z147" s="20" t="n">
        <f aca="false">Y147</f>
        <v>0</v>
      </c>
      <c r="AB147" s="155" t="s">
        <v>136</v>
      </c>
      <c r="AC147" s="155"/>
      <c r="AD147" s="155"/>
      <c r="AE147" s="155"/>
      <c r="AF147" s="155"/>
      <c r="AG147" s="155"/>
      <c r="AH147" s="204" t="n">
        <f aca="false">H12</f>
        <v>0</v>
      </c>
      <c r="AI147" s="20" t="n">
        <f aca="false">AH147</f>
        <v>0</v>
      </c>
    </row>
    <row r="148" customFormat="false" ht="17.35" hidden="false" customHeight="false" outlineLevel="0" collapsed="false">
      <c r="A148" s="155" t="s">
        <v>137</v>
      </c>
      <c r="B148" s="155"/>
      <c r="C148" s="155"/>
      <c r="D148" s="155"/>
      <c r="E148" s="155"/>
      <c r="F148" s="155"/>
      <c r="G148" s="204" t="n">
        <f aca="false">H13</f>
        <v>585</v>
      </c>
      <c r="H148" s="20" t="n">
        <f aca="false">G148</f>
        <v>585</v>
      </c>
      <c r="J148" s="155" t="s">
        <v>137</v>
      </c>
      <c r="K148" s="155"/>
      <c r="L148" s="155"/>
      <c r="M148" s="155"/>
      <c r="N148" s="155"/>
      <c r="O148" s="155"/>
      <c r="P148" s="204" t="n">
        <f aca="false">H13</f>
        <v>585</v>
      </c>
      <c r="Q148" s="20" t="n">
        <f aca="false">P148</f>
        <v>585</v>
      </c>
      <c r="S148" s="155" t="s">
        <v>137</v>
      </c>
      <c r="T148" s="155"/>
      <c r="U148" s="155"/>
      <c r="V148" s="155"/>
      <c r="W148" s="155"/>
      <c r="X148" s="155"/>
      <c r="Y148" s="204" t="n">
        <f aca="false">H13</f>
        <v>585</v>
      </c>
      <c r="Z148" s="20" t="n">
        <f aca="false">Y148</f>
        <v>585</v>
      </c>
      <c r="AB148" s="155" t="s">
        <v>137</v>
      </c>
      <c r="AC148" s="155"/>
      <c r="AD148" s="155"/>
      <c r="AE148" s="155"/>
      <c r="AF148" s="155"/>
      <c r="AG148" s="155"/>
      <c r="AH148" s="204" t="n">
        <f aca="false">H13</f>
        <v>585</v>
      </c>
      <c r="AI148" s="20" t="n">
        <f aca="false">AH148</f>
        <v>585</v>
      </c>
    </row>
    <row r="149" customFormat="false" ht="17.35" hidden="false" customHeight="false" outlineLevel="0" collapsed="false">
      <c r="A149" s="155" t="s">
        <v>138</v>
      </c>
      <c r="B149" s="155"/>
      <c r="C149" s="155"/>
      <c r="D149" s="155"/>
      <c r="E149" s="155"/>
      <c r="F149" s="155"/>
      <c r="G149" s="204" t="n">
        <f aca="false">H14</f>
        <v>55</v>
      </c>
      <c r="H149" s="20" t="n">
        <v>55</v>
      </c>
      <c r="J149" s="155" t="s">
        <v>138</v>
      </c>
      <c r="K149" s="155"/>
      <c r="L149" s="155"/>
      <c r="M149" s="155"/>
      <c r="N149" s="155"/>
      <c r="O149" s="155"/>
      <c r="P149" s="204" t="n">
        <f aca="false">H14</f>
        <v>55</v>
      </c>
      <c r="Q149" s="20" t="n">
        <v>55</v>
      </c>
      <c r="S149" s="155" t="s">
        <v>138</v>
      </c>
      <c r="T149" s="155"/>
      <c r="U149" s="155"/>
      <c r="V149" s="155"/>
      <c r="W149" s="155"/>
      <c r="X149" s="155"/>
      <c r="Y149" s="204" t="n">
        <f aca="false">H14</f>
        <v>55</v>
      </c>
      <c r="Z149" s="20" t="n">
        <v>55</v>
      </c>
      <c r="AB149" s="155" t="s">
        <v>138</v>
      </c>
      <c r="AC149" s="155"/>
      <c r="AD149" s="155"/>
      <c r="AE149" s="155"/>
      <c r="AF149" s="155"/>
      <c r="AG149" s="155"/>
      <c r="AH149" s="204" t="n">
        <f aca="false">H14</f>
        <v>55</v>
      </c>
      <c r="AI149" s="20" t="n">
        <v>55</v>
      </c>
    </row>
    <row r="150" customFormat="false" ht="19.7" hidden="false" customHeight="false" outlineLevel="0" collapsed="false">
      <c r="A150" s="155" t="s">
        <v>139</v>
      </c>
      <c r="B150" s="155"/>
      <c r="C150" s="155"/>
      <c r="D150" s="155"/>
      <c r="E150" s="155"/>
      <c r="F150" s="155"/>
      <c r="G150" s="467" t="n">
        <f aca="false">H15</f>
        <v>58525</v>
      </c>
      <c r="H150" s="156" t="n">
        <f aca="false">(H144+H145+H148+H149+H146)-H147</f>
        <v>58525</v>
      </c>
      <c r="J150" s="155" t="s">
        <v>139</v>
      </c>
      <c r="K150" s="155"/>
      <c r="L150" s="155"/>
      <c r="M150" s="155"/>
      <c r="N150" s="155"/>
      <c r="O150" s="155"/>
      <c r="P150" s="467" t="n">
        <f aca="false">H15</f>
        <v>58525</v>
      </c>
      <c r="Q150" s="156" t="n">
        <f aca="false">(Q144+Q145+Q148+Q149+Q146)-Q147</f>
        <v>36655</v>
      </c>
      <c r="S150" s="155" t="s">
        <v>139</v>
      </c>
      <c r="T150" s="155"/>
      <c r="U150" s="155"/>
      <c r="V150" s="155"/>
      <c r="W150" s="155"/>
      <c r="X150" s="155"/>
      <c r="Y150" s="467" t="n">
        <f aca="false">H15</f>
        <v>58525</v>
      </c>
      <c r="Z150" s="156" t="n">
        <f aca="false">(Z144+Z145+Z148+Z149+Z146)-Z147</f>
        <v>44468.749</v>
      </c>
      <c r="AB150" s="155" t="s">
        <v>139</v>
      </c>
      <c r="AC150" s="155"/>
      <c r="AD150" s="155"/>
      <c r="AE150" s="155"/>
      <c r="AF150" s="155"/>
      <c r="AG150" s="155"/>
      <c r="AH150" s="467" t="n">
        <f aca="false">H15</f>
        <v>58525</v>
      </c>
      <c r="AI150" s="156" t="n">
        <f aca="false">(AI144+AI145+AI148+AI149+AI146)-AI147</f>
        <v>44468.749</v>
      </c>
    </row>
    <row r="151" customFormat="false" ht="17.35" hidden="false" customHeight="false" outlineLevel="0" collapsed="false">
      <c r="A151" s="155" t="s">
        <v>140</v>
      </c>
      <c r="B151" s="155"/>
      <c r="C151" s="155"/>
      <c r="D151" s="155"/>
      <c r="E151" s="155"/>
      <c r="F151" s="155"/>
      <c r="G151" s="204" t="n">
        <f aca="false">H16</f>
        <v>0</v>
      </c>
      <c r="H151" s="52" t="n">
        <f aca="false">G151</f>
        <v>0</v>
      </c>
      <c r="J151" s="155" t="s">
        <v>140</v>
      </c>
      <c r="K151" s="155"/>
      <c r="L151" s="155"/>
      <c r="M151" s="155"/>
      <c r="N151" s="155"/>
      <c r="O151" s="155"/>
      <c r="P151" s="204" t="n">
        <f aca="false">H16</f>
        <v>0</v>
      </c>
      <c r="Q151" s="52" t="n">
        <f aca="false">P151</f>
        <v>0</v>
      </c>
      <c r="S151" s="155" t="s">
        <v>140</v>
      </c>
      <c r="T151" s="155"/>
      <c r="U151" s="155"/>
      <c r="V151" s="155"/>
      <c r="W151" s="155"/>
      <c r="X151" s="155"/>
      <c r="Y151" s="204" t="n">
        <f aca="false">H16</f>
        <v>0</v>
      </c>
      <c r="Z151" s="52" t="n">
        <f aca="false">Y151</f>
        <v>0</v>
      </c>
      <c r="AB151" s="155" t="s">
        <v>140</v>
      </c>
      <c r="AC151" s="155"/>
      <c r="AD151" s="155"/>
      <c r="AE151" s="155"/>
      <c r="AF151" s="155"/>
      <c r="AG151" s="155"/>
      <c r="AH151" s="204" t="n">
        <f aca="false">H16</f>
        <v>0</v>
      </c>
      <c r="AI151" s="52" t="n">
        <f aca="false">AH151</f>
        <v>0</v>
      </c>
    </row>
    <row r="152" customFormat="false" ht="17.35" hidden="false" customHeight="false" outlineLevel="0" collapsed="false">
      <c r="A152" s="70" t="s">
        <v>141</v>
      </c>
      <c r="B152" s="70"/>
      <c r="C152" s="70"/>
      <c r="D152" s="70"/>
      <c r="E152" s="70" t="n">
        <v>0</v>
      </c>
      <c r="F152" s="70"/>
      <c r="G152" s="201" t="n">
        <v>0</v>
      </c>
      <c r="H152" s="20"/>
      <c r="J152" s="468" t="s">
        <v>141</v>
      </c>
      <c r="K152" s="468"/>
      <c r="L152" s="468"/>
      <c r="M152" s="468"/>
      <c r="N152" s="468"/>
      <c r="O152" s="468"/>
      <c r="P152" s="201"/>
      <c r="Q152" s="20"/>
      <c r="S152" s="70" t="s">
        <v>141</v>
      </c>
      <c r="T152" s="70"/>
      <c r="U152" s="70"/>
      <c r="V152" s="70"/>
      <c r="W152" s="70"/>
      <c r="X152" s="70"/>
      <c r="Y152" s="201"/>
      <c r="Z152" s="20"/>
      <c r="AB152" s="70" t="s">
        <v>141</v>
      </c>
      <c r="AC152" s="70"/>
      <c r="AD152" s="70"/>
      <c r="AE152" s="70"/>
      <c r="AF152" s="70"/>
      <c r="AG152" s="70"/>
      <c r="AH152" s="201"/>
      <c r="AI152" s="20"/>
    </row>
    <row r="153" customFormat="false" ht="17.35" hidden="false" customHeight="false" outlineLevel="0" collapsed="false">
      <c r="A153" s="158" t="s">
        <v>15</v>
      </c>
      <c r="B153" s="159" t="s">
        <v>142</v>
      </c>
      <c r="C153" s="159"/>
      <c r="D153" s="159"/>
      <c r="E153" s="159"/>
      <c r="F153" s="159"/>
      <c r="G153" s="204" t="n">
        <f aca="false">H18</f>
        <v>0</v>
      </c>
      <c r="H153" s="52" t="n">
        <f aca="false">G153</f>
        <v>0</v>
      </c>
      <c r="J153" s="158" t="s">
        <v>15</v>
      </c>
      <c r="K153" s="159" t="s">
        <v>142</v>
      </c>
      <c r="L153" s="159"/>
      <c r="M153" s="159"/>
      <c r="N153" s="159"/>
      <c r="O153" s="159"/>
      <c r="P153" s="204" t="n">
        <f aca="false">H18</f>
        <v>0</v>
      </c>
      <c r="Q153" s="52" t="n">
        <f aca="false">P153</f>
        <v>0</v>
      </c>
      <c r="S153" s="158" t="s">
        <v>15</v>
      </c>
      <c r="T153" s="159" t="s">
        <v>142</v>
      </c>
      <c r="U153" s="159"/>
      <c r="V153" s="159"/>
      <c r="W153" s="159"/>
      <c r="X153" s="159"/>
      <c r="Y153" s="204" t="n">
        <f aca="false">H18</f>
        <v>0</v>
      </c>
      <c r="Z153" s="52" t="n">
        <f aca="false">Y153</f>
        <v>0</v>
      </c>
      <c r="AB153" s="158" t="s">
        <v>15</v>
      </c>
      <c r="AC153" s="159" t="s">
        <v>142</v>
      </c>
      <c r="AD153" s="159"/>
      <c r="AE153" s="159"/>
      <c r="AF153" s="159"/>
      <c r="AG153" s="159"/>
      <c r="AH153" s="204" t="n">
        <f aca="false">H18</f>
        <v>0</v>
      </c>
      <c r="AI153" s="52" t="n">
        <f aca="false">AH153</f>
        <v>0</v>
      </c>
    </row>
    <row r="154" customFormat="false" ht="17.35" hidden="false" customHeight="false" outlineLevel="0" collapsed="false">
      <c r="A154" s="158" t="s">
        <v>17</v>
      </c>
      <c r="B154" s="159" t="s">
        <v>142</v>
      </c>
      <c r="C154" s="159"/>
      <c r="D154" s="159"/>
      <c r="E154" s="159"/>
      <c r="F154" s="159"/>
      <c r="G154" s="204" t="n">
        <f aca="false">H19</f>
        <v>0</v>
      </c>
      <c r="H154" s="52" t="n">
        <v>0</v>
      </c>
      <c r="I154" s="1" t="n">
        <f aca="false">(G151+G154+G155+G153)</f>
        <v>0</v>
      </c>
      <c r="J154" s="158" t="s">
        <v>17</v>
      </c>
      <c r="K154" s="159" t="s">
        <v>142</v>
      </c>
      <c r="L154" s="159"/>
      <c r="M154" s="159"/>
      <c r="N154" s="159"/>
      <c r="O154" s="159"/>
      <c r="P154" s="204" t="n">
        <f aca="false">H19</f>
        <v>0</v>
      </c>
      <c r="Q154" s="52" t="n">
        <f aca="false">P154</f>
        <v>0</v>
      </c>
      <c r="S154" s="158" t="s">
        <v>17</v>
      </c>
      <c r="T154" s="159" t="s">
        <v>142</v>
      </c>
      <c r="U154" s="159"/>
      <c r="V154" s="159"/>
      <c r="W154" s="159"/>
      <c r="X154" s="159"/>
      <c r="Y154" s="204" t="n">
        <f aca="false">H19</f>
        <v>0</v>
      </c>
      <c r="Z154" s="52" t="n">
        <f aca="false">Y154</f>
        <v>0</v>
      </c>
      <c r="AB154" s="158" t="s">
        <v>17</v>
      </c>
      <c r="AC154" s="159" t="s">
        <v>142</v>
      </c>
      <c r="AD154" s="159"/>
      <c r="AE154" s="159"/>
      <c r="AF154" s="159"/>
      <c r="AG154" s="159"/>
      <c r="AH154" s="204" t="n">
        <f aca="false">H19</f>
        <v>0</v>
      </c>
      <c r="AI154" s="52" t="n">
        <f aca="false">AH154</f>
        <v>0</v>
      </c>
    </row>
    <row r="155" customFormat="false" ht="17.35" hidden="false" customHeight="false" outlineLevel="0" collapsed="false">
      <c r="A155" s="160" t="s">
        <v>18</v>
      </c>
      <c r="B155" s="161" t="s">
        <v>142</v>
      </c>
      <c r="C155" s="161"/>
      <c r="D155" s="161"/>
      <c r="E155" s="161"/>
      <c r="F155" s="161"/>
      <c r="G155" s="204" t="n">
        <f aca="false">H20</f>
        <v>0</v>
      </c>
      <c r="H155" s="52" t="n">
        <v>0</v>
      </c>
      <c r="I155" s="1" t="n">
        <f aca="false">(H151+H153+H154+H155)</f>
        <v>0</v>
      </c>
      <c r="J155" s="160" t="s">
        <v>18</v>
      </c>
      <c r="K155" s="161" t="s">
        <v>142</v>
      </c>
      <c r="L155" s="161"/>
      <c r="M155" s="161"/>
      <c r="N155" s="161"/>
      <c r="O155" s="161"/>
      <c r="P155" s="204" t="n">
        <f aca="false">H20</f>
        <v>0</v>
      </c>
      <c r="Q155" s="52" t="n">
        <f aca="false">P155</f>
        <v>0</v>
      </c>
      <c r="S155" s="160" t="s">
        <v>18</v>
      </c>
      <c r="T155" s="161" t="s">
        <v>142</v>
      </c>
      <c r="U155" s="161"/>
      <c r="V155" s="161"/>
      <c r="W155" s="161"/>
      <c r="X155" s="161"/>
      <c r="Y155" s="204" t="n">
        <f aca="false">H20</f>
        <v>0</v>
      </c>
      <c r="Z155" s="52" t="n">
        <f aca="false">Y155</f>
        <v>0</v>
      </c>
      <c r="AB155" s="160" t="s">
        <v>18</v>
      </c>
      <c r="AC155" s="161" t="s">
        <v>142</v>
      </c>
      <c r="AD155" s="161"/>
      <c r="AE155" s="161"/>
      <c r="AF155" s="161"/>
      <c r="AG155" s="161"/>
      <c r="AH155" s="204" t="n">
        <f aca="false">H20</f>
        <v>0</v>
      </c>
      <c r="AI155" s="52" t="n">
        <f aca="false">AH155</f>
        <v>0</v>
      </c>
    </row>
    <row r="156" customFormat="false" ht="19.7" hidden="false" customHeight="false" outlineLevel="0" collapsed="false">
      <c r="A156" s="155" t="s">
        <v>143</v>
      </c>
      <c r="B156" s="155"/>
      <c r="C156" s="155"/>
      <c r="D156" s="155"/>
      <c r="E156" s="155"/>
      <c r="F156" s="155"/>
      <c r="G156" s="467" t="n">
        <f aca="false">G150-((G153*1.2)+(G154*1.2)+(G155*1.2)+(G151*1.2))</f>
        <v>58525</v>
      </c>
      <c r="H156" s="162" t="n">
        <f aca="false">H150-((H153*1.2)+(H154*1.2)+(H155*1.2)+(H151*1.2))</f>
        <v>58525</v>
      </c>
      <c r="J156" s="469" t="s">
        <v>143</v>
      </c>
      <c r="K156" s="469"/>
      <c r="L156" s="469"/>
      <c r="M156" s="469"/>
      <c r="N156" s="469"/>
      <c r="O156" s="469"/>
      <c r="P156" s="467" t="n">
        <f aca="false">P150-((P153*1.2)+(P154*1.2)+(P155*1.2)+(P151*1.2))</f>
        <v>58525</v>
      </c>
      <c r="Q156" s="162" t="n">
        <f aca="false">Q150-((Q153*1.2)+(Q154*1.2)+(Q155*1.2)+(Q151*1.2))</f>
        <v>36655</v>
      </c>
      <c r="S156" s="155" t="s">
        <v>143</v>
      </c>
      <c r="T156" s="155"/>
      <c r="U156" s="155"/>
      <c r="V156" s="155"/>
      <c r="W156" s="155"/>
      <c r="X156" s="155"/>
      <c r="Y156" s="467" t="n">
        <f aca="false">Y150-((Y153*1.2)+(Y154*1.2)+(Y155*1.2)+(Y151*1.2))</f>
        <v>58525</v>
      </c>
      <c r="Z156" s="162" t="n">
        <f aca="false">Z150-((Z153*1.2)+(Z154*1.2)+(Z155*1.2)+(Z151*1.2))</f>
        <v>44468.749</v>
      </c>
      <c r="AB156" s="155" t="s">
        <v>143</v>
      </c>
      <c r="AC156" s="155"/>
      <c r="AD156" s="155"/>
      <c r="AE156" s="155"/>
      <c r="AF156" s="155"/>
      <c r="AG156" s="155"/>
      <c r="AH156" s="467" t="n">
        <f aca="false">AH150-((AH153*1.2)+(AH154*1.2)+(AH155*1.2)+(AH151*1.2))</f>
        <v>58525</v>
      </c>
      <c r="AI156" s="162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155" t="s">
        <v>144</v>
      </c>
      <c r="B157" s="155"/>
      <c r="C157" s="155"/>
      <c r="D157" s="155"/>
      <c r="E157" s="155"/>
      <c r="F157" s="155"/>
      <c r="G157" s="204"/>
      <c r="H157" s="52" t="n">
        <f aca="false">((H156-G156)-(H146-G146))+((I155-I154)*0.2)</f>
        <v>0</v>
      </c>
      <c r="I157" s="1" t="n">
        <f aca="false">(H157-G90)/1.2</f>
        <v>0</v>
      </c>
      <c r="J157" s="155" t="s">
        <v>144</v>
      </c>
      <c r="K157" s="155"/>
      <c r="L157" s="155"/>
      <c r="M157" s="155"/>
      <c r="N157" s="155"/>
      <c r="O157" s="155"/>
      <c r="P157" s="204"/>
      <c r="Q157" s="52" t="n">
        <f aca="false">Q156-P156</f>
        <v>-21870</v>
      </c>
      <c r="S157" s="155" t="s">
        <v>144</v>
      </c>
      <c r="T157" s="155"/>
      <c r="U157" s="155"/>
      <c r="V157" s="155"/>
      <c r="W157" s="155"/>
      <c r="X157" s="155"/>
      <c r="Y157" s="204"/>
      <c r="Z157" s="52" t="n">
        <f aca="false">Z156-Y156</f>
        <v>-14056.251</v>
      </c>
      <c r="AB157" s="155" t="s">
        <v>144</v>
      </c>
      <c r="AC157" s="155"/>
      <c r="AD157" s="155"/>
      <c r="AE157" s="155"/>
      <c r="AF157" s="155"/>
      <c r="AG157" s="155"/>
      <c r="AH157" s="204"/>
      <c r="AI157" s="52" t="n">
        <f aca="false">AI156-AH156</f>
        <v>-14056.251</v>
      </c>
    </row>
    <row r="158" customFormat="false" ht="17.35" hidden="false" customHeight="false" outlineLevel="0" collapsed="false">
      <c r="A158" s="55"/>
      <c r="B158" s="178"/>
      <c r="C158" s="178"/>
      <c r="D158" s="178"/>
      <c r="E158" s="45"/>
      <c r="F158" s="45"/>
      <c r="G158" s="45"/>
      <c r="H158" s="20"/>
      <c r="J158" s="55"/>
      <c r="K158" s="178"/>
      <c r="L158" s="178"/>
      <c r="M158" s="178"/>
      <c r="N158" s="45"/>
      <c r="O158" s="45"/>
      <c r="P158" s="45"/>
      <c r="Q158" s="20"/>
      <c r="S158" s="55"/>
      <c r="T158" s="178"/>
      <c r="U158" s="178"/>
      <c r="V158" s="178"/>
      <c r="W158" s="45"/>
      <c r="X158" s="45"/>
      <c r="Y158" s="45"/>
      <c r="Z158" s="20"/>
      <c r="AB158" s="55"/>
      <c r="AC158" s="178"/>
      <c r="AD158" s="178"/>
      <c r="AE158" s="178"/>
      <c r="AF158" s="45"/>
      <c r="AG158" s="45"/>
      <c r="AH158" s="45"/>
      <c r="AI158" s="20"/>
    </row>
    <row r="159" customFormat="false" ht="22.05" hidden="false" customHeight="false" outlineLevel="0" collapsed="false">
      <c r="A159" s="58" t="s">
        <v>145</v>
      </c>
      <c r="B159" s="58"/>
      <c r="C159" s="58"/>
      <c r="D159" s="58"/>
      <c r="E159" s="58"/>
      <c r="F159" s="58"/>
      <c r="G159" s="58"/>
      <c r="H159" s="58"/>
      <c r="J159" s="58" t="s">
        <v>145</v>
      </c>
      <c r="K159" s="58"/>
      <c r="L159" s="58"/>
      <c r="M159" s="58"/>
      <c r="N159" s="58"/>
      <c r="O159" s="58"/>
      <c r="P159" s="58"/>
      <c r="Q159" s="58"/>
      <c r="S159" s="58" t="s">
        <v>145</v>
      </c>
      <c r="T159" s="58"/>
      <c r="U159" s="58"/>
      <c r="V159" s="58"/>
      <c r="W159" s="58"/>
      <c r="X159" s="58"/>
      <c r="Y159" s="58"/>
      <c r="Z159" s="58"/>
      <c r="AB159" s="58" t="s">
        <v>145</v>
      </c>
      <c r="AC159" s="58"/>
      <c r="AD159" s="58"/>
      <c r="AE159" s="58"/>
      <c r="AF159" s="58"/>
      <c r="AG159" s="58"/>
      <c r="AH159" s="58"/>
      <c r="AI159" s="58"/>
    </row>
    <row r="160" customFormat="false" ht="17.35" hidden="false" customHeight="false" outlineLevel="0" collapsed="false">
      <c r="A160" s="55"/>
      <c r="B160" s="178"/>
      <c r="C160" s="178"/>
      <c r="D160" s="178"/>
      <c r="E160" s="45"/>
      <c r="F160" s="45"/>
      <c r="G160" s="45"/>
      <c r="H160" s="20"/>
      <c r="J160" s="55"/>
      <c r="K160" s="178"/>
      <c r="L160" s="178"/>
      <c r="M160" s="178"/>
      <c r="N160" s="45"/>
      <c r="O160" s="45"/>
      <c r="P160" s="45"/>
      <c r="Q160" s="20"/>
      <c r="S160" s="55"/>
      <c r="T160" s="178"/>
      <c r="U160" s="178"/>
      <c r="V160" s="178"/>
      <c r="W160" s="45"/>
      <c r="X160" s="45"/>
      <c r="Y160" s="45"/>
      <c r="Z160" s="20"/>
      <c r="AB160" s="55"/>
      <c r="AC160" s="178"/>
      <c r="AD160" s="178"/>
      <c r="AE160" s="178"/>
      <c r="AF160" s="45"/>
      <c r="AG160" s="45"/>
      <c r="AH160" s="45"/>
      <c r="AI160" s="20"/>
    </row>
    <row r="161" customFormat="false" ht="17.35" hidden="false" customHeight="false" outlineLevel="0" collapsed="false">
      <c r="A161" s="55" t="s">
        <v>146</v>
      </c>
      <c r="B161" s="178"/>
      <c r="C161" s="178"/>
      <c r="D161" s="45"/>
      <c r="E161" s="72" t="n">
        <v>0</v>
      </c>
      <c r="F161" s="72"/>
      <c r="G161" s="72" t="n">
        <v>0</v>
      </c>
      <c r="H161" s="72"/>
      <c r="J161" s="55" t="s">
        <v>146</v>
      </c>
      <c r="K161" s="178"/>
      <c r="L161" s="178"/>
      <c r="M161" s="45"/>
      <c r="N161" s="72" t="n">
        <v>10000</v>
      </c>
      <c r="O161" s="72"/>
      <c r="P161" s="72" t="n">
        <v>5000</v>
      </c>
      <c r="Q161" s="72"/>
      <c r="S161" s="55" t="s">
        <v>146</v>
      </c>
      <c r="T161" s="178"/>
      <c r="U161" s="178"/>
      <c r="V161" s="45"/>
      <c r="W161" s="72" t="n">
        <v>10000</v>
      </c>
      <c r="X161" s="72"/>
      <c r="Y161" s="72" t="n">
        <v>5000</v>
      </c>
      <c r="Z161" s="72"/>
      <c r="AB161" s="55" t="s">
        <v>146</v>
      </c>
      <c r="AC161" s="178"/>
      <c r="AD161" s="178"/>
      <c r="AE161" s="45"/>
      <c r="AF161" s="72" t="n">
        <v>10000</v>
      </c>
      <c r="AG161" s="72"/>
      <c r="AH161" s="72" t="n">
        <v>5000</v>
      </c>
      <c r="AI161" s="72"/>
    </row>
    <row r="162" customFormat="false" ht="17.35" hidden="false" customHeight="false" outlineLevel="0" collapsed="false">
      <c r="A162" s="55" t="s">
        <v>147</v>
      </c>
      <c r="B162" s="178"/>
      <c r="C162" s="178"/>
      <c r="D162" s="45"/>
      <c r="E162" s="38" t="n">
        <f aca="false">G162</f>
        <v>0</v>
      </c>
      <c r="F162" s="38"/>
      <c r="G162" s="72" t="n">
        <v>0</v>
      </c>
      <c r="H162" s="72"/>
      <c r="J162" s="55" t="s">
        <v>147</v>
      </c>
      <c r="K162" s="178"/>
      <c r="L162" s="178"/>
      <c r="M162" s="45"/>
      <c r="N162" s="38" t="n">
        <f aca="false">P162</f>
        <v>7000</v>
      </c>
      <c r="O162" s="38"/>
      <c r="P162" s="72" t="n">
        <v>7000</v>
      </c>
      <c r="Q162" s="72"/>
      <c r="S162" s="55" t="s">
        <v>147</v>
      </c>
      <c r="T162" s="178"/>
      <c r="U162" s="178"/>
      <c r="V162" s="45"/>
      <c r="W162" s="38" t="n">
        <f aca="false">Y162</f>
        <v>7000</v>
      </c>
      <c r="X162" s="38"/>
      <c r="Y162" s="72" t="n">
        <v>7000</v>
      </c>
      <c r="Z162" s="72"/>
      <c r="AB162" s="55" t="s">
        <v>147</v>
      </c>
      <c r="AC162" s="178"/>
      <c r="AD162" s="178"/>
      <c r="AE162" s="45"/>
      <c r="AF162" s="38" t="n">
        <f aca="false">AH162</f>
        <v>7000</v>
      </c>
      <c r="AG162" s="38"/>
      <c r="AH162" s="72" t="n">
        <v>7000</v>
      </c>
      <c r="AI162" s="72"/>
    </row>
    <row r="163" customFormat="false" ht="17.35" hidden="false" customHeight="false" outlineLevel="0" collapsed="false">
      <c r="A163" s="55" t="s">
        <v>148</v>
      </c>
      <c r="B163" s="178"/>
      <c r="C163" s="178"/>
      <c r="D163" s="45"/>
      <c r="E163" s="38" t="n">
        <f aca="false">E161-E162</f>
        <v>0</v>
      </c>
      <c r="F163" s="38"/>
      <c r="G163" s="163" t="n">
        <f aca="false">G161-G162</f>
        <v>0</v>
      </c>
      <c r="H163" s="163"/>
      <c r="J163" s="55" t="s">
        <v>148</v>
      </c>
      <c r="K163" s="178"/>
      <c r="L163" s="178"/>
      <c r="M163" s="45"/>
      <c r="N163" s="38" t="n">
        <f aca="false">N161-N162</f>
        <v>3000</v>
      </c>
      <c r="O163" s="38"/>
      <c r="P163" s="163" t="n">
        <f aca="false">P161-P162</f>
        <v>-2000</v>
      </c>
      <c r="Q163" s="163"/>
      <c r="S163" s="55" t="s">
        <v>148</v>
      </c>
      <c r="T163" s="178"/>
      <c r="U163" s="178"/>
      <c r="V163" s="45"/>
      <c r="W163" s="38" t="n">
        <f aca="false">W161-W162</f>
        <v>3000</v>
      </c>
      <c r="X163" s="38"/>
      <c r="Y163" s="163" t="n">
        <f aca="false">Y161-Y162</f>
        <v>-2000</v>
      </c>
      <c r="Z163" s="163"/>
      <c r="AB163" s="55" t="s">
        <v>148</v>
      </c>
      <c r="AC163" s="178"/>
      <c r="AD163" s="178"/>
      <c r="AE163" s="45"/>
      <c r="AF163" s="38" t="n">
        <f aca="false">AF161-AF162</f>
        <v>3000</v>
      </c>
      <c r="AG163" s="38"/>
      <c r="AH163" s="163" t="n">
        <f aca="false">AH161-AH162</f>
        <v>-2000</v>
      </c>
      <c r="AI163" s="163"/>
    </row>
    <row r="164" customFormat="false" ht="17.35" hidden="false" customHeight="false" outlineLevel="0" collapsed="false">
      <c r="A164" s="55" t="s">
        <v>149</v>
      </c>
      <c r="B164" s="178"/>
      <c r="C164" s="178"/>
      <c r="D164" s="45"/>
      <c r="E164" s="38" t="n">
        <f aca="false">E163-G163</f>
        <v>0</v>
      </c>
      <c r="F164" s="38"/>
      <c r="G164" s="45"/>
      <c r="H164" s="20"/>
      <c r="J164" s="55" t="s">
        <v>149</v>
      </c>
      <c r="K164" s="178"/>
      <c r="L164" s="178"/>
      <c r="M164" s="45"/>
      <c r="N164" s="38" t="n">
        <f aca="false">N163-P163</f>
        <v>5000</v>
      </c>
      <c r="O164" s="38"/>
      <c r="P164" s="45"/>
      <c r="Q164" s="20"/>
      <c r="S164" s="55" t="s">
        <v>149</v>
      </c>
      <c r="T164" s="178"/>
      <c r="U164" s="178"/>
      <c r="V164" s="45"/>
      <c r="W164" s="38" t="n">
        <f aca="false">W163-Y163</f>
        <v>5000</v>
      </c>
      <c r="X164" s="38"/>
      <c r="Y164" s="45"/>
      <c r="Z164" s="20"/>
      <c r="AB164" s="55" t="s">
        <v>149</v>
      </c>
      <c r="AC164" s="178"/>
      <c r="AD164" s="178"/>
      <c r="AE164" s="45"/>
      <c r="AF164" s="38" t="n">
        <f aca="false">AF163-AH163</f>
        <v>5000</v>
      </c>
      <c r="AG164" s="38"/>
      <c r="AH164" s="45"/>
      <c r="AI164" s="20"/>
    </row>
    <row r="165" customFormat="false" ht="17.35" hidden="false" customHeight="false" outlineLevel="0" collapsed="false">
      <c r="A165" s="55"/>
      <c r="B165" s="178"/>
      <c r="C165" s="178"/>
      <c r="D165" s="45"/>
      <c r="E165" s="178"/>
      <c r="F165" s="45"/>
      <c r="G165" s="45"/>
      <c r="H165" s="20"/>
      <c r="J165" s="55"/>
      <c r="K165" s="178"/>
      <c r="L165" s="178"/>
      <c r="M165" s="45"/>
      <c r="N165" s="178"/>
      <c r="O165" s="45"/>
      <c r="P165" s="45"/>
      <c r="Q165" s="20"/>
      <c r="S165" s="55"/>
      <c r="T165" s="178"/>
      <c r="U165" s="178"/>
      <c r="V165" s="45"/>
      <c r="W165" s="178"/>
      <c r="X165" s="45"/>
      <c r="Y165" s="45"/>
      <c r="Z165" s="20"/>
      <c r="AB165" s="55"/>
      <c r="AC165" s="178"/>
      <c r="AD165" s="178"/>
      <c r="AE165" s="45"/>
      <c r="AF165" s="178"/>
      <c r="AG165" s="45"/>
      <c r="AH165" s="45"/>
      <c r="AI165" s="20"/>
    </row>
    <row r="166" customFormat="false" ht="17.35" hidden="false" customHeight="false" outlineLevel="0" collapsed="false">
      <c r="A166" s="48" t="s">
        <v>150</v>
      </c>
      <c r="B166" s="49"/>
      <c r="C166" s="49"/>
      <c r="D166" s="93"/>
      <c r="E166" s="49"/>
      <c r="F166" s="93"/>
      <c r="G166" s="164" t="n">
        <f aca="false">B120</f>
        <v>0</v>
      </c>
      <c r="H166" s="164"/>
      <c r="J166" s="48" t="s">
        <v>150</v>
      </c>
      <c r="K166" s="49"/>
      <c r="L166" s="49"/>
      <c r="M166" s="93"/>
      <c r="N166" s="49"/>
      <c r="O166" s="93"/>
      <c r="P166" s="164" t="n">
        <f aca="false">K120</f>
        <v>1000</v>
      </c>
      <c r="Q166" s="164"/>
      <c r="S166" s="48" t="s">
        <v>150</v>
      </c>
      <c r="T166" s="49"/>
      <c r="U166" s="49"/>
      <c r="V166" s="93"/>
      <c r="W166" s="49"/>
      <c r="X166" s="93"/>
      <c r="Y166" s="164" t="n">
        <f aca="false">T120</f>
        <v>1000</v>
      </c>
      <c r="Z166" s="164"/>
      <c r="AB166" s="48" t="s">
        <v>150</v>
      </c>
      <c r="AC166" s="49"/>
      <c r="AD166" s="49"/>
      <c r="AE166" s="93"/>
      <c r="AF166" s="49"/>
      <c r="AG166" s="93"/>
      <c r="AH166" s="164" t="n">
        <f aca="false">AC120</f>
        <v>1000</v>
      </c>
      <c r="AI166" s="164"/>
    </row>
    <row r="167" customFormat="false" ht="19.7" hidden="false" customHeight="false" outlineLevel="0" collapsed="false">
      <c r="A167" s="165" t="s">
        <v>151</v>
      </c>
      <c r="B167" s="178"/>
      <c r="C167" s="178"/>
      <c r="D167" s="45"/>
      <c r="E167" s="178"/>
      <c r="F167" s="45"/>
      <c r="G167" s="166" t="n">
        <f aca="false">H156-G163-G166</f>
        <v>58525</v>
      </c>
      <c r="H167" s="166"/>
      <c r="J167" s="165" t="s">
        <v>151</v>
      </c>
      <c r="K167" s="178"/>
      <c r="L167" s="178"/>
      <c r="M167" s="45"/>
      <c r="N167" s="178"/>
      <c r="O167" s="45"/>
      <c r="P167" s="166" t="n">
        <f aca="false">Q156-P163-P166</f>
        <v>37655</v>
      </c>
      <c r="Q167" s="166"/>
      <c r="S167" s="165" t="s">
        <v>151</v>
      </c>
      <c r="T167" s="178"/>
      <c r="U167" s="178"/>
      <c r="V167" s="45"/>
      <c r="W167" s="178"/>
      <c r="X167" s="45"/>
      <c r="Y167" s="166" t="n">
        <f aca="false">Z156-Y163-Y166</f>
        <v>45468.749</v>
      </c>
      <c r="Z167" s="166"/>
      <c r="AB167" s="165" t="s">
        <v>151</v>
      </c>
      <c r="AC167" s="178"/>
      <c r="AD167" s="178"/>
      <c r="AE167" s="45"/>
      <c r="AF167" s="178"/>
      <c r="AG167" s="45"/>
      <c r="AH167" s="166" t="n">
        <f aca="false">AI156-AH163-AH166</f>
        <v>45468.749</v>
      </c>
      <c r="AI167" s="166"/>
    </row>
    <row r="168" customFormat="false" ht="17.35" hidden="false" customHeight="false" outlineLevel="0" collapsed="false">
      <c r="A168" s="74" t="s">
        <v>152</v>
      </c>
      <c r="B168" s="75"/>
      <c r="C168" s="75"/>
      <c r="D168" s="116"/>
      <c r="E168" s="75"/>
      <c r="F168" s="116"/>
      <c r="G168" s="167" t="str">
        <f aca="false">B123</f>
        <v>199.99</v>
      </c>
      <c r="H168" s="167"/>
      <c r="J168" s="74" t="s">
        <v>152</v>
      </c>
      <c r="K168" s="75"/>
      <c r="L168" s="75"/>
      <c r="M168" s="116"/>
      <c r="N168" s="75"/>
      <c r="O168" s="116"/>
      <c r="P168" s="167" t="n">
        <f aca="false">K123</f>
        <v>239.99</v>
      </c>
      <c r="Q168" s="167"/>
      <c r="S168" s="74" t="s">
        <v>152</v>
      </c>
      <c r="T168" s="75"/>
      <c r="U168" s="75"/>
      <c r="V168" s="116"/>
      <c r="W168" s="75"/>
      <c r="X168" s="116"/>
      <c r="Y168" s="167" t="n">
        <f aca="false">T123</f>
        <v>199.99</v>
      </c>
      <c r="Z168" s="167"/>
      <c r="AB168" s="74" t="s">
        <v>152</v>
      </c>
      <c r="AC168" s="75"/>
      <c r="AD168" s="75"/>
      <c r="AE168" s="116"/>
      <c r="AF168" s="75"/>
      <c r="AG168" s="116"/>
      <c r="AH168" s="167" t="n">
        <f aca="false">AC123</f>
        <v>239.99</v>
      </c>
      <c r="AI168" s="167"/>
    </row>
    <row r="169" customFormat="false" ht="17.35" hidden="false" customHeight="false" outlineLevel="0" collapsed="false">
      <c r="A169" s="55"/>
      <c r="B169" s="178"/>
      <c r="C169" s="178"/>
      <c r="D169" s="178"/>
      <c r="E169" s="45"/>
      <c r="F169" s="45"/>
      <c r="G169" s="45"/>
      <c r="H169" s="20"/>
      <c r="J169" s="55"/>
      <c r="K169" s="178"/>
      <c r="L169" s="178"/>
      <c r="M169" s="178"/>
      <c r="N169" s="45"/>
      <c r="O169" s="45"/>
      <c r="P169" s="45"/>
      <c r="Q169" s="20"/>
      <c r="S169" s="55"/>
      <c r="T169" s="178"/>
      <c r="U169" s="178"/>
      <c r="V169" s="178"/>
      <c r="W169" s="45"/>
      <c r="X169" s="45"/>
      <c r="Y169" s="45"/>
      <c r="Z169" s="20"/>
      <c r="AB169" s="55"/>
      <c r="AC169" s="178"/>
      <c r="AD169" s="178"/>
      <c r="AE169" s="178"/>
      <c r="AF169" s="45"/>
      <c r="AG169" s="45"/>
      <c r="AH169" s="45"/>
      <c r="AI169" s="20"/>
    </row>
    <row r="170" customFormat="false" ht="17.35" hidden="false" customHeight="false" outlineLevel="0" collapsed="false">
      <c r="A170" s="55"/>
      <c r="B170" s="178"/>
      <c r="C170" s="178"/>
      <c r="D170" s="178"/>
      <c r="E170" s="45" t="n">
        <v>6000</v>
      </c>
      <c r="F170" s="45"/>
      <c r="G170" s="45"/>
      <c r="H170" s="20"/>
      <c r="J170" s="55"/>
      <c r="K170" s="178"/>
      <c r="L170" s="178"/>
      <c r="M170" s="178"/>
      <c r="N170" s="45"/>
      <c r="O170" s="45"/>
      <c r="P170" s="45"/>
      <c r="Q170" s="20"/>
      <c r="S170" s="55"/>
      <c r="T170" s="178"/>
      <c r="U170" s="178"/>
      <c r="V170" s="178"/>
      <c r="W170" s="45"/>
      <c r="X170" s="45"/>
      <c r="Y170" s="45"/>
      <c r="Z170" s="20"/>
      <c r="AB170" s="55"/>
      <c r="AC170" s="178"/>
      <c r="AD170" s="178"/>
      <c r="AE170" s="178"/>
      <c r="AF170" s="45"/>
      <c r="AG170" s="45"/>
      <c r="AH170" s="45"/>
      <c r="AI170" s="20"/>
    </row>
    <row r="171" customFormat="false" ht="22.05" hidden="false" customHeight="false" outlineLevel="0" collapsed="false">
      <c r="A171" s="58" t="s">
        <v>153</v>
      </c>
      <c r="B171" s="58"/>
      <c r="C171" s="58"/>
      <c r="D171" s="58"/>
      <c r="E171" s="58"/>
      <c r="F171" s="58"/>
      <c r="G171" s="58"/>
      <c r="H171" s="58"/>
      <c r="J171" s="58" t="s">
        <v>153</v>
      </c>
      <c r="K171" s="58"/>
      <c r="L171" s="58"/>
      <c r="M171" s="58"/>
      <c r="N171" s="58"/>
      <c r="O171" s="58"/>
      <c r="P171" s="58"/>
      <c r="Q171" s="58"/>
      <c r="S171" s="58" t="s">
        <v>153</v>
      </c>
      <c r="T171" s="58"/>
      <c r="U171" s="58"/>
      <c r="V171" s="58"/>
      <c r="W171" s="58"/>
      <c r="X171" s="58"/>
      <c r="Y171" s="58"/>
      <c r="Z171" s="58"/>
      <c r="AB171" s="58" t="s">
        <v>153</v>
      </c>
      <c r="AC171" s="58"/>
      <c r="AD171" s="58"/>
      <c r="AE171" s="58"/>
      <c r="AF171" s="58"/>
      <c r="AG171" s="58"/>
      <c r="AH171" s="58"/>
      <c r="AI171" s="58"/>
    </row>
    <row r="172" customFormat="false" ht="17.35" hidden="false" customHeight="false" outlineLevel="0" collapsed="false">
      <c r="A172" s="55"/>
      <c r="B172" s="25"/>
      <c r="C172" s="25"/>
      <c r="D172" s="25"/>
      <c r="E172" s="45"/>
      <c r="F172" s="45"/>
      <c r="G172" s="45"/>
      <c r="H172" s="20"/>
      <c r="J172" s="55"/>
      <c r="K172" s="178"/>
      <c r="L172" s="178"/>
      <c r="M172" s="178"/>
      <c r="N172" s="45"/>
      <c r="O172" s="45"/>
      <c r="P172" s="45"/>
      <c r="Q172" s="20"/>
      <c r="S172" s="55"/>
      <c r="T172" s="178"/>
      <c r="U172" s="178"/>
      <c r="V172" s="178"/>
      <c r="W172" s="45"/>
      <c r="X172" s="45"/>
      <c r="Y172" s="45"/>
      <c r="Z172" s="20"/>
      <c r="AB172" s="55"/>
      <c r="AC172" s="178"/>
      <c r="AD172" s="178"/>
      <c r="AE172" s="178"/>
      <c r="AF172" s="45"/>
      <c r="AG172" s="45"/>
      <c r="AH172" s="45"/>
      <c r="AI172" s="20"/>
    </row>
    <row r="173" customFormat="false" ht="17.35" hidden="false" customHeight="false" outlineLevel="0" collapsed="false">
      <c r="A173" s="55" t="s">
        <v>29</v>
      </c>
      <c r="B173" s="168" t="n">
        <v>0</v>
      </c>
      <c r="C173" s="168"/>
      <c r="D173" s="25"/>
      <c r="E173" s="45"/>
      <c r="F173" s="45"/>
      <c r="G173" s="45"/>
      <c r="H173" s="20"/>
      <c r="J173" s="55" t="s">
        <v>29</v>
      </c>
      <c r="K173" s="168" t="n">
        <v>0</v>
      </c>
      <c r="L173" s="168"/>
      <c r="M173" s="178"/>
      <c r="N173" s="45"/>
      <c r="O173" s="45"/>
      <c r="P173" s="45"/>
      <c r="Q173" s="20"/>
      <c r="S173" s="55" t="s">
        <v>29</v>
      </c>
      <c r="T173" s="168" t="n">
        <v>0</v>
      </c>
      <c r="U173" s="168"/>
      <c r="V173" s="178"/>
      <c r="W173" s="45"/>
      <c r="X173" s="45"/>
      <c r="Y173" s="45"/>
      <c r="Z173" s="20"/>
      <c r="AB173" s="55" t="s">
        <v>29</v>
      </c>
      <c r="AC173" s="168" t="n">
        <v>0</v>
      </c>
      <c r="AD173" s="168"/>
      <c r="AE173" s="178"/>
      <c r="AF173" s="45"/>
      <c r="AG173" s="45"/>
      <c r="AH173" s="45"/>
      <c r="AI173" s="20"/>
    </row>
    <row r="174" customFormat="false" ht="17.35" hidden="false" customHeight="false" outlineLevel="0" collapsed="false">
      <c r="A174" s="55"/>
      <c r="B174" s="25"/>
      <c r="C174" s="25"/>
      <c r="D174" s="25"/>
      <c r="E174" s="45"/>
      <c r="F174" s="45"/>
      <c r="G174" s="45"/>
      <c r="H174" s="20"/>
      <c r="J174" s="55"/>
      <c r="K174" s="178"/>
      <c r="L174" s="178"/>
      <c r="M174" s="178"/>
      <c r="N174" s="45"/>
      <c r="O174" s="45"/>
      <c r="P174" s="45"/>
      <c r="Q174" s="20"/>
      <c r="S174" s="55"/>
      <c r="T174" s="178"/>
      <c r="U174" s="178"/>
      <c r="V174" s="178"/>
      <c r="W174" s="45"/>
      <c r="X174" s="45"/>
      <c r="Y174" s="45"/>
      <c r="Z174" s="20"/>
      <c r="AB174" s="55"/>
      <c r="AC174" s="178"/>
      <c r="AD174" s="178"/>
      <c r="AE174" s="178"/>
      <c r="AF174" s="45"/>
      <c r="AG174" s="45"/>
      <c r="AH174" s="45"/>
      <c r="AI174" s="20"/>
    </row>
    <row r="175" customFormat="false" ht="17.35" hidden="false" customHeight="false" outlineLevel="0" collapsed="false">
      <c r="A175" s="169" t="s">
        <v>154</v>
      </c>
      <c r="B175" s="170" t="s">
        <v>155</v>
      </c>
      <c r="C175" s="170"/>
      <c r="D175" s="170"/>
      <c r="E175" s="170" t="s">
        <v>156</v>
      </c>
      <c r="F175" s="45"/>
      <c r="G175" s="45"/>
      <c r="H175" s="20"/>
      <c r="J175" s="169" t="s">
        <v>154</v>
      </c>
      <c r="K175" s="470" t="s">
        <v>155</v>
      </c>
      <c r="L175" s="470"/>
      <c r="M175" s="470"/>
      <c r="N175" s="470" t="s">
        <v>156</v>
      </c>
      <c r="O175" s="45"/>
      <c r="P175" s="45"/>
      <c r="Q175" s="20"/>
      <c r="S175" s="169" t="s">
        <v>154</v>
      </c>
      <c r="T175" s="470" t="s">
        <v>155</v>
      </c>
      <c r="U175" s="470"/>
      <c r="V175" s="470"/>
      <c r="W175" s="470" t="s">
        <v>156</v>
      </c>
      <c r="X175" s="45"/>
      <c r="Y175" s="45"/>
      <c r="Z175" s="20"/>
      <c r="AB175" s="169" t="s">
        <v>154</v>
      </c>
      <c r="AC175" s="470" t="s">
        <v>155</v>
      </c>
      <c r="AD175" s="470"/>
      <c r="AE175" s="470"/>
      <c r="AF175" s="470" t="s">
        <v>156</v>
      </c>
      <c r="AG175" s="45"/>
      <c r="AH175" s="45"/>
      <c r="AI175" s="20"/>
    </row>
    <row r="176" customFormat="false" ht="17.35" hidden="false" customHeight="false" outlineLevel="0" collapsed="false">
      <c r="A176" s="173" t="n">
        <f aca="false">B104</f>
        <v>1584.81640136705</v>
      </c>
      <c r="B176" s="172" t="n">
        <f aca="false">B103</f>
        <v>0</v>
      </c>
      <c r="C176" s="170"/>
      <c r="D176" s="170"/>
      <c r="E176" s="172" t="n">
        <f aca="false">B105</f>
        <v>1584.81640136705</v>
      </c>
      <c r="F176" s="45"/>
      <c r="G176" s="45"/>
      <c r="H176" s="20"/>
      <c r="J176" s="173" t="n">
        <f aca="false">K104</f>
        <v>1569.706327631</v>
      </c>
      <c r="K176" s="442" t="n">
        <f aca="false">K103</f>
        <v>0</v>
      </c>
      <c r="L176" s="470"/>
      <c r="M176" s="470"/>
      <c r="N176" s="442" t="n">
        <f aca="false">K105</f>
        <v>1569.706327631</v>
      </c>
      <c r="O176" s="45"/>
      <c r="P176" s="45"/>
      <c r="Q176" s="20"/>
      <c r="S176" s="173" t="n">
        <f aca="false">T104</f>
        <v>1674.61110912406</v>
      </c>
      <c r="T176" s="442" t="n">
        <f aca="false">T103</f>
        <v>0</v>
      </c>
      <c r="U176" s="470"/>
      <c r="V176" s="470"/>
      <c r="W176" s="442" t="n">
        <f aca="false">T105</f>
        <v>1674.61110912406</v>
      </c>
      <c r="X176" s="45"/>
      <c r="Y176" s="45"/>
      <c r="Z176" s="20"/>
      <c r="AB176" s="173" t="n">
        <f aca="false">AC104</f>
        <v>1674.61110912406</v>
      </c>
      <c r="AC176" s="442" t="n">
        <f aca="false">AC103</f>
        <v>0</v>
      </c>
      <c r="AD176" s="470"/>
      <c r="AE176" s="470"/>
      <c r="AF176" s="442" t="n">
        <f aca="false">AC105</f>
        <v>1674.61110912406</v>
      </c>
      <c r="AG176" s="45"/>
      <c r="AH176" s="45"/>
      <c r="AI176" s="20"/>
    </row>
    <row r="177" customFormat="false" ht="17.35" hidden="false" customHeight="false" outlineLevel="0" collapsed="false">
      <c r="A177" s="55"/>
      <c r="B177" s="25"/>
      <c r="C177" s="25"/>
      <c r="D177" s="25"/>
      <c r="E177" s="45"/>
      <c r="F177" s="45"/>
      <c r="G177" s="45"/>
      <c r="H177" s="20"/>
      <c r="J177" s="55"/>
      <c r="K177" s="178"/>
      <c r="L177" s="178"/>
      <c r="M177" s="178"/>
      <c r="N177" s="45"/>
      <c r="O177" s="45"/>
      <c r="P177" s="45"/>
      <c r="Q177" s="20"/>
      <c r="S177" s="55"/>
      <c r="T177" s="178"/>
      <c r="U177" s="178"/>
      <c r="V177" s="178"/>
      <c r="W177" s="45"/>
      <c r="X177" s="45"/>
      <c r="Y177" s="45"/>
      <c r="Z177" s="20"/>
      <c r="AB177" s="55"/>
      <c r="AC177" s="178"/>
      <c r="AD177" s="178"/>
      <c r="AE177" s="178"/>
      <c r="AF177" s="45"/>
      <c r="AG177" s="45"/>
      <c r="AH177" s="45"/>
      <c r="AI177" s="20"/>
    </row>
    <row r="178" customFormat="false" ht="17.35" hidden="false" customHeight="false" outlineLevel="0" collapsed="false">
      <c r="A178" s="55" t="s">
        <v>28</v>
      </c>
      <c r="B178" s="25" t="s">
        <v>33</v>
      </c>
      <c r="C178" s="25"/>
      <c r="D178" s="45"/>
      <c r="E178" s="25" t="s">
        <v>157</v>
      </c>
      <c r="F178" s="45"/>
      <c r="G178" s="45"/>
      <c r="H178" s="20"/>
      <c r="J178" s="55" t="s">
        <v>28</v>
      </c>
      <c r="K178" s="178" t="s">
        <v>33</v>
      </c>
      <c r="L178" s="178"/>
      <c r="M178" s="45"/>
      <c r="N178" s="178" t="s">
        <v>157</v>
      </c>
      <c r="O178" s="45"/>
      <c r="P178" s="45"/>
      <c r="Q178" s="20"/>
      <c r="S178" s="55" t="s">
        <v>28</v>
      </c>
      <c r="T178" s="178" t="s">
        <v>33</v>
      </c>
      <c r="U178" s="178"/>
      <c r="V178" s="45"/>
      <c r="W178" s="178" t="s">
        <v>157</v>
      </c>
      <c r="X178" s="45"/>
      <c r="Y178" s="45"/>
      <c r="Z178" s="20"/>
      <c r="AB178" s="55" t="s">
        <v>28</v>
      </c>
      <c r="AC178" s="178" t="s">
        <v>33</v>
      </c>
      <c r="AD178" s="178"/>
      <c r="AE178" s="45"/>
      <c r="AF178" s="178" t="s">
        <v>157</v>
      </c>
      <c r="AG178" s="45"/>
      <c r="AH178" s="45"/>
      <c r="AI178" s="20"/>
    </row>
    <row r="179" customFormat="false" ht="17.35" hidden="false" customHeight="false" outlineLevel="0" collapsed="false">
      <c r="A179" s="63" t="str">
        <f aca="false">K29</f>
        <v>33</v>
      </c>
      <c r="B179" s="176" t="str">
        <f aca="false">K30</f>
        <v>5000</v>
      </c>
      <c r="C179" s="175"/>
      <c r="D179" s="45"/>
      <c r="E179" s="73" t="n">
        <v>6000</v>
      </c>
      <c r="F179" s="45"/>
      <c r="G179" s="45"/>
      <c r="H179" s="20"/>
      <c r="J179" s="63" t="str">
        <f aca="false">K29</f>
        <v>33</v>
      </c>
      <c r="K179" s="176" t="str">
        <f aca="false">K30</f>
        <v>5000</v>
      </c>
      <c r="L179" s="471"/>
      <c r="M179" s="45"/>
      <c r="N179" s="232" t="str">
        <f aca="false">IF(A120="YES", A40, 0)</f>
        <v>12</v>
      </c>
      <c r="O179" s="45"/>
      <c r="P179" s="45"/>
      <c r="Q179" s="20"/>
      <c r="S179" s="63" t="str">
        <f aca="false">K29</f>
        <v>33</v>
      </c>
      <c r="T179" s="176" t="str">
        <f aca="false">K30</f>
        <v>5000</v>
      </c>
      <c r="U179" s="471"/>
      <c r="V179" s="45"/>
      <c r="W179" s="232" t="str">
        <f aca="false">IF(A120="YES", A40, 0)</f>
        <v>12</v>
      </c>
      <c r="X179" s="45"/>
      <c r="Y179" s="45"/>
      <c r="Z179" s="20"/>
      <c r="AB179" s="63" t="str">
        <f aca="false">K29</f>
        <v>33</v>
      </c>
      <c r="AC179" s="176" t="str">
        <f aca="false">K30</f>
        <v>5000</v>
      </c>
      <c r="AD179" s="471"/>
      <c r="AE179" s="45"/>
      <c r="AF179" s="232" t="str">
        <f aca="false">IF(A120="YES", A40, 0)</f>
        <v>12</v>
      </c>
      <c r="AG179" s="45"/>
      <c r="AH179" s="45"/>
      <c r="AI179" s="20"/>
    </row>
    <row r="180" customFormat="false" ht="17.35" hidden="false" customHeight="false" outlineLevel="0" collapsed="false">
      <c r="A180" s="55"/>
      <c r="B180" s="25"/>
      <c r="C180" s="25"/>
      <c r="D180" s="45"/>
      <c r="E180" s="25"/>
      <c r="F180" s="45"/>
      <c r="G180" s="45"/>
      <c r="H180" s="20"/>
      <c r="J180" s="55"/>
      <c r="K180" s="178"/>
      <c r="L180" s="178"/>
      <c r="M180" s="45"/>
      <c r="N180" s="178"/>
      <c r="O180" s="45"/>
      <c r="P180" s="45"/>
      <c r="Q180" s="20"/>
      <c r="S180" s="55"/>
      <c r="T180" s="178"/>
      <c r="U180" s="178"/>
      <c r="V180" s="45"/>
      <c r="W180" s="178"/>
      <c r="X180" s="45"/>
      <c r="Y180" s="45"/>
      <c r="Z180" s="20"/>
      <c r="AB180" s="55"/>
      <c r="AC180" s="178"/>
      <c r="AD180" s="178"/>
      <c r="AE180" s="45"/>
      <c r="AF180" s="178"/>
      <c r="AG180" s="45"/>
      <c r="AH180" s="45"/>
      <c r="AI180" s="20"/>
    </row>
    <row r="181" customFormat="false" ht="17.35" hidden="false" customHeight="false" outlineLevel="0" collapsed="false">
      <c r="A181" s="55" t="s">
        <v>158</v>
      </c>
      <c r="B181" s="25" t="s">
        <v>159</v>
      </c>
      <c r="C181" s="25"/>
      <c r="D181" s="45"/>
      <c r="E181" s="25" t="s">
        <v>160</v>
      </c>
      <c r="F181" s="45"/>
      <c r="G181" s="45"/>
      <c r="H181" s="20"/>
      <c r="J181" s="55" t="s">
        <v>158</v>
      </c>
      <c r="K181" s="178" t="s">
        <v>159</v>
      </c>
      <c r="L181" s="178"/>
      <c r="M181" s="45"/>
      <c r="N181" s="178" t="s">
        <v>160</v>
      </c>
      <c r="O181" s="45"/>
      <c r="P181" s="45"/>
      <c r="Q181" s="20"/>
      <c r="S181" s="55" t="s">
        <v>158</v>
      </c>
      <c r="T181" s="178" t="s">
        <v>159</v>
      </c>
      <c r="U181" s="178"/>
      <c r="V181" s="45"/>
      <c r="W181" s="178" t="s">
        <v>160</v>
      </c>
      <c r="X181" s="45"/>
      <c r="Y181" s="45"/>
      <c r="Z181" s="20"/>
      <c r="AB181" s="55" t="s">
        <v>158</v>
      </c>
      <c r="AC181" s="178" t="s">
        <v>159</v>
      </c>
      <c r="AD181" s="178"/>
      <c r="AE181" s="45"/>
      <c r="AF181" s="178" t="s">
        <v>160</v>
      </c>
      <c r="AG181" s="45"/>
      <c r="AH181" s="45"/>
      <c r="AI181" s="20"/>
    </row>
    <row r="182" customFormat="false" ht="17.35" hidden="false" customHeight="false" outlineLevel="0" collapsed="false">
      <c r="A182" s="69" t="n">
        <f aca="false">H150-H146-H148-H149</f>
        <v>48237.5</v>
      </c>
      <c r="B182" s="37" t="n">
        <f aca="false">H146</f>
        <v>9647.5</v>
      </c>
      <c r="C182" s="67"/>
      <c r="D182" s="45"/>
      <c r="E182" s="73" t="n">
        <f aca="false">H148+H149</f>
        <v>640</v>
      </c>
      <c r="F182" s="45"/>
      <c r="G182" s="45"/>
      <c r="H182" s="20"/>
      <c r="J182" s="69" t="n">
        <f aca="false">Q150-Q146-Q148-Q149</f>
        <v>30012.5</v>
      </c>
      <c r="K182" s="201" t="n">
        <f aca="false">Q146</f>
        <v>6002.5</v>
      </c>
      <c r="L182" s="198"/>
      <c r="M182" s="45"/>
      <c r="N182" s="232" t="n">
        <f aca="false">Q148+Q149</f>
        <v>640</v>
      </c>
      <c r="O182" s="45"/>
      <c r="P182" s="45"/>
      <c r="Q182" s="20"/>
      <c r="S182" s="69" t="n">
        <f aca="false">Z150-Z146-Z148-Z149</f>
        <v>36523.9575</v>
      </c>
      <c r="T182" s="201" t="n">
        <f aca="false">Z146</f>
        <v>7304.7915</v>
      </c>
      <c r="U182" s="198"/>
      <c r="V182" s="45"/>
      <c r="W182" s="232" t="n">
        <f aca="false">Z148+Z149</f>
        <v>640</v>
      </c>
      <c r="X182" s="45"/>
      <c r="Y182" s="45"/>
      <c r="Z182" s="20"/>
      <c r="AB182" s="69" t="n">
        <f aca="false">AI150-AI146-AI148-AI149</f>
        <v>36523.9575</v>
      </c>
      <c r="AC182" s="201" t="n">
        <f aca="false">AI146</f>
        <v>7304.7915</v>
      </c>
      <c r="AD182" s="198"/>
      <c r="AE182" s="45"/>
      <c r="AF182" s="232" t="n">
        <f aca="false">AI148+AI149</f>
        <v>640</v>
      </c>
      <c r="AG182" s="45"/>
      <c r="AH182" s="45"/>
      <c r="AI182" s="20"/>
    </row>
    <row r="183" customFormat="false" ht="17.35" hidden="false" customHeight="false" outlineLevel="0" collapsed="false">
      <c r="A183" s="55"/>
      <c r="B183" s="25"/>
      <c r="C183" s="25"/>
      <c r="D183" s="45"/>
      <c r="E183" s="25"/>
      <c r="F183" s="45"/>
      <c r="G183" s="45"/>
      <c r="H183" s="20"/>
      <c r="J183" s="55"/>
      <c r="K183" s="178"/>
      <c r="L183" s="178"/>
      <c r="M183" s="45"/>
      <c r="N183" s="178"/>
      <c r="O183" s="45"/>
      <c r="P183" s="45"/>
      <c r="Q183" s="20"/>
      <c r="S183" s="55"/>
      <c r="T183" s="178"/>
      <c r="U183" s="178"/>
      <c r="V183" s="45"/>
      <c r="W183" s="178"/>
      <c r="X183" s="45"/>
      <c r="Y183" s="45"/>
      <c r="Z183" s="20"/>
      <c r="AB183" s="55"/>
      <c r="AC183" s="178"/>
      <c r="AD183" s="178"/>
      <c r="AE183" s="45"/>
      <c r="AF183" s="178"/>
      <c r="AG183" s="45"/>
      <c r="AH183" s="45"/>
      <c r="AI183" s="20"/>
    </row>
    <row r="184" customFormat="false" ht="17.35" hidden="false" customHeight="false" outlineLevel="0" collapsed="false">
      <c r="A184" s="55" t="s">
        <v>161</v>
      </c>
      <c r="B184" s="25" t="s">
        <v>108</v>
      </c>
      <c r="C184" s="25"/>
      <c r="D184" s="45"/>
      <c r="E184" s="25" t="s">
        <v>109</v>
      </c>
      <c r="F184" s="45"/>
      <c r="G184" s="45"/>
      <c r="H184" s="20"/>
      <c r="J184" s="55" t="s">
        <v>161</v>
      </c>
      <c r="K184" s="178" t="s">
        <v>108</v>
      </c>
      <c r="L184" s="178"/>
      <c r="M184" s="45"/>
      <c r="N184" s="178" t="s">
        <v>109</v>
      </c>
      <c r="O184" s="45"/>
      <c r="P184" s="45"/>
      <c r="Q184" s="20"/>
      <c r="S184" s="55" t="s">
        <v>161</v>
      </c>
      <c r="T184" s="178" t="s">
        <v>108</v>
      </c>
      <c r="U184" s="178"/>
      <c r="V184" s="45"/>
      <c r="W184" s="178" t="s">
        <v>109</v>
      </c>
      <c r="X184" s="45"/>
      <c r="Y184" s="45"/>
      <c r="Z184" s="20"/>
      <c r="AB184" s="55" t="s">
        <v>161</v>
      </c>
      <c r="AC184" s="178" t="s">
        <v>108</v>
      </c>
      <c r="AD184" s="178"/>
      <c r="AE184" s="45"/>
      <c r="AF184" s="178" t="s">
        <v>109</v>
      </c>
      <c r="AG184" s="45"/>
      <c r="AH184" s="45"/>
      <c r="AI184" s="20"/>
    </row>
    <row r="185" customFormat="false" ht="17.35" hidden="false" customHeight="false" outlineLevel="0" collapsed="false">
      <c r="A185" s="69" t="n">
        <f aca="false">H150</f>
        <v>58525</v>
      </c>
      <c r="B185" s="37" t="n">
        <f aca="false">B120</f>
        <v>0</v>
      </c>
      <c r="C185" s="37"/>
      <c r="D185" s="45"/>
      <c r="E185" s="37" t="n">
        <f aca="false">E120</f>
        <v>0</v>
      </c>
      <c r="F185" s="45"/>
      <c r="G185" s="45"/>
      <c r="H185" s="177"/>
      <c r="J185" s="69" t="n">
        <f aca="false">Q150</f>
        <v>36655</v>
      </c>
      <c r="K185" s="201" t="n">
        <f aca="false">K120</f>
        <v>1000</v>
      </c>
      <c r="L185" s="201"/>
      <c r="M185" s="45"/>
      <c r="N185" s="201" t="n">
        <f aca="false">N120</f>
        <v>0</v>
      </c>
      <c r="O185" s="45"/>
      <c r="P185" s="45"/>
      <c r="Q185" s="177"/>
      <c r="S185" s="69" t="n">
        <f aca="false">Z150</f>
        <v>44468.749</v>
      </c>
      <c r="T185" s="201" t="n">
        <f aca="false">T120</f>
        <v>1000</v>
      </c>
      <c r="U185" s="201"/>
      <c r="V185" s="45"/>
      <c r="W185" s="201" t="n">
        <f aca="false">W120</f>
        <v>0</v>
      </c>
      <c r="X185" s="45"/>
      <c r="Y185" s="45"/>
      <c r="Z185" s="177"/>
      <c r="AB185" s="69" t="n">
        <f aca="false">AI150</f>
        <v>44468.749</v>
      </c>
      <c r="AC185" s="201" t="n">
        <f aca="false">AC120</f>
        <v>1000</v>
      </c>
      <c r="AD185" s="201"/>
      <c r="AE185" s="45"/>
      <c r="AF185" s="201" t="n">
        <f aca="false">AF120</f>
        <v>0</v>
      </c>
      <c r="AG185" s="45"/>
      <c r="AH185" s="45"/>
      <c r="AI185" s="177"/>
    </row>
    <row r="186" customFormat="false" ht="17.35" hidden="false" customHeight="false" outlineLevel="0" collapsed="false">
      <c r="A186" s="55"/>
      <c r="B186" s="25"/>
      <c r="C186" s="25"/>
      <c r="D186" s="45"/>
      <c r="E186" s="25"/>
      <c r="F186" s="45"/>
      <c r="G186" s="45"/>
      <c r="H186" s="20"/>
      <c r="J186" s="55"/>
      <c r="K186" s="178"/>
      <c r="L186" s="178"/>
      <c r="M186" s="45"/>
      <c r="N186" s="178"/>
      <c r="O186" s="45"/>
      <c r="P186" s="45"/>
      <c r="Q186" s="20"/>
      <c r="S186" s="55"/>
      <c r="T186" s="178"/>
      <c r="U186" s="178"/>
      <c r="V186" s="45"/>
      <c r="W186" s="178"/>
      <c r="X186" s="45"/>
      <c r="Y186" s="45"/>
      <c r="Z186" s="20"/>
      <c r="AB186" s="55"/>
      <c r="AC186" s="178"/>
      <c r="AD186" s="178"/>
      <c r="AE186" s="45"/>
      <c r="AF186" s="178"/>
      <c r="AG186" s="45"/>
      <c r="AH186" s="45"/>
      <c r="AI186" s="20"/>
    </row>
    <row r="187" customFormat="false" ht="17.35" hidden="false" customHeight="false" outlineLevel="0" collapsed="false">
      <c r="A187" s="55" t="s">
        <v>110</v>
      </c>
      <c r="B187" s="25" t="s">
        <v>146</v>
      </c>
      <c r="C187" s="25"/>
      <c r="D187" s="45"/>
      <c r="E187" s="25" t="s">
        <v>151</v>
      </c>
      <c r="F187" s="45"/>
      <c r="G187" s="45"/>
      <c r="H187" s="20"/>
      <c r="J187" s="55" t="s">
        <v>110</v>
      </c>
      <c r="K187" s="178" t="s">
        <v>146</v>
      </c>
      <c r="L187" s="178"/>
      <c r="M187" s="45"/>
      <c r="N187" s="178" t="s">
        <v>151</v>
      </c>
      <c r="O187" s="45"/>
      <c r="P187" s="45"/>
      <c r="Q187" s="20"/>
      <c r="S187" s="55" t="s">
        <v>110</v>
      </c>
      <c r="T187" s="178" t="s">
        <v>146</v>
      </c>
      <c r="U187" s="178"/>
      <c r="V187" s="45"/>
      <c r="W187" s="178" t="s">
        <v>151</v>
      </c>
      <c r="X187" s="45"/>
      <c r="Y187" s="45"/>
      <c r="Z187" s="20"/>
      <c r="AB187" s="55" t="s">
        <v>110</v>
      </c>
      <c r="AC187" s="178" t="s">
        <v>146</v>
      </c>
      <c r="AD187" s="178"/>
      <c r="AE187" s="45"/>
      <c r="AF187" s="178" t="s">
        <v>151</v>
      </c>
      <c r="AG187" s="45"/>
      <c r="AH187" s="45"/>
      <c r="AI187" s="20"/>
    </row>
    <row r="188" customFormat="false" ht="17.35" hidden="false" customHeight="false" outlineLevel="0" collapsed="false">
      <c r="A188" s="70" t="n">
        <f aca="false">B185+E185</f>
        <v>0</v>
      </c>
      <c r="B188" s="37" t="n">
        <f aca="false">G163</f>
        <v>0</v>
      </c>
      <c r="C188" s="37"/>
      <c r="D188" s="45"/>
      <c r="E188" s="37" t="n">
        <f aca="false">A185-A188-B188</f>
        <v>58525</v>
      </c>
      <c r="F188" s="45"/>
      <c r="G188" s="45"/>
      <c r="H188" s="177"/>
      <c r="J188" s="70" t="n">
        <f aca="false">K185+N185</f>
        <v>1000</v>
      </c>
      <c r="K188" s="201" t="n">
        <f aca="false">P163</f>
        <v>-2000</v>
      </c>
      <c r="L188" s="201"/>
      <c r="M188" s="45"/>
      <c r="N188" s="201" t="n">
        <f aca="false">J185-J188-K188</f>
        <v>37655</v>
      </c>
      <c r="O188" s="45"/>
      <c r="P188" s="45"/>
      <c r="Q188" s="177"/>
      <c r="S188" s="70" t="n">
        <f aca="false">T185+W185</f>
        <v>1000</v>
      </c>
      <c r="T188" s="201" t="n">
        <f aca="false">Y163</f>
        <v>-2000</v>
      </c>
      <c r="U188" s="201"/>
      <c r="V188" s="45"/>
      <c r="W188" s="201" t="n">
        <f aca="false">S185-S188-T188</f>
        <v>45468.749</v>
      </c>
      <c r="X188" s="45"/>
      <c r="Y188" s="45"/>
      <c r="Z188" s="177"/>
      <c r="AB188" s="70" t="n">
        <f aca="false">AC185+AF185</f>
        <v>1000</v>
      </c>
      <c r="AC188" s="201" t="n">
        <f aca="false">AH163</f>
        <v>-2000</v>
      </c>
      <c r="AD188" s="201"/>
      <c r="AE188" s="45"/>
      <c r="AF188" s="201" t="n">
        <f aca="false">AB185-AB188-AC188</f>
        <v>45468.749</v>
      </c>
      <c r="AG188" s="45"/>
      <c r="AH188" s="45"/>
      <c r="AI188" s="177"/>
    </row>
    <row r="189" customFormat="false" ht="17.35" hidden="false" customHeight="false" outlineLevel="0" collapsed="false">
      <c r="A189" s="55"/>
      <c r="B189" s="25"/>
      <c r="C189" s="25"/>
      <c r="D189" s="45"/>
      <c r="E189" s="25"/>
      <c r="F189" s="45"/>
      <c r="G189" s="45"/>
      <c r="H189" s="20"/>
      <c r="J189" s="55"/>
      <c r="K189" s="178"/>
      <c r="L189" s="178"/>
      <c r="M189" s="45"/>
      <c r="N189" s="178"/>
      <c r="O189" s="45"/>
      <c r="P189" s="45"/>
      <c r="Q189" s="20"/>
      <c r="S189" s="55"/>
      <c r="T189" s="178"/>
      <c r="U189" s="178"/>
      <c r="V189" s="45"/>
      <c r="W189" s="178"/>
      <c r="X189" s="45"/>
      <c r="Y189" s="45"/>
      <c r="Z189" s="20"/>
      <c r="AB189" s="55"/>
      <c r="AC189" s="178"/>
      <c r="AD189" s="178"/>
      <c r="AE189" s="45"/>
      <c r="AF189" s="178"/>
      <c r="AG189" s="45"/>
      <c r="AH189" s="45"/>
      <c r="AI189" s="20"/>
    </row>
    <row r="190" customFormat="false" ht="17.35" hidden="false" customHeight="false" outlineLevel="0" collapsed="false">
      <c r="A190" s="55" t="s">
        <v>162</v>
      </c>
      <c r="B190" s="25" t="s">
        <v>152</v>
      </c>
      <c r="C190" s="25"/>
      <c r="D190" s="45"/>
      <c r="E190" s="25" t="s">
        <v>163</v>
      </c>
      <c r="F190" s="45"/>
      <c r="G190" s="45"/>
      <c r="H190" s="20"/>
      <c r="J190" s="55" t="s">
        <v>162</v>
      </c>
      <c r="K190" s="178" t="s">
        <v>152</v>
      </c>
      <c r="L190" s="178"/>
      <c r="M190" s="45"/>
      <c r="N190" s="178" t="s">
        <v>163</v>
      </c>
      <c r="O190" s="45"/>
      <c r="P190" s="45"/>
      <c r="Q190" s="20"/>
      <c r="S190" s="55" t="s">
        <v>162</v>
      </c>
      <c r="T190" s="178" t="s">
        <v>152</v>
      </c>
      <c r="U190" s="178"/>
      <c r="V190" s="45"/>
      <c r="W190" s="178" t="s">
        <v>163</v>
      </c>
      <c r="X190" s="45"/>
      <c r="Y190" s="45"/>
      <c r="Z190" s="20"/>
      <c r="AB190" s="55" t="s">
        <v>162</v>
      </c>
      <c r="AC190" s="178" t="s">
        <v>152</v>
      </c>
      <c r="AD190" s="178"/>
      <c r="AE190" s="45"/>
      <c r="AF190" s="178" t="s">
        <v>163</v>
      </c>
      <c r="AG190" s="45"/>
      <c r="AH190" s="45"/>
      <c r="AI190" s="20"/>
    </row>
    <row r="191" customFormat="false" ht="17.35" hidden="false" customHeight="false" outlineLevel="0" collapsed="false">
      <c r="A191" s="70" t="n">
        <f aca="false">(A176*B68)+E194-E188-A194</f>
        <v>-1810.8751562543</v>
      </c>
      <c r="B191" s="37" t="str">
        <f aca="false">B123</f>
        <v>199.99</v>
      </c>
      <c r="C191" s="37"/>
      <c r="D191" s="45"/>
      <c r="E191" s="37" t="n">
        <f aca="false">E188+A191+B191+A194</f>
        <v>56924.1148437457</v>
      </c>
      <c r="F191" s="45"/>
      <c r="G191" s="45"/>
      <c r="H191" s="177"/>
      <c r="J191" s="70" t="n">
        <f aca="false">(J176*K68)+N194-N188-J194</f>
        <v>12587.602484192</v>
      </c>
      <c r="K191" s="201" t="n">
        <f aca="false">K123</f>
        <v>239.99</v>
      </c>
      <c r="L191" s="201"/>
      <c r="M191" s="45"/>
      <c r="N191" s="201" t="n">
        <f aca="false">N188+J191+K191+J194</f>
        <v>50502.592484192</v>
      </c>
      <c r="O191" s="45"/>
      <c r="P191" s="45"/>
      <c r="Q191" s="177"/>
      <c r="S191" s="70" t="n">
        <f aca="false">(S176*T68)+W194-W188-S194</f>
        <v>8130.80649196992</v>
      </c>
      <c r="T191" s="201" t="n">
        <f aca="false">T123</f>
        <v>199.99</v>
      </c>
      <c r="U191" s="201"/>
      <c r="V191" s="45"/>
      <c r="W191" s="201" t="n">
        <f aca="false">W188+S191+T191+S194</f>
        <v>53809.5454919699</v>
      </c>
      <c r="X191" s="45"/>
      <c r="Y191" s="45"/>
      <c r="Z191" s="177"/>
      <c r="AB191" s="70" t="n">
        <f aca="false">(AB176*AC68)+AF194-AF188-AB194</f>
        <v>8130.80649196992</v>
      </c>
      <c r="AC191" s="201" t="n">
        <f aca="false">AC123</f>
        <v>239.99</v>
      </c>
      <c r="AD191" s="201"/>
      <c r="AE191" s="45"/>
      <c r="AF191" s="201" t="n">
        <f aca="false">AF188+AB191+AC191+AB194</f>
        <v>53849.5454919699</v>
      </c>
      <c r="AG191" s="45"/>
      <c r="AH191" s="45"/>
      <c r="AI191" s="177"/>
    </row>
    <row r="192" customFormat="false" ht="17.35" hidden="false" customHeight="false" outlineLevel="0" collapsed="false">
      <c r="A192" s="55"/>
      <c r="B192" s="25"/>
      <c r="C192" s="25"/>
      <c r="D192" s="45"/>
      <c r="E192" s="25"/>
      <c r="F192" s="45"/>
      <c r="G192" s="45"/>
      <c r="H192" s="20"/>
      <c r="J192" s="55"/>
      <c r="K192" s="178"/>
      <c r="L192" s="178"/>
      <c r="M192" s="45"/>
      <c r="N192" s="178"/>
      <c r="O192" s="45"/>
      <c r="P192" s="45"/>
      <c r="Q192" s="20"/>
      <c r="S192" s="55"/>
      <c r="T192" s="178"/>
      <c r="U192" s="178"/>
      <c r="V192" s="45"/>
      <c r="W192" s="178"/>
      <c r="X192" s="45"/>
      <c r="Y192" s="45"/>
      <c r="Z192" s="20"/>
      <c r="AB192" s="55"/>
      <c r="AC192" s="178"/>
      <c r="AD192" s="178"/>
      <c r="AE192" s="45"/>
      <c r="AF192" s="178"/>
      <c r="AG192" s="45"/>
      <c r="AH192" s="45"/>
      <c r="AI192" s="20"/>
    </row>
    <row r="193" customFormat="false" ht="17.35" hidden="false" customHeight="false" outlineLevel="0" collapsed="false">
      <c r="A193" s="55" t="s">
        <v>164</v>
      </c>
      <c r="B193" s="25" t="s">
        <v>165</v>
      </c>
      <c r="C193" s="25"/>
      <c r="D193" s="45"/>
      <c r="E193" s="25" t="s">
        <v>166</v>
      </c>
      <c r="F193" s="45"/>
      <c r="G193" s="45"/>
      <c r="H193" s="20"/>
      <c r="J193" s="55" t="s">
        <v>164</v>
      </c>
      <c r="K193" s="178" t="s">
        <v>165</v>
      </c>
      <c r="L193" s="178"/>
      <c r="M193" s="45"/>
      <c r="N193" s="178" t="s">
        <v>166</v>
      </c>
      <c r="O193" s="45"/>
      <c r="P193" s="45"/>
      <c r="Q193" s="20"/>
      <c r="S193" s="55" t="s">
        <v>164</v>
      </c>
      <c r="T193" s="178" t="s">
        <v>165</v>
      </c>
      <c r="U193" s="178"/>
      <c r="V193" s="45"/>
      <c r="W193" s="178" t="s">
        <v>166</v>
      </c>
      <c r="X193" s="45"/>
      <c r="Y193" s="45"/>
      <c r="Z193" s="20"/>
      <c r="AB193" s="55" t="s">
        <v>164</v>
      </c>
      <c r="AC193" s="178" t="s">
        <v>165</v>
      </c>
      <c r="AD193" s="178"/>
      <c r="AE193" s="45"/>
      <c r="AF193" s="178" t="s">
        <v>166</v>
      </c>
      <c r="AG193" s="45"/>
      <c r="AH193" s="45"/>
      <c r="AI193" s="20"/>
    </row>
    <row r="194" customFormat="false" ht="17.35" hidden="false" customHeight="false" outlineLevel="0" collapsed="false">
      <c r="A194" s="70" t="n">
        <f aca="false">B69</f>
        <v>10</v>
      </c>
      <c r="B194" s="37" t="n">
        <f aca="false">A188+B191*1.2</f>
        <v>239.988</v>
      </c>
      <c r="C194" s="37"/>
      <c r="D194" s="45"/>
      <c r="E194" s="37" t="n">
        <f aca="false">E179+A194</f>
        <v>6010</v>
      </c>
      <c r="F194" s="45"/>
      <c r="G194" s="45"/>
      <c r="H194" s="177"/>
      <c r="J194" s="70" t="n">
        <f aca="false">K69</f>
        <v>20</v>
      </c>
      <c r="K194" s="201" t="n">
        <f aca="false">J188+K191</f>
        <v>1239.99</v>
      </c>
      <c r="L194" s="201"/>
      <c r="M194" s="45"/>
      <c r="N194" s="201" t="n">
        <f aca="false">N179+J194</f>
        <v>32</v>
      </c>
      <c r="O194" s="45"/>
      <c r="P194" s="45"/>
      <c r="Q194" s="177"/>
      <c r="S194" s="70" t="n">
        <f aca="false">T69</f>
        <v>10</v>
      </c>
      <c r="T194" s="201" t="n">
        <f aca="false">S188+T191</f>
        <v>1199.99</v>
      </c>
      <c r="U194" s="201"/>
      <c r="V194" s="45"/>
      <c r="W194" s="201" t="n">
        <f aca="false">W179+S194</f>
        <v>22</v>
      </c>
      <c r="X194" s="45"/>
      <c r="Y194" s="45"/>
      <c r="Z194" s="177"/>
      <c r="AB194" s="70" t="n">
        <f aca="false">AC69</f>
        <v>10</v>
      </c>
      <c r="AC194" s="201" t="n">
        <f aca="false">AB188+AC191</f>
        <v>1239.99</v>
      </c>
      <c r="AD194" s="201"/>
      <c r="AE194" s="45"/>
      <c r="AF194" s="201" t="n">
        <f aca="false">AF179+AB194</f>
        <v>22</v>
      </c>
      <c r="AG194" s="45"/>
      <c r="AH194" s="45"/>
      <c r="AI194" s="177"/>
    </row>
    <row r="195" customFormat="false" ht="17.35" hidden="false" customHeight="false" outlineLevel="0" collapsed="false">
      <c r="A195" s="55"/>
      <c r="B195" s="25"/>
      <c r="C195" s="25"/>
      <c r="D195" s="25"/>
      <c r="E195" s="45"/>
      <c r="F195" s="45"/>
      <c r="G195" s="45"/>
      <c r="H195" s="20"/>
      <c r="J195" s="55"/>
      <c r="K195" s="178"/>
      <c r="L195" s="178"/>
      <c r="M195" s="178"/>
      <c r="N195" s="45"/>
      <c r="O195" s="45"/>
      <c r="P195" s="45"/>
      <c r="Q195" s="20"/>
      <c r="S195" s="55"/>
      <c r="T195" s="178"/>
      <c r="U195" s="178"/>
      <c r="V195" s="178"/>
      <c r="W195" s="45"/>
      <c r="X195" s="178"/>
      <c r="Y195" s="178"/>
      <c r="Z195" s="20"/>
      <c r="AB195" s="55"/>
      <c r="AC195" s="178"/>
      <c r="AD195" s="178"/>
      <c r="AE195" s="178"/>
      <c r="AF195" s="45"/>
      <c r="AG195" s="45"/>
      <c r="AH195" s="45"/>
      <c r="AI195" s="20"/>
    </row>
    <row r="196" customFormat="false" ht="17.35" hidden="false" customHeight="false" outlineLevel="0" collapsed="false">
      <c r="A196" s="55" t="s">
        <v>167</v>
      </c>
      <c r="B196" s="25" t="s">
        <v>168</v>
      </c>
      <c r="C196" s="25"/>
      <c r="D196" s="25"/>
      <c r="E196" s="38" t="s">
        <v>169</v>
      </c>
      <c r="F196" s="45"/>
      <c r="G196" s="45"/>
      <c r="H196" s="20"/>
      <c r="J196" s="55" t="s">
        <v>167</v>
      </c>
      <c r="K196" s="178" t="s">
        <v>168</v>
      </c>
      <c r="L196" s="178"/>
      <c r="M196" s="178"/>
      <c r="N196" s="200" t="s">
        <v>169</v>
      </c>
      <c r="O196" s="45"/>
      <c r="P196" s="45"/>
      <c r="Q196" s="20"/>
      <c r="S196" s="55" t="s">
        <v>167</v>
      </c>
      <c r="T196" s="178" t="s">
        <v>168</v>
      </c>
      <c r="U196" s="178"/>
      <c r="V196" s="178"/>
      <c r="W196" s="200" t="s">
        <v>169</v>
      </c>
      <c r="X196" s="178"/>
      <c r="Y196" s="178"/>
      <c r="Z196" s="20"/>
      <c r="AB196" s="55" t="s">
        <v>167</v>
      </c>
      <c r="AC196" s="178" t="s">
        <v>168</v>
      </c>
      <c r="AD196" s="178"/>
      <c r="AE196" s="178"/>
      <c r="AF196" s="200" t="s">
        <v>169</v>
      </c>
      <c r="AG196" s="178"/>
      <c r="AH196" s="178"/>
      <c r="AI196" s="20"/>
    </row>
    <row r="197" customFormat="false" ht="17.35" hidden="false" customHeight="false" outlineLevel="0" collapsed="false">
      <c r="A197" s="70" t="n">
        <f aca="false">J18*0.000002*100</f>
        <v>11.577</v>
      </c>
      <c r="B197" s="37" t="n">
        <f aca="false">(G167*B76)/1.2</f>
        <v>457.2265625</v>
      </c>
      <c r="C197" s="25"/>
      <c r="D197" s="25"/>
      <c r="E197" s="37" t="n">
        <f aca="false">IF(E114="YES",(K55*A117*0.1), 0)</f>
        <v>0</v>
      </c>
      <c r="F197" s="45"/>
      <c r="G197" s="45"/>
      <c r="H197" s="20"/>
      <c r="J197" s="70" t="n">
        <f aca="false">IF(N114="YES", H15*0.000002, 0)</f>
        <v>0.11705</v>
      </c>
      <c r="K197" s="201" t="n">
        <f aca="false">(P167*K76)/1.2</f>
        <v>2255.37760416667</v>
      </c>
      <c r="L197" s="178"/>
      <c r="M197" s="178"/>
      <c r="N197" s="201" t="n">
        <f aca="false">(E40*J117)*0.1</f>
        <v>0</v>
      </c>
      <c r="O197" s="45"/>
      <c r="P197" s="45"/>
      <c r="Q197" s="20"/>
      <c r="S197" s="70" t="n">
        <f aca="false">IF(W114="YES", Z15*0.000002, 0)</f>
        <v>0</v>
      </c>
      <c r="T197" s="201" t="n">
        <f aca="false">(Y167*T76)/1.2</f>
        <v>355.2246015625</v>
      </c>
      <c r="U197" s="178"/>
      <c r="V197" s="178"/>
      <c r="W197" s="201" t="n">
        <f aca="false">(E40*S117)*0.1</f>
        <v>0</v>
      </c>
      <c r="X197" s="178"/>
      <c r="Y197" s="178"/>
      <c r="Z197" s="20"/>
      <c r="AB197" s="70" t="n">
        <f aca="false">IF(AF114="YES", AI15*0.000002, 0)</f>
        <v>0</v>
      </c>
      <c r="AC197" s="201" t="n">
        <f aca="false">(AH167*AC76)/1.2</f>
        <v>355.2246015625</v>
      </c>
      <c r="AD197" s="178"/>
      <c r="AE197" s="178"/>
      <c r="AF197" s="201" t="n">
        <f aca="false">(E40*AB117)*0.1</f>
        <v>0</v>
      </c>
      <c r="AG197" s="178"/>
      <c r="AH197" s="178"/>
      <c r="AI197" s="20"/>
    </row>
    <row r="198" customFormat="false" ht="17.35" hidden="false" customHeight="false" outlineLevel="0" collapsed="false">
      <c r="A198" s="70"/>
      <c r="B198" s="37"/>
      <c r="C198" s="25"/>
      <c r="D198" s="25"/>
      <c r="E198" s="45"/>
      <c r="F198" s="45"/>
      <c r="G198" s="45"/>
      <c r="H198" s="20"/>
      <c r="J198" s="70"/>
      <c r="K198" s="201"/>
      <c r="L198" s="178"/>
      <c r="M198" s="178"/>
      <c r="N198" s="45"/>
      <c r="O198" s="45"/>
      <c r="P198" s="45"/>
      <c r="Q198" s="20"/>
      <c r="S198" s="70"/>
      <c r="T198" s="201"/>
      <c r="U198" s="178"/>
      <c r="V198" s="178"/>
      <c r="W198" s="45"/>
      <c r="X198" s="178"/>
      <c r="Y198" s="178"/>
      <c r="Z198" s="20"/>
      <c r="AB198" s="70"/>
      <c r="AC198" s="201"/>
      <c r="AD198" s="178"/>
      <c r="AE198" s="178"/>
      <c r="AF198" s="45"/>
      <c r="AG198" s="178"/>
      <c r="AH198" s="178"/>
      <c r="AI198" s="20"/>
    </row>
    <row r="199" customFormat="false" ht="17.35" hidden="false" customHeight="false" outlineLevel="0" collapsed="false">
      <c r="A199" s="78" t="s">
        <v>170</v>
      </c>
      <c r="B199" s="38" t="s">
        <v>171</v>
      </c>
      <c r="C199" s="25"/>
      <c r="D199" s="25"/>
      <c r="E199" s="38" t="s">
        <v>172</v>
      </c>
      <c r="F199" s="45"/>
      <c r="G199" s="45"/>
      <c r="H199" s="20"/>
      <c r="J199" s="78" t="s">
        <v>170</v>
      </c>
      <c r="K199" s="200" t="s">
        <v>171</v>
      </c>
      <c r="L199" s="178"/>
      <c r="M199" s="178"/>
      <c r="N199" s="200" t="s">
        <v>172</v>
      </c>
      <c r="O199" s="45"/>
      <c r="P199" s="45"/>
      <c r="Q199" s="20"/>
      <c r="S199" s="78" t="s">
        <v>170</v>
      </c>
      <c r="T199" s="200" t="s">
        <v>171</v>
      </c>
      <c r="U199" s="178"/>
      <c r="V199" s="178"/>
      <c r="W199" s="200" t="s">
        <v>172</v>
      </c>
      <c r="X199" s="178"/>
      <c r="Y199" s="178"/>
      <c r="Z199" s="20"/>
      <c r="AB199" s="78" t="s">
        <v>170</v>
      </c>
      <c r="AC199" s="200" t="s">
        <v>171</v>
      </c>
      <c r="AD199" s="178"/>
      <c r="AE199" s="178"/>
      <c r="AF199" s="200" t="s">
        <v>172</v>
      </c>
      <c r="AG199" s="178"/>
      <c r="AH199" s="178"/>
      <c r="AI199" s="20"/>
    </row>
    <row r="200" customFormat="false" ht="17.35" hidden="false" customHeight="false" outlineLevel="0" collapsed="false">
      <c r="A200" s="70" t="n">
        <f aca="false">B191-100</f>
        <v>99.99</v>
      </c>
      <c r="B200" s="37" t="n">
        <f aca="false">B197+E197+A200</f>
        <v>557.2165625</v>
      </c>
      <c r="C200" s="25"/>
      <c r="D200" s="25"/>
      <c r="E200" s="37" t="n">
        <f aca="false">H157</f>
        <v>0</v>
      </c>
      <c r="F200" s="45"/>
      <c r="G200" s="45"/>
      <c r="H200" s="20"/>
      <c r="J200" s="70" t="n">
        <f aca="false">K194-100</f>
        <v>1139.99</v>
      </c>
      <c r="K200" s="201" t="n">
        <f aca="false">K197+N197+J200</f>
        <v>3395.36760416667</v>
      </c>
      <c r="L200" s="178"/>
      <c r="M200" s="178"/>
      <c r="N200" s="201" t="n">
        <f aca="false">Q157</f>
        <v>-21870</v>
      </c>
      <c r="O200" s="45"/>
      <c r="P200" s="45"/>
      <c r="Q200" s="20"/>
      <c r="S200" s="70" t="n">
        <f aca="false">T194-100</f>
        <v>1099.99</v>
      </c>
      <c r="T200" s="201" t="n">
        <f aca="false">T197+W197+S200</f>
        <v>1455.2146015625</v>
      </c>
      <c r="U200" s="178"/>
      <c r="V200" s="178"/>
      <c r="W200" s="201" t="n">
        <f aca="false">Z157</f>
        <v>-14056.251</v>
      </c>
      <c r="X200" s="178"/>
      <c r="Y200" s="178"/>
      <c r="Z200" s="20"/>
      <c r="AB200" s="70" t="n">
        <f aca="false">AC194-100</f>
        <v>1139.99</v>
      </c>
      <c r="AC200" s="201" t="n">
        <f aca="false">AC197+AF197+AB200</f>
        <v>1495.2146015625</v>
      </c>
      <c r="AD200" s="178"/>
      <c r="AE200" s="178"/>
      <c r="AF200" s="201" t="n">
        <f aca="false">AI157</f>
        <v>-14056.251</v>
      </c>
      <c r="AG200" s="178"/>
      <c r="AH200" s="178"/>
      <c r="AI200" s="20"/>
    </row>
    <row r="201" customFormat="false" ht="17.35" hidden="false" customHeight="false" outlineLevel="0" collapsed="false">
      <c r="A201" s="55"/>
      <c r="B201" s="25"/>
      <c r="C201" s="25"/>
      <c r="D201" s="25"/>
      <c r="E201" s="45"/>
      <c r="F201" s="45"/>
      <c r="G201" s="45"/>
      <c r="H201" s="20"/>
      <c r="J201" s="55"/>
      <c r="K201" s="178"/>
      <c r="L201" s="178"/>
      <c r="M201" s="178"/>
      <c r="N201" s="45"/>
      <c r="O201" s="45"/>
      <c r="P201" s="45"/>
      <c r="Q201" s="20"/>
      <c r="S201" s="55"/>
      <c r="T201" s="178"/>
      <c r="U201" s="178"/>
      <c r="V201" s="178"/>
      <c r="W201" s="45"/>
      <c r="X201" s="45"/>
      <c r="Y201" s="45"/>
      <c r="Z201" s="20"/>
      <c r="AB201" s="55"/>
      <c r="AC201" s="178"/>
      <c r="AD201" s="178"/>
      <c r="AE201" s="178"/>
      <c r="AF201" s="45"/>
      <c r="AG201" s="45"/>
      <c r="AH201" s="45"/>
      <c r="AI201" s="20"/>
    </row>
    <row r="202" customFormat="false" ht="17.35" hidden="false" customHeight="false" outlineLevel="0" collapsed="false">
      <c r="A202" s="83" t="s">
        <v>173</v>
      </c>
      <c r="B202" s="25"/>
      <c r="C202" s="25"/>
      <c r="D202" s="84"/>
      <c r="E202" s="84"/>
      <c r="F202" s="84"/>
      <c r="G202" s="84"/>
      <c r="H202" s="85"/>
      <c r="J202" s="83" t="s">
        <v>173</v>
      </c>
      <c r="K202" s="178"/>
      <c r="L202" s="178"/>
      <c r="M202" s="84"/>
      <c r="N202" s="84"/>
      <c r="O202" s="84"/>
      <c r="P202" s="84"/>
      <c r="Q202" s="85"/>
      <c r="S202" s="83" t="s">
        <v>173</v>
      </c>
      <c r="T202" s="178"/>
      <c r="U202" s="178"/>
      <c r="V202" s="84"/>
      <c r="W202" s="84"/>
      <c r="X202" s="84"/>
      <c r="Y202" s="84"/>
      <c r="Z202" s="85"/>
      <c r="AB202" s="83" t="s">
        <v>173</v>
      </c>
      <c r="AC202" s="178"/>
      <c r="AD202" s="178"/>
      <c r="AE202" s="84"/>
      <c r="AF202" s="84"/>
      <c r="AG202" s="84"/>
      <c r="AH202" s="84"/>
      <c r="AI202" s="85"/>
    </row>
    <row r="203" customFormat="false" ht="17.35" hidden="false" customHeight="false" outlineLevel="0" collapsed="false">
      <c r="A203" s="55"/>
      <c r="B203" s="87"/>
      <c r="C203" s="87"/>
      <c r="D203" s="25"/>
      <c r="E203" s="45"/>
      <c r="F203" s="45"/>
      <c r="G203" s="45"/>
      <c r="H203" s="20"/>
      <c r="J203" s="55"/>
      <c r="K203" s="87"/>
      <c r="L203" s="87"/>
      <c r="M203" s="178"/>
      <c r="N203" s="45"/>
      <c r="O203" s="45"/>
      <c r="P203" s="45"/>
      <c r="Q203" s="20"/>
      <c r="S203" s="55"/>
      <c r="T203" s="87"/>
      <c r="U203" s="87"/>
      <c r="V203" s="178"/>
      <c r="W203" s="45"/>
      <c r="X203" s="45"/>
      <c r="Y203" s="45"/>
      <c r="Z203" s="20"/>
      <c r="AB203" s="55"/>
      <c r="AC203" s="87"/>
      <c r="AD203" s="87"/>
      <c r="AE203" s="178"/>
      <c r="AF203" s="45"/>
      <c r="AG203" s="45"/>
      <c r="AH203" s="45"/>
      <c r="AI203" s="20"/>
    </row>
    <row r="204" customFormat="false" ht="19.7" hidden="false" customHeight="false" outlineLevel="0" collapsed="false">
      <c r="A204" s="88" t="s">
        <v>28</v>
      </c>
      <c r="B204" s="89" t="s">
        <v>33</v>
      </c>
      <c r="C204" s="89"/>
      <c r="D204" s="89"/>
      <c r="E204" s="45"/>
      <c r="F204" s="45"/>
      <c r="G204" s="45"/>
      <c r="H204" s="20"/>
      <c r="J204" s="88" t="s">
        <v>28</v>
      </c>
      <c r="K204" s="472" t="s">
        <v>33</v>
      </c>
      <c r="L204" s="472"/>
      <c r="M204" s="472"/>
      <c r="N204" s="45"/>
      <c r="O204" s="45"/>
      <c r="P204" s="45"/>
      <c r="Q204" s="20"/>
      <c r="S204" s="88" t="s">
        <v>28</v>
      </c>
      <c r="T204" s="89" t="s">
        <v>33</v>
      </c>
      <c r="U204" s="89"/>
      <c r="V204" s="89"/>
      <c r="W204" s="45"/>
      <c r="X204" s="45"/>
      <c r="Y204" s="45"/>
      <c r="Z204" s="20"/>
      <c r="AB204" s="88" t="s">
        <v>28</v>
      </c>
      <c r="AC204" s="89" t="s">
        <v>33</v>
      </c>
      <c r="AD204" s="89"/>
      <c r="AE204" s="89"/>
      <c r="AF204" s="45"/>
      <c r="AG204" s="45"/>
      <c r="AH204" s="45"/>
      <c r="AI204" s="20"/>
    </row>
    <row r="205" customFormat="false" ht="19.5" hidden="false" customHeight="true" outlineLevel="0" collapsed="false">
      <c r="A205" s="88"/>
      <c r="B205" s="90" t="str">
        <f aca="false">K30</f>
        <v>5000</v>
      </c>
      <c r="C205" s="90"/>
      <c r="D205" s="90"/>
      <c r="E205" s="45"/>
      <c r="F205" s="45"/>
      <c r="G205" s="45"/>
      <c r="H205" s="20"/>
      <c r="J205" s="88"/>
      <c r="K205" s="473" t="str">
        <f aca="false">K30</f>
        <v>5000</v>
      </c>
      <c r="L205" s="473"/>
      <c r="M205" s="473"/>
      <c r="N205" s="45"/>
      <c r="O205" s="45"/>
      <c r="P205" s="45"/>
      <c r="Q205" s="20"/>
      <c r="S205" s="88"/>
      <c r="T205" s="90" t="str">
        <f aca="false">K30</f>
        <v>5000</v>
      </c>
      <c r="U205" s="90"/>
      <c r="V205" s="90"/>
      <c r="W205" s="45"/>
      <c r="X205" s="45"/>
      <c r="Y205" s="45"/>
      <c r="Z205" s="20"/>
      <c r="AB205" s="88"/>
      <c r="AC205" s="90" t="str">
        <f aca="false">K30</f>
        <v>5000</v>
      </c>
      <c r="AD205" s="90"/>
      <c r="AE205" s="90"/>
      <c r="AF205" s="45"/>
      <c r="AG205" s="45"/>
      <c r="AH205" s="45"/>
      <c r="AI205" s="20"/>
    </row>
    <row r="206" customFormat="false" ht="17.35" hidden="false" customHeight="false" outlineLevel="0" collapsed="false">
      <c r="A206" s="91" t="str">
        <f aca="false">K29</f>
        <v>33</v>
      </c>
      <c r="B206" s="92" t="n">
        <f aca="false">B105</f>
        <v>1584.81640136705</v>
      </c>
      <c r="C206" s="92"/>
      <c r="D206" s="92"/>
      <c r="E206" s="45"/>
      <c r="F206" s="45"/>
      <c r="G206" s="45"/>
      <c r="H206" s="20"/>
      <c r="J206" s="91" t="str">
        <f aca="false">K29</f>
        <v>33</v>
      </c>
      <c r="K206" s="92" t="n">
        <f aca="false">K105</f>
        <v>1569.706327631</v>
      </c>
      <c r="L206" s="92"/>
      <c r="M206" s="92"/>
      <c r="N206" s="45"/>
      <c r="O206" s="45"/>
      <c r="P206" s="45"/>
      <c r="Q206" s="20"/>
      <c r="S206" s="91" t="str">
        <f aca="false">K29</f>
        <v>33</v>
      </c>
      <c r="T206" s="92" t="n">
        <f aca="false">T105</f>
        <v>1674.61110912406</v>
      </c>
      <c r="U206" s="92"/>
      <c r="V206" s="92"/>
      <c r="W206" s="45"/>
      <c r="X206" s="45"/>
      <c r="Y206" s="45"/>
      <c r="Z206" s="20"/>
      <c r="AB206" s="91" t="str">
        <f aca="false">K29</f>
        <v>33</v>
      </c>
      <c r="AC206" s="92" t="n">
        <f aca="false">AC105</f>
        <v>1674.61110912406</v>
      </c>
      <c r="AD206" s="92"/>
      <c r="AE206" s="92"/>
      <c r="AF206" s="45"/>
      <c r="AG206" s="45"/>
      <c r="AH206" s="45"/>
      <c r="AI206" s="20"/>
    </row>
    <row r="207" customFormat="false" ht="17.35" hidden="false" customHeight="false" outlineLevel="0" collapsed="false">
      <c r="A207" s="55"/>
      <c r="B207" s="25"/>
      <c r="C207" s="25"/>
      <c r="D207" s="25"/>
      <c r="E207" s="45"/>
      <c r="F207" s="45"/>
      <c r="G207" s="45"/>
      <c r="H207" s="20"/>
      <c r="J207" s="55"/>
      <c r="K207" s="178"/>
      <c r="L207" s="178"/>
      <c r="M207" s="178"/>
      <c r="N207" s="45"/>
      <c r="O207" s="45"/>
      <c r="P207" s="45"/>
      <c r="Q207" s="20"/>
      <c r="S207" s="55"/>
      <c r="T207" s="178"/>
      <c r="U207" s="178"/>
      <c r="V207" s="178"/>
      <c r="W207" s="45"/>
      <c r="X207" s="45"/>
      <c r="Y207" s="45"/>
      <c r="Z207" s="20"/>
      <c r="AB207" s="55"/>
      <c r="AC207" s="178"/>
      <c r="AD207" s="178"/>
      <c r="AE207" s="178"/>
      <c r="AF207" s="45"/>
      <c r="AG207" s="45"/>
      <c r="AH207" s="45"/>
      <c r="AI207" s="20"/>
    </row>
    <row r="208" customFormat="false" ht="17.35" hidden="false" customHeight="false" outlineLevel="0" collapsed="false">
      <c r="A208" s="55"/>
      <c r="B208" s="25"/>
      <c r="C208" s="25"/>
      <c r="D208" s="25"/>
      <c r="E208" s="45"/>
      <c r="F208" s="45"/>
      <c r="G208" s="45"/>
      <c r="H208" s="20"/>
      <c r="J208" s="55"/>
      <c r="K208" s="178"/>
      <c r="L208" s="178"/>
      <c r="M208" s="178"/>
      <c r="N208" s="45"/>
      <c r="O208" s="45"/>
      <c r="P208" s="45"/>
      <c r="Q208" s="20"/>
      <c r="S208" s="55"/>
      <c r="T208" s="178"/>
      <c r="U208" s="178"/>
      <c r="V208" s="178"/>
      <c r="W208" s="45"/>
      <c r="X208" s="45"/>
      <c r="Y208" s="45"/>
      <c r="Z208" s="20"/>
      <c r="AB208" s="55"/>
      <c r="AC208" s="178"/>
      <c r="AD208" s="178"/>
      <c r="AE208" s="178"/>
      <c r="AF208" s="45"/>
      <c r="AG208" s="45"/>
      <c r="AH208" s="45"/>
      <c r="AI208" s="20"/>
    </row>
    <row r="209" customFormat="false" ht="17.35" hidden="false" customHeight="false" outlineLevel="0" collapsed="false">
      <c r="A209" s="55"/>
      <c r="B209" s="25"/>
      <c r="C209" s="25"/>
      <c r="D209" s="25"/>
      <c r="E209" s="45"/>
      <c r="F209" s="45"/>
      <c r="G209" s="45"/>
      <c r="H209" s="20"/>
      <c r="J209" s="55"/>
      <c r="K209" s="178"/>
      <c r="L209" s="178"/>
      <c r="M209" s="178"/>
      <c r="N209" s="45"/>
      <c r="O209" s="45"/>
      <c r="P209" s="45"/>
      <c r="Q209" s="20"/>
      <c r="S209" s="55"/>
      <c r="T209" s="178"/>
      <c r="U209" s="178"/>
      <c r="V209" s="178"/>
      <c r="W209" s="45"/>
      <c r="X209" s="45"/>
      <c r="Y209" s="45"/>
      <c r="Z209" s="20"/>
      <c r="AB209" s="55"/>
      <c r="AC209" s="178"/>
      <c r="AD209" s="178"/>
      <c r="AE209" s="178"/>
      <c r="AF209" s="45"/>
      <c r="AG209" s="45"/>
      <c r="AH209" s="45"/>
      <c r="AI209" s="20"/>
    </row>
    <row r="210" customFormat="false" ht="17.35" hidden="false" customHeight="false" outlineLevel="0" collapsed="false">
      <c r="A210" s="55"/>
      <c r="B210" s="25"/>
      <c r="C210" s="25"/>
      <c r="D210" s="25"/>
      <c r="E210" s="45"/>
      <c r="F210" s="45"/>
      <c r="G210" s="45"/>
      <c r="H210" s="20"/>
      <c r="J210" s="55"/>
      <c r="K210" s="178"/>
      <c r="L210" s="178"/>
      <c r="M210" s="178"/>
      <c r="N210" s="45"/>
      <c r="O210" s="45"/>
      <c r="P210" s="45"/>
      <c r="Q210" s="20"/>
      <c r="S210" s="55"/>
      <c r="T210" s="178"/>
      <c r="U210" s="178"/>
      <c r="V210" s="178"/>
      <c r="W210" s="45"/>
      <c r="X210" s="45"/>
      <c r="Y210" s="45"/>
      <c r="Z210" s="20"/>
      <c r="AB210" s="55"/>
      <c r="AC210" s="178"/>
      <c r="AD210" s="178"/>
      <c r="AE210" s="178"/>
      <c r="AF210" s="45"/>
      <c r="AG210" s="45"/>
      <c r="AH210" s="45"/>
      <c r="AI210" s="20"/>
    </row>
    <row r="211" customFormat="false" ht="17.35" hidden="false" customHeight="false" outlineLevel="0" collapsed="false">
      <c r="A211" s="74"/>
      <c r="B211" s="75"/>
      <c r="C211" s="75"/>
      <c r="D211" s="75"/>
      <c r="E211" s="75"/>
      <c r="F211" s="75"/>
      <c r="G211" s="75"/>
      <c r="H211" s="82"/>
      <c r="J211" s="74"/>
      <c r="K211" s="75"/>
      <c r="L211" s="75"/>
      <c r="M211" s="75"/>
      <c r="N211" s="75"/>
      <c r="O211" s="75"/>
      <c r="P211" s="75"/>
      <c r="Q211" s="82"/>
      <c r="S211" s="74"/>
      <c r="T211" s="75"/>
      <c r="U211" s="75"/>
      <c r="V211" s="75"/>
      <c r="W211" s="75"/>
      <c r="X211" s="75"/>
      <c r="Y211" s="75"/>
      <c r="Z211" s="82"/>
      <c r="AB211" s="74"/>
      <c r="AC211" s="75"/>
      <c r="AD211" s="75"/>
      <c r="AE211" s="75"/>
      <c r="AF211" s="75"/>
      <c r="AG211" s="75"/>
      <c r="AH211" s="75"/>
      <c r="AI211" s="82"/>
    </row>
    <row r="215" customFormat="false" ht="22.05" hidden="false" customHeight="false" outlineLevel="0" collapsed="false">
      <c r="A215" s="179" t="s">
        <v>153</v>
      </c>
      <c r="B215" s="179"/>
      <c r="C215" s="179"/>
      <c r="D215" s="179"/>
      <c r="E215" s="179"/>
      <c r="F215" s="179"/>
      <c r="G215" s="179"/>
      <c r="H215" s="179"/>
    </row>
    <row r="216" customFormat="false" ht="17.35" hidden="false" customHeight="false" outlineLevel="0" collapsed="false">
      <c r="A216" s="55"/>
      <c r="B216" s="25"/>
      <c r="C216" s="25"/>
      <c r="D216" s="25"/>
      <c r="E216" s="94"/>
      <c r="F216" s="94"/>
      <c r="G216" s="94"/>
      <c r="H216" s="20"/>
    </row>
    <row r="217" customFormat="false" ht="17.35" hidden="false" customHeight="false" outlineLevel="0" collapsed="false">
      <c r="A217" s="180" t="s">
        <v>98</v>
      </c>
      <c r="B217" s="181" t="s">
        <v>174</v>
      </c>
      <c r="C217" s="181"/>
      <c r="D217" s="181"/>
      <c r="E217" s="181" t="s">
        <v>175</v>
      </c>
      <c r="F217" s="182"/>
      <c r="G217" s="94"/>
      <c r="H217" s="20"/>
    </row>
    <row r="218" customFormat="false" ht="17.35" hidden="false" customHeight="false" outlineLevel="0" collapsed="false">
      <c r="A218" s="183" t="s">
        <v>176</v>
      </c>
      <c r="B218" s="170" t="str">
        <f aca="false">A206</f>
        <v>33</v>
      </c>
      <c r="C218" s="170"/>
      <c r="D218" s="170"/>
      <c r="E218" s="170" t="str">
        <f aca="false">B205</f>
        <v>5000</v>
      </c>
      <c r="F218" s="182"/>
      <c r="G218" s="94"/>
      <c r="H218" s="20"/>
    </row>
    <row r="219" customFormat="false" ht="17.35" hidden="false" customHeight="false" outlineLevel="0" collapsed="false">
      <c r="A219" s="55"/>
      <c r="B219" s="25"/>
      <c r="C219" s="25"/>
      <c r="D219" s="25"/>
      <c r="E219" s="94"/>
      <c r="F219" s="94"/>
      <c r="G219" s="94"/>
      <c r="H219" s="20"/>
    </row>
    <row r="220" customFormat="false" ht="17.35" hidden="false" customHeight="false" outlineLevel="0" collapsed="false">
      <c r="A220" s="180" t="s">
        <v>154</v>
      </c>
      <c r="B220" s="181" t="s">
        <v>155</v>
      </c>
      <c r="C220" s="181"/>
      <c r="D220" s="181"/>
      <c r="E220" s="181" t="s">
        <v>156</v>
      </c>
      <c r="F220" s="94"/>
      <c r="G220" s="94"/>
      <c r="H220" s="20"/>
    </row>
    <row r="221" customFormat="false" ht="17.35" hidden="false" customHeight="false" outlineLevel="0" collapsed="false">
      <c r="A221" s="173" t="n">
        <f aca="false">A176</f>
        <v>1584.81640136705</v>
      </c>
      <c r="B221" s="172" t="n">
        <f aca="false">B176</f>
        <v>0</v>
      </c>
      <c r="C221" s="170"/>
      <c r="D221" s="170"/>
      <c r="E221" s="172" t="n">
        <f aca="false">E176</f>
        <v>1584.81640136705</v>
      </c>
      <c r="F221" s="94"/>
      <c r="G221" s="94"/>
      <c r="H221" s="20"/>
    </row>
    <row r="222" customFormat="false" ht="17.35" hidden="false" customHeight="false" outlineLevel="0" collapsed="false">
      <c r="A222" s="55"/>
      <c r="B222" s="25"/>
      <c r="C222" s="25"/>
      <c r="D222" s="25"/>
      <c r="E222" s="94"/>
      <c r="F222" s="94"/>
      <c r="G222" s="94"/>
      <c r="H222" s="20"/>
    </row>
    <row r="223" customFormat="false" ht="17.35" hidden="false" customHeight="false" outlineLevel="0" collapsed="false">
      <c r="A223" s="55" t="s">
        <v>158</v>
      </c>
      <c r="B223" s="25" t="s">
        <v>159</v>
      </c>
      <c r="C223" s="25"/>
      <c r="D223" s="94"/>
      <c r="E223" s="25" t="s">
        <v>160</v>
      </c>
      <c r="F223" s="94"/>
      <c r="G223" s="94"/>
      <c r="H223" s="20"/>
    </row>
    <row r="224" customFormat="false" ht="17.35" hidden="false" customHeight="false" outlineLevel="0" collapsed="false">
      <c r="A224" s="69" t="n">
        <f aca="false">A182</f>
        <v>48237.5</v>
      </c>
      <c r="B224" s="37" t="n">
        <f aca="false">B182</f>
        <v>9647.5</v>
      </c>
      <c r="C224" s="67"/>
      <c r="D224" s="94"/>
      <c r="E224" s="73" t="n">
        <f aca="false">E182</f>
        <v>640</v>
      </c>
      <c r="F224" s="94"/>
      <c r="G224" s="94"/>
      <c r="H224" s="20"/>
    </row>
    <row r="225" customFormat="false" ht="17.35" hidden="false" customHeight="false" outlineLevel="0" collapsed="false">
      <c r="A225" s="55"/>
      <c r="B225" s="25"/>
      <c r="C225" s="25"/>
      <c r="D225" s="94"/>
      <c r="E225" s="25"/>
      <c r="F225" s="94"/>
      <c r="G225" s="94"/>
      <c r="H225" s="20"/>
    </row>
    <row r="226" customFormat="false" ht="17.35" hidden="false" customHeight="false" outlineLevel="0" collapsed="false">
      <c r="A226" s="55" t="s">
        <v>161</v>
      </c>
      <c r="B226" s="25" t="s">
        <v>108</v>
      </c>
      <c r="C226" s="25"/>
      <c r="D226" s="94"/>
      <c r="E226" s="25" t="s">
        <v>109</v>
      </c>
      <c r="F226" s="94"/>
      <c r="G226" s="94"/>
      <c r="H226" s="20"/>
    </row>
    <row r="227" customFormat="false" ht="17.35" hidden="false" customHeight="false" outlineLevel="0" collapsed="false">
      <c r="A227" s="69" t="n">
        <f aca="false">A185</f>
        <v>58525</v>
      </c>
      <c r="B227" s="37" t="n">
        <f aca="false">B185</f>
        <v>0</v>
      </c>
      <c r="C227" s="37"/>
      <c r="D227" s="94"/>
      <c r="E227" s="37" t="n">
        <f aca="false">E185</f>
        <v>0</v>
      </c>
      <c r="F227" s="94"/>
      <c r="G227" s="94"/>
      <c r="H227" s="177"/>
    </row>
    <row r="228" customFormat="false" ht="17.35" hidden="false" customHeight="false" outlineLevel="0" collapsed="false">
      <c r="A228" s="55"/>
      <c r="B228" s="25"/>
      <c r="C228" s="25"/>
      <c r="D228" s="94"/>
      <c r="E228" s="25"/>
      <c r="F228" s="94"/>
      <c r="G228" s="94"/>
      <c r="H228" s="20"/>
    </row>
    <row r="229" customFormat="false" ht="17.35" hidden="false" customHeight="false" outlineLevel="0" collapsed="false">
      <c r="A229" s="55" t="s">
        <v>110</v>
      </c>
      <c r="B229" s="25" t="s">
        <v>146</v>
      </c>
      <c r="C229" s="25"/>
      <c r="D229" s="94"/>
      <c r="E229" s="25" t="s">
        <v>151</v>
      </c>
      <c r="F229" s="94"/>
      <c r="G229" s="94"/>
      <c r="H229" s="20"/>
    </row>
    <row r="230" customFormat="false" ht="17.35" hidden="false" customHeight="false" outlineLevel="0" collapsed="false">
      <c r="A230" s="70" t="n">
        <f aca="false">A188</f>
        <v>0</v>
      </c>
      <c r="B230" s="37" t="n">
        <f aca="false">B188</f>
        <v>0</v>
      </c>
      <c r="C230" s="37"/>
      <c r="D230" s="94"/>
      <c r="E230" s="37" t="n">
        <f aca="false">E188</f>
        <v>58525</v>
      </c>
      <c r="F230" s="94"/>
      <c r="G230" s="94"/>
      <c r="H230" s="177"/>
    </row>
    <row r="231" customFormat="false" ht="17.35" hidden="false" customHeight="false" outlineLevel="0" collapsed="false">
      <c r="A231" s="55"/>
      <c r="B231" s="25"/>
      <c r="C231" s="25"/>
      <c r="D231" s="94"/>
      <c r="E231" s="25"/>
      <c r="F231" s="94"/>
      <c r="G231" s="94"/>
      <c r="H231" s="20"/>
    </row>
    <row r="232" customFormat="false" ht="17.35" hidden="false" customHeight="false" outlineLevel="0" collapsed="false">
      <c r="A232" s="55" t="s">
        <v>162</v>
      </c>
      <c r="B232" s="25" t="s">
        <v>152</v>
      </c>
      <c r="C232" s="25"/>
      <c r="D232" s="94"/>
      <c r="E232" s="25" t="s">
        <v>163</v>
      </c>
      <c r="F232" s="94"/>
      <c r="G232" s="94"/>
      <c r="H232" s="20"/>
    </row>
    <row r="233" customFormat="false" ht="17.35" hidden="false" customHeight="false" outlineLevel="0" collapsed="false">
      <c r="A233" s="70" t="n">
        <f aca="false">A191</f>
        <v>-1810.8751562543</v>
      </c>
      <c r="B233" s="37" t="str">
        <f aca="false">B191</f>
        <v>199.99</v>
      </c>
      <c r="C233" s="37"/>
      <c r="D233" s="94"/>
      <c r="E233" s="37" t="n">
        <f aca="false">E191</f>
        <v>56924.1148437457</v>
      </c>
      <c r="F233" s="94"/>
      <c r="G233" s="94"/>
      <c r="H233" s="177"/>
    </row>
    <row r="234" customFormat="false" ht="17.35" hidden="false" customHeight="false" outlineLevel="0" collapsed="false">
      <c r="A234" s="55"/>
      <c r="B234" s="25"/>
      <c r="C234" s="25"/>
      <c r="D234" s="94"/>
      <c r="E234" s="25"/>
      <c r="F234" s="94"/>
      <c r="G234" s="94"/>
      <c r="H234" s="20"/>
    </row>
    <row r="235" customFormat="false" ht="17.35" hidden="false" customHeight="false" outlineLevel="0" collapsed="false">
      <c r="A235" s="55" t="s">
        <v>164</v>
      </c>
      <c r="B235" s="25" t="s">
        <v>165</v>
      </c>
      <c r="C235" s="25"/>
      <c r="D235" s="94"/>
      <c r="E235" s="25" t="s">
        <v>177</v>
      </c>
      <c r="F235" s="94"/>
      <c r="G235" s="94"/>
      <c r="H235" s="20"/>
    </row>
    <row r="236" customFormat="false" ht="17.35" hidden="false" customHeight="false" outlineLevel="0" collapsed="false">
      <c r="A236" s="70" t="n">
        <f aca="false">A194</f>
        <v>10</v>
      </c>
      <c r="B236" s="37" t="n">
        <f aca="false">B194</f>
        <v>239.988</v>
      </c>
      <c r="C236" s="37"/>
      <c r="D236" s="94"/>
      <c r="E236" s="37" t="n">
        <f aca="false">B68</f>
        <v>32</v>
      </c>
      <c r="F236" s="94"/>
      <c r="G236" s="94"/>
      <c r="H236" s="177"/>
    </row>
    <row r="237" customFormat="false" ht="17.35" hidden="false" customHeight="false" outlineLevel="0" collapsed="false">
      <c r="A237" s="55"/>
      <c r="B237" s="25"/>
      <c r="C237" s="25"/>
      <c r="D237" s="25"/>
      <c r="E237" s="94"/>
      <c r="F237" s="94"/>
      <c r="G237" s="94"/>
      <c r="H237" s="20"/>
    </row>
    <row r="238" customFormat="false" ht="17.35" hidden="false" customHeight="false" outlineLevel="0" collapsed="false">
      <c r="A238" s="55" t="s">
        <v>154</v>
      </c>
      <c r="B238" s="25" t="s">
        <v>155</v>
      </c>
      <c r="C238" s="25"/>
      <c r="D238" s="25"/>
      <c r="E238" s="25" t="s">
        <v>156</v>
      </c>
      <c r="F238" s="94"/>
      <c r="G238" s="94"/>
      <c r="H238" s="20"/>
    </row>
    <row r="239" customFormat="false" ht="17.35" hidden="false" customHeight="false" outlineLevel="0" collapsed="false">
      <c r="A239" s="70" t="n">
        <f aca="false">A176</f>
        <v>1584.81640136705</v>
      </c>
      <c r="B239" s="37" t="n">
        <f aca="false">B176</f>
        <v>0</v>
      </c>
      <c r="C239" s="67"/>
      <c r="D239" s="67"/>
      <c r="E239" s="37" t="n">
        <f aca="false">E176</f>
        <v>1584.81640136705</v>
      </c>
      <c r="F239" s="94"/>
      <c r="G239" s="94"/>
      <c r="H239" s="20"/>
    </row>
    <row r="240" customFormat="false" ht="17.35" hidden="false" customHeight="false" outlineLevel="0" collapsed="false">
      <c r="A240" s="55"/>
      <c r="B240" s="25"/>
      <c r="C240" s="25"/>
      <c r="D240" s="25"/>
      <c r="E240" s="94"/>
      <c r="F240" s="94"/>
      <c r="G240" s="94"/>
      <c r="H240" s="20"/>
    </row>
    <row r="241" customFormat="false" ht="17.35" hidden="false" customHeight="false" outlineLevel="0" collapsed="false">
      <c r="A241" s="55" t="s">
        <v>178</v>
      </c>
      <c r="B241" s="25" t="s">
        <v>179</v>
      </c>
      <c r="C241" s="25"/>
      <c r="D241" s="25"/>
      <c r="E241" s="25" t="s">
        <v>180</v>
      </c>
      <c r="F241" s="94"/>
      <c r="G241" s="94"/>
      <c r="H241" s="20"/>
    </row>
    <row r="242" customFormat="false" ht="17.35" hidden="false" customHeight="false" outlineLevel="0" collapsed="false">
      <c r="A242" s="70" t="n">
        <f aca="false">E179</f>
        <v>6000</v>
      </c>
      <c r="B242" s="37" t="n">
        <f aca="false">E194</f>
        <v>6010</v>
      </c>
      <c r="C242" s="25"/>
      <c r="D242" s="25"/>
      <c r="E242" s="37" t="n">
        <f aca="false">J18*0.000006*100</f>
        <v>34.731</v>
      </c>
      <c r="F242" s="94"/>
      <c r="G242" s="94"/>
      <c r="H242" s="20"/>
    </row>
    <row r="243" customFormat="false" ht="17.35" hidden="false" customHeight="false" outlineLevel="0" collapsed="false">
      <c r="A243" s="70"/>
      <c r="B243" s="37"/>
      <c r="C243" s="25"/>
      <c r="D243" s="25"/>
      <c r="E243" s="37"/>
      <c r="F243" s="94"/>
      <c r="G243" s="94"/>
      <c r="H243" s="20"/>
    </row>
    <row r="244" customFormat="false" ht="17.35" hidden="false" customHeight="false" outlineLevel="0" collapsed="false">
      <c r="A244" s="78" t="s">
        <v>181</v>
      </c>
      <c r="B244" s="38" t="s">
        <v>182</v>
      </c>
      <c r="C244" s="25"/>
      <c r="D244" s="25"/>
      <c r="E244" s="38" t="s">
        <v>102</v>
      </c>
      <c r="F244" s="94"/>
      <c r="G244" s="94"/>
      <c r="H244" s="20"/>
    </row>
    <row r="245" customFormat="false" ht="17.35" hidden="false" customHeight="false" outlineLevel="0" collapsed="false">
      <c r="A245" s="70" t="n">
        <f aca="false">A197</f>
        <v>11.577</v>
      </c>
      <c r="B245" s="37" t="n">
        <f aca="false">E242+A245</f>
        <v>46.308</v>
      </c>
      <c r="C245" s="25"/>
      <c r="D245" s="25"/>
      <c r="E245" s="37"/>
      <c r="F245" s="94"/>
      <c r="G245" s="94"/>
      <c r="H245" s="20"/>
    </row>
    <row r="246" customFormat="false" ht="17.35" hidden="false" customHeight="false" outlineLevel="0" collapsed="false">
      <c r="A246" s="70"/>
      <c r="B246" s="37"/>
      <c r="C246" s="25"/>
      <c r="D246" s="25"/>
      <c r="E246" s="37"/>
      <c r="F246" s="94"/>
      <c r="G246" s="94"/>
      <c r="H246" s="20"/>
    </row>
    <row r="247" customFormat="false" ht="22.05" hidden="false" customHeight="false" outlineLevel="0" collapsed="false">
      <c r="A247" s="184" t="s">
        <v>183</v>
      </c>
      <c r="B247" s="184"/>
      <c r="C247" s="184"/>
      <c r="D247" s="184"/>
      <c r="E247" s="184"/>
      <c r="F247" s="184"/>
      <c r="G247" s="184"/>
      <c r="H247" s="184"/>
    </row>
    <row r="248" customFormat="false" ht="17.35" hidden="false" customHeight="false" outlineLevel="0" collapsed="false">
      <c r="A248" s="55" t="s">
        <v>184</v>
      </c>
      <c r="B248" s="25" t="s">
        <v>168</v>
      </c>
      <c r="C248" s="25"/>
      <c r="D248" s="25"/>
      <c r="E248" s="38" t="s">
        <v>169</v>
      </c>
      <c r="F248" s="94"/>
      <c r="G248" s="94"/>
      <c r="H248" s="20"/>
    </row>
    <row r="249" customFormat="false" ht="17.35" hidden="false" customHeight="false" outlineLevel="0" collapsed="false">
      <c r="A249" s="70" t="n">
        <f aca="false">H157</f>
        <v>0</v>
      </c>
      <c r="B249" s="37" t="n">
        <f aca="false">B197</f>
        <v>457.2265625</v>
      </c>
      <c r="C249" s="25"/>
      <c r="D249" s="25"/>
      <c r="E249" s="37" t="n">
        <f aca="false">E197</f>
        <v>0</v>
      </c>
      <c r="F249" s="94"/>
      <c r="G249" s="94"/>
      <c r="H249" s="20"/>
    </row>
    <row r="250" customFormat="false" ht="17.35" hidden="false" customHeight="false" outlineLevel="0" collapsed="false">
      <c r="A250" s="70"/>
      <c r="B250" s="37"/>
      <c r="C250" s="25"/>
      <c r="D250" s="25"/>
      <c r="E250" s="94"/>
      <c r="F250" s="94"/>
      <c r="G250" s="94"/>
      <c r="H250" s="20"/>
    </row>
    <row r="251" customFormat="false" ht="17.35" hidden="false" customHeight="false" outlineLevel="0" collapsed="false">
      <c r="A251" s="78" t="s">
        <v>170</v>
      </c>
      <c r="B251" s="38" t="s">
        <v>171</v>
      </c>
      <c r="C251" s="25"/>
      <c r="D251" s="25"/>
      <c r="E251" s="38"/>
      <c r="F251" s="94"/>
      <c r="G251" s="94"/>
      <c r="H251" s="20"/>
    </row>
    <row r="252" customFormat="false" ht="17.35" hidden="false" customHeight="false" outlineLevel="0" collapsed="false">
      <c r="A252" s="70" t="n">
        <f aca="false">A200</f>
        <v>99.99</v>
      </c>
      <c r="B252" s="37" t="n">
        <f aca="false">B249+E249+A252+A249</f>
        <v>557.2165625</v>
      </c>
      <c r="C252" s="25"/>
      <c r="D252" s="25"/>
      <c r="E252" s="37"/>
      <c r="F252" s="94"/>
      <c r="G252" s="94"/>
      <c r="H252" s="20"/>
    </row>
    <row r="253" customFormat="false" ht="17.35" hidden="false" customHeight="false" outlineLevel="0" collapsed="false">
      <c r="A253" s="55"/>
      <c r="B253" s="25"/>
      <c r="C253" s="25"/>
      <c r="D253" s="25"/>
      <c r="E253" s="94"/>
      <c r="F253" s="94"/>
      <c r="G253" s="94"/>
      <c r="H253" s="20"/>
    </row>
    <row r="254" customFormat="false" ht="17.35" hidden="false" customHeight="false" outlineLevel="0" collapsed="false">
      <c r="A254" s="74"/>
      <c r="B254" s="75"/>
      <c r="C254" s="75"/>
      <c r="D254" s="75"/>
      <c r="E254" s="75"/>
      <c r="F254" s="75"/>
      <c r="G254" s="75"/>
      <c r="H254" s="82"/>
    </row>
    <row r="260" customFormat="false" ht="22.05" hidden="false" customHeight="false" outlineLevel="0" collapsed="false">
      <c r="A260" s="179" t="s">
        <v>185</v>
      </c>
      <c r="B260" s="179"/>
      <c r="C260" s="179"/>
      <c r="D260" s="179"/>
      <c r="E260" s="179"/>
      <c r="F260" s="179"/>
      <c r="G260" s="179"/>
      <c r="H260" s="179"/>
    </row>
    <row r="261" customFormat="false" ht="17.35" hidden="false" customHeight="false" outlineLevel="0" collapsed="false">
      <c r="A261" s="55"/>
      <c r="B261" s="178"/>
      <c r="C261" s="178"/>
      <c r="D261" s="178"/>
      <c r="E261" s="45"/>
      <c r="F261" s="45"/>
      <c r="G261" s="45"/>
      <c r="H261" s="20"/>
    </row>
    <row r="262" customFormat="false" ht="17.35" hidden="false" customHeight="false" outlineLevel="0" collapsed="false">
      <c r="A262" s="180" t="s">
        <v>186</v>
      </c>
      <c r="B262" s="185" t="n">
        <f aca="false">B72</f>
        <v>0.065</v>
      </c>
      <c r="C262" s="186"/>
      <c r="D262" s="187" t="s">
        <v>187</v>
      </c>
      <c r="E262" s="187"/>
      <c r="F262" s="185" t="n">
        <f aca="false">B92</f>
        <v>0.115</v>
      </c>
      <c r="G262" s="45"/>
      <c r="H262" s="20"/>
    </row>
    <row r="263" customFormat="false" ht="17.35" hidden="false" customHeight="false" outlineLevel="0" collapsed="false">
      <c r="A263" s="180" t="s">
        <v>188</v>
      </c>
      <c r="B263" s="188"/>
      <c r="C263" s="186"/>
      <c r="D263" s="187" t="s">
        <v>189</v>
      </c>
      <c r="E263" s="187"/>
      <c r="F263" s="188" t="n">
        <f aca="false">F270+F276+F278+B279+B280</f>
        <v>548.671875</v>
      </c>
      <c r="G263" s="45"/>
      <c r="H263" s="20"/>
    </row>
    <row r="264" customFormat="false" ht="17.35" hidden="false" customHeight="false" outlineLevel="0" collapsed="false">
      <c r="A264" s="180" t="s">
        <v>190</v>
      </c>
      <c r="B264" s="188" t="n">
        <f aca="false">F271+B272</f>
        <v>99.99</v>
      </c>
      <c r="C264" s="186"/>
      <c r="D264" s="187" t="s">
        <v>191</v>
      </c>
      <c r="E264" s="187"/>
      <c r="F264" s="188" t="n">
        <f aca="false">(B263-F263)+B264</f>
        <v>-448.681875</v>
      </c>
      <c r="G264" s="45"/>
      <c r="H264" s="20"/>
    </row>
    <row r="265" customFormat="false" ht="17.35" hidden="false" customHeight="false" outlineLevel="0" collapsed="false">
      <c r="A265" s="189"/>
      <c r="B265" s="187"/>
      <c r="C265" s="190"/>
      <c r="D265" s="190"/>
      <c r="E265" s="190"/>
      <c r="F265" s="190"/>
      <c r="G265" s="191"/>
      <c r="H265" s="192"/>
    </row>
    <row r="266" customFormat="false" ht="17.35" hidden="false" customHeight="false" outlineLevel="0" collapsed="false">
      <c r="A266" s="55" t="s">
        <v>186</v>
      </c>
      <c r="B266" s="193" t="n">
        <f aca="false">B262</f>
        <v>0.065</v>
      </c>
      <c r="C266" s="186"/>
      <c r="D266" s="186"/>
      <c r="E266" s="186"/>
      <c r="F266" s="186"/>
      <c r="G266" s="45"/>
      <c r="H266" s="20"/>
    </row>
    <row r="267" customFormat="false" ht="17.35" hidden="false" customHeight="false" outlineLevel="0" collapsed="false">
      <c r="A267" s="194"/>
      <c r="B267" s="195"/>
      <c r="C267" s="196"/>
      <c r="D267" s="196"/>
      <c r="E267" s="191"/>
      <c r="F267" s="191"/>
      <c r="G267" s="191"/>
      <c r="H267" s="192"/>
    </row>
    <row r="268" customFormat="false" ht="17.35" hidden="false" customHeight="false" outlineLevel="0" collapsed="false">
      <c r="A268" s="55" t="s">
        <v>192</v>
      </c>
      <c r="B268" s="193" t="n">
        <f aca="false">B73</f>
        <v>0.05</v>
      </c>
      <c r="C268" s="178"/>
      <c r="D268" s="38" t="s">
        <v>193</v>
      </c>
      <c r="E268" s="38"/>
      <c r="F268" s="193" t="n">
        <v>0</v>
      </c>
      <c r="G268" s="45"/>
      <c r="H268" s="20"/>
    </row>
    <row r="269" customFormat="false" ht="17.35" hidden="false" customHeight="false" outlineLevel="0" collapsed="false">
      <c r="A269" s="123" t="s">
        <v>187</v>
      </c>
      <c r="B269" s="197" t="n">
        <f aca="false">B92</f>
        <v>0.115</v>
      </c>
      <c r="C269" s="198"/>
      <c r="D269" s="38" t="s">
        <v>188</v>
      </c>
      <c r="E269" s="38"/>
      <c r="F269" s="199" t="n">
        <f aca="false">(B98*B68)-(C98*B68)</f>
        <v>50714.1248437457</v>
      </c>
      <c r="G269" s="45"/>
      <c r="H269" s="20"/>
    </row>
    <row r="270" customFormat="false" ht="17.35" hidden="false" customHeight="false" outlineLevel="0" collapsed="false">
      <c r="A270" s="55" t="s">
        <v>194</v>
      </c>
      <c r="B270" s="197" t="n">
        <f aca="false">B76</f>
        <v>0.009375</v>
      </c>
      <c r="C270" s="178"/>
      <c r="D270" s="38" t="s">
        <v>194</v>
      </c>
      <c r="E270" s="38"/>
      <c r="F270" s="152" t="n">
        <f aca="false">B77</f>
        <v>548.671875</v>
      </c>
      <c r="G270" s="45"/>
      <c r="H270" s="20"/>
    </row>
    <row r="271" customFormat="false" ht="17.35" hidden="false" customHeight="false" outlineLevel="0" collapsed="false">
      <c r="A271" s="55" t="s">
        <v>195</v>
      </c>
      <c r="B271" s="193" t="n">
        <f aca="false">A117</f>
        <v>0.2</v>
      </c>
      <c r="C271" s="178"/>
      <c r="D271" s="38" t="s">
        <v>195</v>
      </c>
      <c r="E271" s="38"/>
      <c r="F271" s="199" t="n">
        <f aca="false">E249*10</f>
        <v>0</v>
      </c>
      <c r="G271" s="45"/>
      <c r="H271" s="20"/>
    </row>
    <row r="272" customFormat="false" ht="17.35" hidden="false" customHeight="false" outlineLevel="0" collapsed="false">
      <c r="A272" s="55" t="s">
        <v>196</v>
      </c>
      <c r="B272" s="199" t="n">
        <f aca="false">A252</f>
        <v>99.99</v>
      </c>
      <c r="C272" s="178"/>
      <c r="D272" s="200" t="s">
        <v>191</v>
      </c>
      <c r="E272" s="200"/>
      <c r="F272" s="199" t="n">
        <f aca="false">(B263-F263)+B264</f>
        <v>-448.681875</v>
      </c>
      <c r="G272" s="45"/>
      <c r="H272" s="20"/>
    </row>
    <row r="273" customFormat="false" ht="17.35" hidden="false" customHeight="false" outlineLevel="0" collapsed="false">
      <c r="A273" s="70"/>
      <c r="B273" s="201"/>
      <c r="C273" s="178"/>
      <c r="D273" s="178"/>
      <c r="E273" s="201"/>
      <c r="F273" s="45"/>
      <c r="G273" s="45"/>
      <c r="H273" s="20"/>
    </row>
    <row r="274" customFormat="false" ht="22.05" hidden="false" customHeight="false" outlineLevel="0" collapsed="false">
      <c r="A274" s="184" t="s">
        <v>197</v>
      </c>
      <c r="B274" s="184"/>
      <c r="C274" s="184"/>
      <c r="D274" s="184"/>
      <c r="E274" s="184"/>
      <c r="F274" s="184"/>
      <c r="G274" s="184"/>
      <c r="H274" s="184"/>
    </row>
    <row r="275" customFormat="false" ht="17.35" hidden="false" customHeight="false" outlineLevel="0" collapsed="false">
      <c r="A275" s="55" t="s">
        <v>198</v>
      </c>
      <c r="B275" s="152" t="n">
        <v>0</v>
      </c>
      <c r="C275" s="178"/>
      <c r="D275" s="202" t="s">
        <v>199</v>
      </c>
      <c r="E275" s="202"/>
      <c r="F275" s="152" t="n">
        <v>0</v>
      </c>
      <c r="G275" s="45"/>
      <c r="H275" s="20"/>
    </row>
    <row r="276" customFormat="false" ht="17.35" hidden="false" customHeight="false" outlineLevel="0" collapsed="false">
      <c r="A276" s="70"/>
      <c r="B276" s="199"/>
      <c r="C276" s="178"/>
      <c r="D276" s="38" t="s">
        <v>200</v>
      </c>
      <c r="E276" s="38"/>
      <c r="F276" s="199" t="n">
        <f aca="false">B275+F275*B218</f>
        <v>0</v>
      </c>
      <c r="G276" s="45"/>
      <c r="H276" s="20"/>
    </row>
    <row r="277" customFormat="false" ht="17.35" hidden="false" customHeight="false" outlineLevel="0" collapsed="false">
      <c r="A277" s="78" t="s">
        <v>201</v>
      </c>
      <c r="B277" s="203" t="s">
        <v>4</v>
      </c>
      <c r="C277" s="178"/>
      <c r="D277" s="38" t="s">
        <v>202</v>
      </c>
      <c r="E277" s="38"/>
      <c r="F277" s="203" t="n">
        <f aca="false">B79</f>
        <v>0</v>
      </c>
      <c r="G277" s="45"/>
      <c r="H277" s="20"/>
    </row>
    <row r="278" customFormat="false" ht="17.35" hidden="false" customHeight="false" outlineLevel="0" collapsed="false">
      <c r="A278" s="78"/>
      <c r="B278" s="204"/>
      <c r="C278" s="178"/>
      <c r="D278" s="38" t="s">
        <v>203</v>
      </c>
      <c r="E278" s="38"/>
      <c r="F278" s="199" t="n">
        <f aca="false">B100</f>
        <v>0</v>
      </c>
      <c r="G278" s="45"/>
      <c r="H278" s="20"/>
    </row>
    <row r="279" customFormat="false" ht="17.35" hidden="false" customHeight="false" outlineLevel="0" collapsed="false">
      <c r="A279" s="78" t="s">
        <v>204</v>
      </c>
      <c r="B279" s="152" t="n">
        <v>0</v>
      </c>
      <c r="C279" s="178"/>
      <c r="D279" s="178"/>
      <c r="E279" s="201"/>
      <c r="F279" s="45"/>
      <c r="G279" s="45"/>
      <c r="H279" s="20"/>
    </row>
    <row r="280" customFormat="false" ht="17.35" hidden="false" customHeight="false" outlineLevel="0" collapsed="false">
      <c r="A280" s="55" t="s">
        <v>205</v>
      </c>
      <c r="B280" s="152" t="n">
        <v>0</v>
      </c>
      <c r="C280" s="178"/>
      <c r="D280" s="178"/>
      <c r="E280" s="45"/>
      <c r="F280" s="45"/>
      <c r="G280" s="45"/>
      <c r="H280" s="20"/>
    </row>
    <row r="281" customFormat="false" ht="17.35" hidden="false" customHeight="false" outlineLevel="0" collapsed="false">
      <c r="A281" s="74"/>
      <c r="B281" s="75"/>
      <c r="C281" s="75"/>
      <c r="D281" s="75"/>
      <c r="E281" s="75"/>
      <c r="F281" s="75"/>
      <c r="G281" s="75"/>
      <c r="H281" s="82"/>
    </row>
  </sheetData>
  <mergeCells count="29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  <mergeCell ref="A215:H215"/>
    <mergeCell ref="A247:H247"/>
    <mergeCell ref="A260:H260"/>
    <mergeCell ref="D262:E262"/>
    <mergeCell ref="D263:E263"/>
    <mergeCell ref="D264:E264"/>
    <mergeCell ref="D268:E268"/>
    <mergeCell ref="D269:E269"/>
    <mergeCell ref="D270:E270"/>
    <mergeCell ref="D271:E271"/>
    <mergeCell ref="A274:H274"/>
    <mergeCell ref="D275:E275"/>
    <mergeCell ref="D276:E276"/>
    <mergeCell ref="D277:E277"/>
    <mergeCell ref="D278:E278"/>
  </mergeCells>
  <dataValidations count="4">
    <dataValidation allowBlank="true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operator="between" showDropDown="false" showErrorMessage="true" showInputMessage="true" sqref="B114 K114 T114 AC114" type="list">
      <formula1>$Y$136:$Y$145</formula1>
      <formula2>0</formula2>
    </dataValidation>
    <dataValidation allowBlank="true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81"/>
  <sheetViews>
    <sheetView showFormulas="false" showGridLines="true" showRowColHeaders="true" showZeros="true" rightToLeft="false" tabSelected="false" showOutlineSymbols="true" defaultGridColor="true" view="normal" topLeftCell="A231" colorId="64" zoomScale="75" zoomScaleNormal="75" zoomScalePageLayoutView="100" workbookViewId="0">
      <selection pane="topLeft" activeCell="F131" activeCellId="0" sqref="F131"/>
    </sheetView>
  </sheetViews>
  <sheetFormatPr defaultColWidth="8.320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3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3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3" collapsed="false" outlineLevel="0"/>
  </cols>
  <sheetData>
    <row r="1" customFormat="false" ht="46.5" hidden="false" customHeight="true" outlineLevel="0" collapsed="false">
      <c r="A1" s="4" t="s">
        <v>324</v>
      </c>
      <c r="B1" s="4"/>
      <c r="C1" s="4"/>
      <c r="D1" s="4"/>
      <c r="E1" s="4"/>
      <c r="F1" s="4"/>
      <c r="G1" s="4"/>
      <c r="H1" s="4"/>
      <c r="I1" s="2"/>
      <c r="J1" s="2"/>
    </row>
    <row r="2" customFormat="false" ht="19.7" hidden="false" customHeight="false" outlineLevel="0" collapsed="false">
      <c r="A2" s="99"/>
      <c r="B2" s="8" t="s">
        <v>115</v>
      </c>
      <c r="C2" s="8"/>
      <c r="D2" s="8" t="s">
        <v>116</v>
      </c>
      <c r="E2" s="8"/>
      <c r="F2" s="8" t="s">
        <v>117</v>
      </c>
      <c r="G2" s="8"/>
      <c r="H2" s="9" t="s">
        <v>118</v>
      </c>
      <c r="I2" s="2"/>
      <c r="J2" s="2"/>
    </row>
    <row r="3" customFormat="false" ht="17.35" hidden="false" customHeight="false" outlineLevel="0" collapsed="false">
      <c r="A3" s="55" t="s">
        <v>121</v>
      </c>
      <c r="B3" s="13" t="n">
        <v>46854.17</v>
      </c>
      <c r="C3" s="13"/>
      <c r="D3" s="13" t="n">
        <v>0</v>
      </c>
      <c r="E3" s="13"/>
      <c r="F3" s="13" t="n">
        <v>833.33</v>
      </c>
      <c r="G3" s="13"/>
      <c r="H3" s="14" t="n">
        <v>0</v>
      </c>
      <c r="I3" s="2"/>
      <c r="J3" s="2"/>
    </row>
    <row r="4" customFormat="false" ht="17.35" hidden="false" customHeight="false" outlineLevel="0" collapsed="false">
      <c r="A4" s="55" t="s">
        <v>122</v>
      </c>
      <c r="B4" s="445" t="n">
        <v>0</v>
      </c>
      <c r="C4" s="445"/>
      <c r="D4" s="446" t="n">
        <v>0</v>
      </c>
      <c r="E4" s="446"/>
      <c r="F4" s="446" t="n">
        <v>0</v>
      </c>
      <c r="G4" s="446"/>
      <c r="H4" s="447"/>
      <c r="I4" s="2"/>
      <c r="J4" s="2"/>
    </row>
    <row r="5" customFormat="false" ht="17.35" hidden="false" customHeight="false" outlineLevel="0" collapsed="false">
      <c r="A5" s="55" t="s">
        <v>123</v>
      </c>
      <c r="B5" s="13" t="n">
        <v>0</v>
      </c>
      <c r="C5" s="13"/>
      <c r="D5" s="13" t="n">
        <v>0</v>
      </c>
      <c r="E5" s="13"/>
      <c r="F5" s="13" t="n">
        <v>0</v>
      </c>
      <c r="G5" s="13"/>
      <c r="H5" s="20"/>
      <c r="I5" s="2"/>
      <c r="J5" s="2"/>
    </row>
    <row r="6" customFormat="false" ht="17.35" hidden="false" customHeight="false" outlineLevel="0" collapsed="false">
      <c r="A6" s="55" t="s">
        <v>124</v>
      </c>
      <c r="B6" s="21" t="n">
        <f aca="false">(B3*B4/100)+B5</f>
        <v>0</v>
      </c>
      <c r="C6" s="21"/>
      <c r="D6" s="21" t="n">
        <f aca="false">(D3*D4/100)+D5</f>
        <v>0</v>
      </c>
      <c r="E6" s="21"/>
      <c r="F6" s="21" t="n">
        <f aca="false">(F3*F4/100)+F5</f>
        <v>0</v>
      </c>
      <c r="G6" s="21"/>
      <c r="H6" s="20"/>
      <c r="I6" s="2"/>
      <c r="J6" s="2"/>
    </row>
    <row r="7" customFormat="false" ht="17.35" hidden="false" customHeight="false" outlineLevel="0" collapsed="false">
      <c r="A7" s="55" t="s">
        <v>125</v>
      </c>
      <c r="B7" s="21" t="n">
        <f aca="false">B3-B6</f>
        <v>46854.17</v>
      </c>
      <c r="C7" s="21"/>
      <c r="D7" s="21" t="n">
        <f aca="false">D3-D6</f>
        <v>0</v>
      </c>
      <c r="E7" s="21"/>
      <c r="F7" s="21" t="n">
        <f aca="false">F3-F6</f>
        <v>833.33</v>
      </c>
      <c r="G7" s="21"/>
      <c r="H7" s="20"/>
      <c r="I7" s="2"/>
      <c r="J7" s="2"/>
    </row>
    <row r="8" customFormat="false" ht="17.35" hidden="false" customHeight="false" outlineLevel="0" collapsed="false">
      <c r="A8" s="55"/>
      <c r="B8" s="178"/>
      <c r="C8" s="178"/>
      <c r="D8" s="178"/>
      <c r="E8" s="178"/>
      <c r="F8" s="178"/>
      <c r="G8" s="178"/>
      <c r="H8" s="20"/>
      <c r="I8" s="2"/>
      <c r="J8" s="2"/>
      <c r="L8" s="26" t="s">
        <v>3</v>
      </c>
      <c r="M8" s="27" t="n">
        <f aca="false">H13+H14</f>
        <v>640</v>
      </c>
    </row>
    <row r="9" customFormat="false" ht="19.7" hidden="false" customHeight="false" outlineLevel="0" collapsed="false">
      <c r="A9" s="153" t="s">
        <v>133</v>
      </c>
      <c r="B9" s="153"/>
      <c r="C9" s="153"/>
      <c r="D9" s="153"/>
      <c r="E9" s="153"/>
      <c r="F9" s="153"/>
      <c r="G9" s="448"/>
      <c r="H9" s="30" t="n">
        <f aca="false">B7+D7+F7+H3</f>
        <v>47687.5</v>
      </c>
      <c r="I9" s="2"/>
      <c r="J9" s="2"/>
      <c r="L9" s="27"/>
      <c r="M9" s="27"/>
    </row>
    <row r="10" customFormat="false" ht="17.35" hidden="false" customHeight="false" outlineLevel="0" collapsed="false">
      <c r="A10" s="155" t="s">
        <v>134</v>
      </c>
      <c r="B10" s="155"/>
      <c r="C10" s="155"/>
      <c r="D10" s="155"/>
      <c r="E10" s="155"/>
      <c r="F10" s="155"/>
      <c r="G10" s="204"/>
      <c r="H10" s="14" t="n">
        <v>550</v>
      </c>
      <c r="I10" s="2"/>
      <c r="J10" s="2"/>
      <c r="L10" s="32" t="s">
        <v>1</v>
      </c>
      <c r="M10" s="27" t="n">
        <f aca="false">H15-H11-M8</f>
        <v>48237.5</v>
      </c>
    </row>
    <row r="11" customFormat="false" ht="17.35" hidden="false" customHeight="false" outlineLevel="0" collapsed="false">
      <c r="A11" s="155" t="s">
        <v>135</v>
      </c>
      <c r="B11" s="155"/>
      <c r="C11" s="155"/>
      <c r="D11" s="155"/>
      <c r="E11" s="155"/>
      <c r="F11" s="155"/>
      <c r="G11" s="204"/>
      <c r="H11" s="20" t="n">
        <f aca="false">(H9+H10)*20%</f>
        <v>9647.5</v>
      </c>
      <c r="I11" s="2"/>
      <c r="J11" s="2"/>
      <c r="L11" s="27"/>
      <c r="M11" s="27"/>
    </row>
    <row r="12" customFormat="false" ht="17.35" hidden="false" customHeight="false" outlineLevel="0" collapsed="false">
      <c r="A12" s="155" t="s">
        <v>136</v>
      </c>
      <c r="B12" s="155"/>
      <c r="C12" s="155"/>
      <c r="D12" s="155"/>
      <c r="E12" s="155"/>
      <c r="F12" s="155"/>
      <c r="G12" s="204"/>
      <c r="H12" s="14" t="n">
        <v>0</v>
      </c>
      <c r="I12" s="2"/>
      <c r="J12" s="2"/>
    </row>
    <row r="13" customFormat="false" ht="17.35" hidden="false" customHeight="false" outlineLevel="0" collapsed="false">
      <c r="A13" s="155" t="s">
        <v>137</v>
      </c>
      <c r="B13" s="155"/>
      <c r="C13" s="155"/>
      <c r="D13" s="155"/>
      <c r="E13" s="155"/>
      <c r="F13" s="155"/>
      <c r="G13" s="204"/>
      <c r="H13" s="14" t="n">
        <v>585</v>
      </c>
      <c r="I13" s="2"/>
      <c r="J13" s="2"/>
    </row>
    <row r="14" customFormat="false" ht="17.35" hidden="false" customHeight="false" outlineLevel="0" collapsed="false">
      <c r="A14" s="155" t="s">
        <v>138</v>
      </c>
      <c r="B14" s="155"/>
      <c r="C14" s="155"/>
      <c r="D14" s="155"/>
      <c r="E14" s="155"/>
      <c r="F14" s="155"/>
      <c r="G14" s="204"/>
      <c r="H14" s="14" t="n">
        <v>55</v>
      </c>
      <c r="I14" s="2"/>
      <c r="J14" s="2" t="s">
        <v>13</v>
      </c>
    </row>
    <row r="15" customFormat="false" ht="17.35" hidden="false" customHeight="false" outlineLevel="0" collapsed="false">
      <c r="A15" s="155" t="s">
        <v>139</v>
      </c>
      <c r="B15" s="155"/>
      <c r="C15" s="155"/>
      <c r="D15" s="155"/>
      <c r="E15" s="155"/>
      <c r="F15" s="155"/>
      <c r="G15" s="204"/>
      <c r="H15" s="33" t="n">
        <f aca="false">(H9+H10+H13+H14+H11)-H12</f>
        <v>58525</v>
      </c>
      <c r="I15" s="2"/>
      <c r="J15" s="34" t="n">
        <f aca="false">H15</f>
        <v>58525</v>
      </c>
    </row>
    <row r="16" customFormat="false" ht="17.35" hidden="false" customHeight="false" outlineLevel="0" collapsed="false">
      <c r="A16" s="155" t="s">
        <v>140</v>
      </c>
      <c r="B16" s="155"/>
      <c r="C16" s="155"/>
      <c r="D16" s="155"/>
      <c r="E16" s="155"/>
      <c r="F16" s="155"/>
      <c r="G16" s="204"/>
      <c r="H16" s="14" t="n">
        <v>0</v>
      </c>
      <c r="I16" s="2"/>
      <c r="J16" s="2"/>
      <c r="Y16" s="36" t="s">
        <v>15</v>
      </c>
    </row>
    <row r="17" customFormat="false" ht="17.35" hidden="false" customHeight="false" outlineLevel="0" collapsed="false">
      <c r="A17" s="70" t="s">
        <v>141</v>
      </c>
      <c r="B17" s="70"/>
      <c r="C17" s="70"/>
      <c r="D17" s="70"/>
      <c r="E17" s="70"/>
      <c r="F17" s="70"/>
      <c r="G17" s="201"/>
      <c r="H17" s="20"/>
      <c r="I17" s="2"/>
      <c r="J17" s="2" t="s">
        <v>16</v>
      </c>
      <c r="Y17" s="36" t="s">
        <v>17</v>
      </c>
    </row>
    <row r="18" customFormat="false" ht="17.35" hidden="false" customHeight="false" outlineLevel="0" collapsed="false">
      <c r="A18" s="158" t="s">
        <v>15</v>
      </c>
      <c r="B18" s="159" t="s">
        <v>142</v>
      </c>
      <c r="C18" s="159"/>
      <c r="D18" s="159"/>
      <c r="E18" s="159"/>
      <c r="F18" s="159"/>
      <c r="G18" s="200"/>
      <c r="H18" s="39" t="n">
        <v>0</v>
      </c>
      <c r="I18" s="2"/>
      <c r="J18" s="34" t="n">
        <f aca="false">(B3+D3+F3+H3+H10)*1.2</f>
        <v>57885</v>
      </c>
      <c r="Y18" s="36" t="s">
        <v>18</v>
      </c>
    </row>
    <row r="19" customFormat="false" ht="17.35" hidden="false" customHeight="false" outlineLevel="0" collapsed="false">
      <c r="A19" s="158" t="s">
        <v>17</v>
      </c>
      <c r="B19" s="159" t="s">
        <v>142</v>
      </c>
      <c r="C19" s="159"/>
      <c r="D19" s="159"/>
      <c r="E19" s="159"/>
      <c r="F19" s="159"/>
      <c r="G19" s="200"/>
      <c r="H19" s="39" t="n">
        <v>0</v>
      </c>
      <c r="I19" s="2"/>
      <c r="J19" s="2"/>
      <c r="Z19" s="2" t="s">
        <v>9</v>
      </c>
    </row>
    <row r="20" customFormat="false" ht="17.35" hidden="false" customHeight="false" outlineLevel="0" collapsed="false">
      <c r="A20" s="158" t="s">
        <v>18</v>
      </c>
      <c r="B20" s="159" t="s">
        <v>142</v>
      </c>
      <c r="C20" s="159"/>
      <c r="D20" s="159"/>
      <c r="E20" s="159"/>
      <c r="F20" s="159"/>
      <c r="G20" s="200"/>
      <c r="H20" s="39" t="n">
        <v>0</v>
      </c>
      <c r="I20" s="2"/>
      <c r="J20" s="2"/>
      <c r="Z20" s="2" t="s">
        <v>10</v>
      </c>
    </row>
    <row r="21" customFormat="false" ht="19.7" hidden="false" customHeight="false" outlineLevel="0" collapsed="false">
      <c r="A21" s="449" t="s">
        <v>143</v>
      </c>
      <c r="B21" s="449"/>
      <c r="C21" s="449"/>
      <c r="D21" s="449"/>
      <c r="E21" s="449"/>
      <c r="F21" s="449"/>
      <c r="G21" s="43"/>
      <c r="H21" s="44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45"/>
      <c r="B22" s="45"/>
      <c r="C22" s="45"/>
      <c r="D22" s="45"/>
      <c r="E22" s="45"/>
      <c r="F22" s="45"/>
      <c r="G22" s="45"/>
      <c r="H22" s="45"/>
      <c r="J22" s="2"/>
      <c r="K22" s="2"/>
    </row>
    <row r="23" customFormat="false" ht="17.35" hidden="false" customHeight="false" outlineLevel="0" collapsed="false">
      <c r="A23" s="45"/>
      <c r="B23" s="45"/>
      <c r="C23" s="45"/>
      <c r="D23" s="45"/>
      <c r="E23" s="45"/>
      <c r="F23" s="45"/>
      <c r="G23" s="45"/>
      <c r="H23" s="45"/>
      <c r="J23" s="2"/>
      <c r="K23" s="2"/>
    </row>
    <row r="24" customFormat="false" ht="46.5" hidden="false" customHeight="true" outlineLevel="0" collapsed="false">
      <c r="A24" s="47" t="s">
        <v>350</v>
      </c>
      <c r="B24" s="47"/>
      <c r="C24" s="47"/>
      <c r="D24" s="47"/>
      <c r="E24" s="47"/>
      <c r="F24" s="47"/>
      <c r="G24" s="47"/>
      <c r="H24" s="47"/>
      <c r="I24" s="2"/>
      <c r="J24" s="2"/>
      <c r="K24" s="2"/>
    </row>
    <row r="25" customFormat="false" ht="17.35" hidden="false" customHeight="false" outlineLevel="0" collapsed="false">
      <c r="A25" s="48"/>
      <c r="B25" s="49"/>
      <c r="C25" s="49"/>
      <c r="D25" s="49"/>
      <c r="E25" s="49"/>
      <c r="F25" s="49"/>
      <c r="G25" s="49"/>
      <c r="H25" s="50"/>
      <c r="I25" s="2"/>
      <c r="J25" s="2"/>
      <c r="K25" s="2"/>
    </row>
    <row r="26" customFormat="false" ht="22.05" hidden="false" customHeight="false" outlineLevel="0" collapsed="false">
      <c r="A26" s="58" t="s">
        <v>351</v>
      </c>
      <c r="B26" s="58"/>
      <c r="C26" s="58"/>
      <c r="D26" s="58"/>
      <c r="E26" s="58"/>
      <c r="F26" s="58"/>
      <c r="G26" s="58"/>
      <c r="H26" s="58"/>
      <c r="I26" s="2"/>
      <c r="J26" s="53" t="s">
        <v>23</v>
      </c>
      <c r="K26" s="54" t="s">
        <v>24</v>
      </c>
    </row>
    <row r="27" customFormat="false" ht="17.9" hidden="false" customHeight="false" outlineLevel="0" collapsed="false">
      <c r="A27" s="55"/>
      <c r="B27" s="178"/>
      <c r="C27" s="178"/>
      <c r="D27" s="178"/>
      <c r="E27" s="178"/>
      <c r="F27" s="178"/>
      <c r="G27" s="178"/>
      <c r="H27" s="20"/>
      <c r="I27" s="2"/>
      <c r="J27" s="56" t="s">
        <v>25</v>
      </c>
      <c r="K27" s="57" t="n">
        <v>1</v>
      </c>
    </row>
    <row r="28" customFormat="false" ht="17.9" hidden="false" customHeight="false" outlineLevel="0" collapsed="false">
      <c r="A28" s="51" t="s">
        <v>23</v>
      </c>
      <c r="B28" s="178" t="s">
        <v>352</v>
      </c>
      <c r="C28" s="178"/>
      <c r="D28" s="178"/>
      <c r="E28" s="178"/>
      <c r="F28" s="178"/>
      <c r="G28" s="178"/>
      <c r="H28" s="20"/>
      <c r="I28" s="2"/>
      <c r="J28" s="56" t="s">
        <v>27</v>
      </c>
      <c r="K28" s="57"/>
    </row>
    <row r="29" customFormat="false" ht="17.9" hidden="false" customHeight="false" outlineLevel="0" collapsed="false">
      <c r="A29" s="55"/>
      <c r="B29" s="178"/>
      <c r="C29" s="178"/>
      <c r="D29" s="178"/>
      <c r="E29" s="178"/>
      <c r="F29" s="178"/>
      <c r="G29" s="178"/>
      <c r="H29" s="20"/>
      <c r="I29" s="178"/>
      <c r="J29" s="53" t="s">
        <v>214</v>
      </c>
      <c r="K29" s="61" t="str">
        <f aca="false">A34</f>
        <v>33</v>
      </c>
    </row>
    <row r="30" customFormat="false" ht="17.9" hidden="false" customHeight="false" outlineLevel="0" collapsed="false">
      <c r="A30" s="51" t="s">
        <v>210</v>
      </c>
      <c r="B30" s="178"/>
      <c r="C30" s="201" t="s">
        <v>211</v>
      </c>
      <c r="D30" s="200"/>
      <c r="E30" s="178"/>
      <c r="F30" s="201" t="s">
        <v>353</v>
      </c>
      <c r="G30" s="200"/>
      <c r="H30" s="20"/>
      <c r="I30" s="178"/>
      <c r="J30" s="53" t="s">
        <v>31</v>
      </c>
      <c r="K30" s="61" t="str">
        <f aca="false">C34</f>
        <v>5000</v>
      </c>
    </row>
    <row r="31" customFormat="false" ht="17.9" hidden="false" customHeight="false" outlineLevel="0" collapsed="false">
      <c r="A31" s="52" t="s">
        <v>354</v>
      </c>
      <c r="B31" s="178"/>
      <c r="C31" s="450" t="s">
        <v>355</v>
      </c>
      <c r="D31" s="450"/>
      <c r="E31" s="178"/>
      <c r="F31" s="450"/>
      <c r="G31" s="450"/>
      <c r="H31" s="20"/>
      <c r="I31" s="178"/>
      <c r="J31" s="53" t="s">
        <v>32</v>
      </c>
      <c r="K31" s="410" t="str">
        <f aca="false">A43</f>
        <v>6000</v>
      </c>
    </row>
    <row r="32" customFormat="false" ht="34.8" hidden="false" customHeight="false" outlineLevel="0" collapsed="false">
      <c r="A32" s="51"/>
      <c r="B32" s="198"/>
      <c r="C32" s="198"/>
      <c r="D32" s="198"/>
      <c r="E32" s="198"/>
      <c r="F32" s="198"/>
      <c r="G32" s="198"/>
      <c r="H32" s="20"/>
      <c r="I32" s="2"/>
      <c r="J32" s="53" t="s">
        <v>35</v>
      </c>
      <c r="K32" s="410" t="n">
        <f aca="false">A46</f>
        <v>0</v>
      </c>
    </row>
    <row r="33" customFormat="false" ht="17.35" hidden="false" customHeight="false" outlineLevel="0" collapsed="false">
      <c r="A33" s="51" t="s">
        <v>174</v>
      </c>
      <c r="B33" s="178"/>
      <c r="C33" s="451" t="s">
        <v>175</v>
      </c>
      <c r="D33" s="200"/>
      <c r="E33" s="178"/>
      <c r="F33" s="201" t="s">
        <v>223</v>
      </c>
      <c r="G33" s="200"/>
      <c r="H33" s="65"/>
      <c r="I33" s="2"/>
      <c r="J33" s="56"/>
      <c r="K33" s="66"/>
    </row>
    <row r="34" customFormat="false" ht="17.35" hidden="false" customHeight="false" outlineLevel="0" collapsed="false">
      <c r="A34" s="52" t="s">
        <v>356</v>
      </c>
      <c r="B34" s="178"/>
      <c r="C34" s="450" t="s">
        <v>326</v>
      </c>
      <c r="D34" s="450"/>
      <c r="E34" s="178"/>
      <c r="F34" s="450" t="n">
        <f aca="false">(A34/12)*C34</f>
        <v>13750</v>
      </c>
      <c r="G34" s="450"/>
      <c r="H34" s="65"/>
      <c r="I34" s="2"/>
      <c r="J34" s="2"/>
      <c r="K34" s="2"/>
    </row>
    <row r="35" customFormat="false" ht="20.85" hidden="false" customHeight="false" outlineLevel="0" collapsed="false">
      <c r="A35" s="55"/>
      <c r="B35" s="178"/>
      <c r="C35" s="178"/>
      <c r="E35" s="178"/>
      <c r="F35" s="198"/>
      <c r="G35" s="198"/>
      <c r="H35" s="65"/>
      <c r="I35" s="2"/>
      <c r="J35" s="68" t="s">
        <v>40</v>
      </c>
      <c r="K35" s="452" t="n">
        <v>0.065</v>
      </c>
    </row>
    <row r="36" customFormat="false" ht="17.35" hidden="false" customHeight="false" outlineLevel="0" collapsed="false">
      <c r="A36" s="51" t="s">
        <v>357</v>
      </c>
      <c r="B36" s="178"/>
      <c r="C36" s="201" t="s">
        <v>325</v>
      </c>
      <c r="D36" s="200"/>
      <c r="E36" s="178"/>
      <c r="F36" s="201" t="s">
        <v>327</v>
      </c>
      <c r="G36" s="200"/>
      <c r="H36" s="65"/>
      <c r="I36" s="2"/>
      <c r="J36" s="2" t="s">
        <v>41</v>
      </c>
      <c r="K36" s="2" t="n">
        <f aca="false">C40</f>
        <v>32</v>
      </c>
    </row>
    <row r="37" customFormat="false" ht="17.35" hidden="false" customHeight="false" outlineLevel="0" collapsed="false">
      <c r="A37" s="51" t="n">
        <f aca="false">H9+H10+H13+H14</f>
        <v>48877.5</v>
      </c>
      <c r="B37" s="178"/>
      <c r="C37" s="450" t="s">
        <v>328</v>
      </c>
      <c r="D37" s="450"/>
      <c r="E37" s="178"/>
      <c r="F37" s="198" t="n">
        <f aca="false">A37-C37</f>
        <v>47877.5</v>
      </c>
      <c r="G37" s="198"/>
      <c r="H37" s="65"/>
      <c r="I37" s="2"/>
      <c r="J37" s="2"/>
      <c r="K37" s="2"/>
    </row>
    <row r="38" customFormat="false" ht="17.35" hidden="false" customHeight="false" outlineLevel="0" collapsed="false">
      <c r="A38" s="51"/>
      <c r="B38" s="198"/>
      <c r="C38" s="198"/>
      <c r="D38" s="198"/>
      <c r="E38" s="198"/>
      <c r="F38" s="198"/>
      <c r="G38" s="198"/>
      <c r="H38" s="65"/>
      <c r="J38" s="71" t="s">
        <v>42</v>
      </c>
      <c r="K38" s="71"/>
      <c r="L38" s="2"/>
    </row>
    <row r="39" customFormat="false" ht="17.35" hidden="false" customHeight="false" outlineLevel="0" collapsed="false">
      <c r="A39" s="51" t="s">
        <v>152</v>
      </c>
      <c r="B39" s="178"/>
      <c r="C39" s="200" t="s">
        <v>329</v>
      </c>
      <c r="D39" s="201"/>
      <c r="E39" s="178"/>
      <c r="F39" s="201" t="s">
        <v>330</v>
      </c>
      <c r="G39" s="200"/>
      <c r="H39" s="65"/>
      <c r="J39" s="2" t="s">
        <v>331</v>
      </c>
      <c r="K39" s="2" t="str">
        <f aca="false">F40</f>
        <v>500</v>
      </c>
      <c r="L39" s="2"/>
    </row>
    <row r="40" customFormat="false" ht="17.35" hidden="false" customHeight="false" outlineLevel="0" collapsed="false">
      <c r="A40" s="52" t="s">
        <v>232</v>
      </c>
      <c r="B40" s="178"/>
      <c r="C40" s="453" t="n">
        <f aca="false">A34-1</f>
        <v>32</v>
      </c>
      <c r="D40" s="453"/>
      <c r="E40" s="178"/>
      <c r="F40" s="450" t="s">
        <v>226</v>
      </c>
      <c r="G40" s="450"/>
      <c r="H40" s="65"/>
      <c r="J40" s="2" t="s">
        <v>335</v>
      </c>
      <c r="K40" s="2" t="n">
        <f aca="false">H11</f>
        <v>9647.5</v>
      </c>
      <c r="L40" s="2"/>
    </row>
    <row r="41" customFormat="false" ht="17.35" hidden="false" customHeight="false" outlineLevel="0" collapsed="false">
      <c r="A41" s="51"/>
      <c r="B41" s="198"/>
      <c r="C41" s="198"/>
      <c r="D41" s="198"/>
      <c r="E41" s="198"/>
      <c r="F41" s="198"/>
      <c r="G41" s="198"/>
      <c r="H41" s="65"/>
      <c r="J41" s="2" t="s">
        <v>338</v>
      </c>
      <c r="K41" s="2" t="n">
        <f aca="false">IF(F43="Yes", A46, 0)</f>
        <v>0</v>
      </c>
      <c r="L41" s="2"/>
    </row>
    <row r="42" customFormat="false" ht="17.35" hidden="false" customHeight="false" outlineLevel="0" collapsed="false">
      <c r="A42" s="51" t="s">
        <v>219</v>
      </c>
      <c r="B42" s="178"/>
      <c r="C42" s="201" t="s">
        <v>333</v>
      </c>
      <c r="D42" s="200"/>
      <c r="E42" s="178"/>
      <c r="F42" s="201" t="s">
        <v>334</v>
      </c>
      <c r="G42" s="200"/>
      <c r="H42" s="65"/>
      <c r="J42" s="2" t="s">
        <v>332</v>
      </c>
      <c r="K42" s="2" t="str">
        <f aca="false">A43</f>
        <v>6000</v>
      </c>
      <c r="L42" s="2"/>
    </row>
    <row r="43" customFormat="false" ht="17.35" hidden="false" customHeight="false" outlineLevel="0" collapsed="false">
      <c r="A43" s="52" t="s">
        <v>336</v>
      </c>
      <c r="B43" s="178"/>
      <c r="C43" s="450" t="s">
        <v>337</v>
      </c>
      <c r="D43" s="450"/>
      <c r="E43" s="178"/>
      <c r="F43" s="450" t="s">
        <v>9</v>
      </c>
      <c r="G43" s="450"/>
      <c r="H43" s="65"/>
      <c r="J43" s="2" t="s">
        <v>339</v>
      </c>
      <c r="K43" s="2" t="str">
        <f aca="false">A34</f>
        <v>33</v>
      </c>
      <c r="L43" s="2"/>
    </row>
    <row r="44" customFormat="false" ht="17.35" hidden="false" customHeight="false" outlineLevel="0" collapsed="false">
      <c r="A44" s="51"/>
      <c r="B44" s="198"/>
      <c r="C44" s="198"/>
      <c r="D44" s="198"/>
      <c r="E44" s="198"/>
      <c r="F44" s="198"/>
      <c r="G44" s="198"/>
      <c r="H44" s="65"/>
      <c r="J44" s="2" t="s">
        <v>342</v>
      </c>
      <c r="K44" s="2" t="n">
        <f aca="false">((K40-(((K42/(1.2))*0.2)))/(K43))</f>
        <v>262.045454545455</v>
      </c>
      <c r="L44" s="2"/>
    </row>
    <row r="45" customFormat="false" ht="17.35" hidden="false" customHeight="false" outlineLevel="0" collapsed="false">
      <c r="A45" s="51" t="s">
        <v>358</v>
      </c>
      <c r="B45" s="178"/>
      <c r="C45" s="201" t="s">
        <v>180</v>
      </c>
      <c r="D45" s="200"/>
      <c r="E45" s="178"/>
      <c r="F45" s="201" t="s">
        <v>359</v>
      </c>
      <c r="G45" s="200"/>
      <c r="H45" s="65"/>
      <c r="J45" s="2" t="s">
        <v>343</v>
      </c>
      <c r="K45" s="2" t="n">
        <f aca="false">(K39-K44)+K41</f>
        <v>237.954545454545</v>
      </c>
      <c r="L45" s="2"/>
    </row>
    <row r="46" customFormat="false" ht="17.35" hidden="false" customHeight="false" outlineLevel="0" collapsed="false">
      <c r="A46" s="52" t="n">
        <v>0</v>
      </c>
      <c r="B46" s="178"/>
      <c r="C46" s="450" t="n">
        <v>1</v>
      </c>
      <c r="D46" s="450"/>
      <c r="E46" s="178"/>
      <c r="F46" s="450" t="n">
        <v>0</v>
      </c>
      <c r="G46" s="450"/>
      <c r="H46" s="65"/>
      <c r="J46" s="2" t="s">
        <v>345</v>
      </c>
      <c r="K46" s="2" t="n">
        <v>0</v>
      </c>
      <c r="L46" s="2"/>
    </row>
    <row r="47" customFormat="false" ht="17.35" hidden="false" customHeight="false" outlineLevel="0" collapsed="false">
      <c r="A47" s="51"/>
      <c r="B47" s="198"/>
      <c r="C47" s="198"/>
      <c r="D47" s="198"/>
      <c r="E47" s="198"/>
      <c r="F47" s="198"/>
      <c r="G47" s="198"/>
      <c r="H47" s="65"/>
      <c r="J47" s="2" t="s">
        <v>346</v>
      </c>
      <c r="K47" s="2" t="n">
        <f aca="false">A40/K29</f>
        <v>0.363636363636364</v>
      </c>
      <c r="L47" s="2"/>
    </row>
    <row r="48" customFormat="false" ht="17.35" hidden="false" customHeight="false" outlineLevel="0" collapsed="false">
      <c r="A48" s="51" t="s">
        <v>182</v>
      </c>
      <c r="B48" s="198"/>
      <c r="C48" s="198"/>
      <c r="D48" s="198"/>
      <c r="E48" s="198"/>
      <c r="F48" s="198"/>
      <c r="G48" s="198"/>
      <c r="H48" s="65"/>
      <c r="J48" s="86" t="s">
        <v>347</v>
      </c>
      <c r="K48" s="2" t="n">
        <f aca="false">C43/A34</f>
        <v>0.606060606060606</v>
      </c>
      <c r="L48" s="2"/>
    </row>
    <row r="49" customFormat="false" ht="17.35" hidden="false" customHeight="false" outlineLevel="0" collapsed="false">
      <c r="A49" s="51" t="n">
        <f aca="false">C46+F46</f>
        <v>1</v>
      </c>
      <c r="B49" s="198"/>
      <c r="C49" s="198"/>
      <c r="D49" s="198"/>
      <c r="E49" s="178"/>
      <c r="F49" s="198"/>
      <c r="G49" s="198"/>
      <c r="H49" s="65"/>
      <c r="J49" s="86" t="s">
        <v>348</v>
      </c>
      <c r="K49" s="2" t="n">
        <f aca="false">K45+K48+K47</f>
        <v>238.924242424242</v>
      </c>
      <c r="L49" s="2"/>
    </row>
    <row r="50" customFormat="false" ht="17.35" hidden="false" customHeight="false" outlineLevel="0" collapsed="false">
      <c r="A50" s="74"/>
      <c r="B50" s="75"/>
      <c r="C50" s="75"/>
      <c r="D50" s="75"/>
      <c r="E50" s="75"/>
      <c r="F50" s="75"/>
      <c r="G50" s="76"/>
      <c r="H50" s="77"/>
      <c r="I50" s="2"/>
      <c r="J50" s="86" t="s">
        <v>360</v>
      </c>
      <c r="K50" s="2" t="n">
        <f aca="false">K49-A46</f>
        <v>238.924242424242</v>
      </c>
    </row>
    <row r="51" customFormat="false" ht="19.5" hidden="false" customHeight="true" outlineLevel="0" collapsed="false">
      <c r="A51" s="48"/>
      <c r="B51" s="49"/>
      <c r="C51" s="49"/>
      <c r="D51" s="49"/>
      <c r="E51" s="49"/>
      <c r="F51" s="49"/>
      <c r="G51" s="49"/>
      <c r="H51" s="50"/>
      <c r="I51" s="2"/>
      <c r="J51" s="2"/>
      <c r="K51" s="2"/>
    </row>
    <row r="52" customFormat="false" ht="17.35" hidden="false" customHeight="false" outlineLevel="0" collapsed="false">
      <c r="A52" s="78" t="s">
        <v>51</v>
      </c>
      <c r="B52" s="178"/>
      <c r="C52" s="178" t="s">
        <v>52</v>
      </c>
      <c r="D52" s="178"/>
      <c r="E52" s="178"/>
      <c r="F52" s="178"/>
      <c r="G52" s="178"/>
      <c r="H52" s="20"/>
      <c r="I52" s="2"/>
      <c r="J52" s="2"/>
      <c r="K52" s="2"/>
    </row>
    <row r="53" customFormat="false" ht="17.35" hidden="false" customHeight="false" outlineLevel="0" collapsed="false">
      <c r="A53" s="454" t="n">
        <v>1</v>
      </c>
      <c r="B53" s="178"/>
      <c r="C53" s="81" t="n">
        <v>1</v>
      </c>
      <c r="D53" s="81"/>
      <c r="E53" s="81"/>
      <c r="F53" s="178"/>
      <c r="G53" s="178"/>
      <c r="H53" s="20"/>
      <c r="I53" s="2"/>
      <c r="J53" s="19" t="s">
        <v>361</v>
      </c>
      <c r="K53" s="455" t="s">
        <v>362</v>
      </c>
    </row>
    <row r="54" customFormat="false" ht="17.35" hidden="false" customHeight="false" outlineLevel="0" collapsed="false">
      <c r="A54" s="74"/>
      <c r="B54" s="75"/>
      <c r="C54" s="75"/>
      <c r="D54" s="75"/>
      <c r="E54" s="75"/>
      <c r="F54" s="75"/>
      <c r="G54" s="75"/>
      <c r="H54" s="82"/>
      <c r="I54" s="2"/>
      <c r="J54" s="2"/>
      <c r="K54" s="2"/>
    </row>
    <row r="55" customFormat="false" ht="17.35" hidden="false" customHeight="false" outlineLevel="0" collapsed="false">
      <c r="A55" s="48"/>
      <c r="B55" s="49"/>
      <c r="C55" s="49"/>
      <c r="D55" s="49"/>
      <c r="E55" s="49"/>
      <c r="F55" s="49"/>
      <c r="G55" s="49"/>
      <c r="H55" s="50"/>
      <c r="I55" s="2"/>
      <c r="J55" s="2" t="s">
        <v>363</v>
      </c>
      <c r="K55" s="2" t="n">
        <f aca="false">A46*A34</f>
        <v>0</v>
      </c>
    </row>
    <row r="56" customFormat="false" ht="17.35" hidden="false" customHeight="false" outlineLevel="0" collapsed="false">
      <c r="A56" s="83" t="s">
        <v>57</v>
      </c>
      <c r="B56" s="178"/>
      <c r="C56" s="178"/>
      <c r="D56" s="84"/>
      <c r="E56" s="84"/>
      <c r="F56" s="84"/>
      <c r="G56" s="84"/>
      <c r="H56" s="85"/>
      <c r="I56" s="2"/>
      <c r="J56" s="2"/>
      <c r="K56" s="2"/>
    </row>
    <row r="57" customFormat="false" ht="19.5" hidden="false" customHeight="true" outlineLevel="0" collapsed="false">
      <c r="A57" s="55"/>
      <c r="B57" s="87"/>
      <c r="C57" s="87"/>
      <c r="D57" s="178"/>
      <c r="E57" s="178"/>
      <c r="F57" s="178"/>
      <c r="G57" s="178"/>
      <c r="H57" s="20"/>
      <c r="I57" s="2"/>
      <c r="J57" s="2"/>
      <c r="K57" s="2"/>
    </row>
    <row r="58" customFormat="false" ht="19.7" hidden="false" customHeight="false" outlineLevel="0" collapsed="false">
      <c r="A58" s="456" t="s">
        <v>28</v>
      </c>
      <c r="B58" s="89" t="s">
        <v>33</v>
      </c>
      <c r="C58" s="89"/>
      <c r="D58" s="89"/>
      <c r="E58" s="178"/>
      <c r="F58" s="178"/>
      <c r="G58" s="178"/>
      <c r="H58" s="20"/>
      <c r="I58" s="2"/>
      <c r="J58" s="2"/>
      <c r="K58" s="2"/>
    </row>
    <row r="59" customFormat="false" ht="17.35" hidden="false" customHeight="false" outlineLevel="0" collapsed="false">
      <c r="A59" s="456"/>
      <c r="B59" s="90" t="str">
        <f aca="false">K30</f>
        <v>5000</v>
      </c>
      <c r="C59" s="90"/>
      <c r="D59" s="90"/>
      <c r="E59" s="178"/>
      <c r="F59" s="178"/>
      <c r="G59" s="178"/>
      <c r="H59" s="20"/>
      <c r="I59" s="2"/>
      <c r="J59" s="2"/>
      <c r="K59" s="2"/>
    </row>
    <row r="60" customFormat="false" ht="17.35" hidden="false" customHeight="false" outlineLevel="0" collapsed="false">
      <c r="A60" s="91" t="str">
        <f aca="false">K29</f>
        <v>33</v>
      </c>
      <c r="B60" s="92" t="n">
        <f aca="false">K49</f>
        <v>238.924242424242</v>
      </c>
      <c r="C60" s="92"/>
      <c r="D60" s="92"/>
      <c r="E60" s="178"/>
      <c r="F60" s="178"/>
      <c r="G60" s="178"/>
      <c r="H60" s="20"/>
      <c r="I60" s="2"/>
      <c r="J60" s="2"/>
      <c r="K60" s="2"/>
    </row>
    <row r="61" customFormat="false" ht="17.35" hidden="false" customHeight="false" outlineLevel="0" collapsed="false">
      <c r="A61" s="55"/>
      <c r="B61" s="178"/>
      <c r="C61" s="178"/>
      <c r="D61" s="178"/>
      <c r="E61" s="178"/>
      <c r="F61" s="178"/>
      <c r="G61" s="178"/>
      <c r="H61" s="20"/>
      <c r="I61" s="2"/>
      <c r="J61" s="2"/>
      <c r="K61" s="2"/>
    </row>
    <row r="62" customFormat="false" ht="17.35" hidden="false" customHeight="false" outlineLevel="0" collapsed="false">
      <c r="A62" s="74"/>
      <c r="B62" s="75"/>
      <c r="C62" s="75"/>
      <c r="D62" s="75"/>
      <c r="E62" s="75"/>
      <c r="F62" s="75"/>
      <c r="G62" s="75"/>
      <c r="H62" s="82"/>
      <c r="I62" s="2"/>
      <c r="J62" s="2"/>
      <c r="K62" s="2"/>
    </row>
    <row r="63" customFormat="false" ht="17.35" hidden="false" customHeight="false" outlineLevel="0" collapsed="false">
      <c r="A63" s="178"/>
      <c r="B63" s="178"/>
      <c r="C63" s="178"/>
      <c r="D63" s="178"/>
      <c r="E63" s="178"/>
      <c r="F63" s="178"/>
      <c r="G63" s="178"/>
      <c r="H63" s="178"/>
      <c r="I63" s="2"/>
      <c r="J63" s="2"/>
      <c r="K63" s="2"/>
    </row>
    <row r="64" customFormat="false" ht="17.35" hidden="false" customHeight="false" outlineLevel="0" collapsed="false">
      <c r="A64" s="178"/>
      <c r="B64" s="178"/>
      <c r="C64" s="178"/>
      <c r="D64" s="178"/>
      <c r="E64" s="178"/>
      <c r="F64" s="178"/>
      <c r="G64" s="178"/>
      <c r="H64" s="178"/>
      <c r="I64" s="2"/>
      <c r="J64" s="2"/>
      <c r="K64" s="2"/>
    </row>
    <row r="65" customFormat="false" ht="17.35" hidden="false" customHeight="false" outlineLevel="0" collapsed="false">
      <c r="A65" s="45"/>
      <c r="B65" s="45"/>
      <c r="C65" s="45"/>
      <c r="D65" s="45"/>
      <c r="E65" s="45"/>
      <c r="F65" s="45"/>
      <c r="G65" s="45"/>
      <c r="H65" s="45"/>
      <c r="J65" s="2"/>
      <c r="K65" s="2"/>
    </row>
    <row r="66" customFormat="false" ht="17.35" hidden="false" customHeight="false" outlineLevel="0" collapsed="false">
      <c r="A66" s="48"/>
      <c r="B66" s="49"/>
      <c r="C66" s="49"/>
      <c r="D66" s="49"/>
      <c r="E66" s="93"/>
      <c r="F66" s="93"/>
      <c r="G66" s="93"/>
      <c r="H66" s="50"/>
      <c r="J66" s="48"/>
      <c r="K66" s="49"/>
      <c r="L66" s="49"/>
      <c r="M66" s="49"/>
      <c r="N66" s="93"/>
      <c r="O66" s="93"/>
      <c r="P66" s="93"/>
      <c r="Q66" s="50"/>
      <c r="S66" s="48"/>
      <c r="T66" s="49"/>
      <c r="U66" s="49"/>
      <c r="V66" s="49"/>
      <c r="W66" s="93"/>
      <c r="X66" s="93"/>
      <c r="Y66" s="93"/>
      <c r="Z66" s="50"/>
      <c r="AB66" s="48"/>
      <c r="AC66" s="49"/>
      <c r="AD66" s="49"/>
      <c r="AE66" s="49"/>
      <c r="AF66" s="93"/>
      <c r="AG66" s="93"/>
      <c r="AH66" s="93"/>
      <c r="AI66" s="50"/>
    </row>
    <row r="67" customFormat="false" ht="17.35" hidden="false" customHeight="false" outlineLevel="0" collapsed="false">
      <c r="A67" s="55" t="s">
        <v>46</v>
      </c>
      <c r="B67" s="178" t="n">
        <v>1</v>
      </c>
      <c r="C67" s="178"/>
      <c r="D67" s="178"/>
      <c r="E67" s="45"/>
      <c r="F67" s="45"/>
      <c r="G67" s="45"/>
      <c r="H67" s="20"/>
      <c r="J67" s="55" t="s">
        <v>46</v>
      </c>
      <c r="K67" s="178" t="n">
        <v>1</v>
      </c>
      <c r="L67" s="178"/>
      <c r="M67" s="178"/>
      <c r="N67" s="45"/>
      <c r="O67" s="45"/>
      <c r="P67" s="45"/>
      <c r="Q67" s="20"/>
      <c r="S67" s="55" t="s">
        <v>46</v>
      </c>
      <c r="T67" s="178" t="n">
        <v>1</v>
      </c>
      <c r="U67" s="178"/>
      <c r="V67" s="178"/>
      <c r="W67" s="45"/>
      <c r="X67" s="45"/>
      <c r="Y67" s="45"/>
      <c r="Z67" s="20"/>
      <c r="AB67" s="55" t="s">
        <v>46</v>
      </c>
      <c r="AC67" s="178" t="n">
        <v>1</v>
      </c>
      <c r="AD67" s="178"/>
      <c r="AE67" s="178"/>
      <c r="AF67" s="45"/>
      <c r="AG67" s="45"/>
      <c r="AH67" s="45"/>
      <c r="AI67" s="20"/>
    </row>
    <row r="68" customFormat="false" ht="17.35" hidden="false" customHeight="false" outlineLevel="0" collapsed="false">
      <c r="A68" s="55" t="s">
        <v>60</v>
      </c>
      <c r="B68" s="178" t="n">
        <f aca="false">K29-B67</f>
        <v>32</v>
      </c>
      <c r="C68" s="178"/>
      <c r="D68" s="178"/>
      <c r="E68" s="45"/>
      <c r="F68" s="45"/>
      <c r="G68" s="45"/>
      <c r="H68" s="20"/>
      <c r="J68" s="55" t="s">
        <v>60</v>
      </c>
      <c r="K68" s="178" t="n">
        <f aca="false">K29-K67</f>
        <v>32</v>
      </c>
      <c r="L68" s="178"/>
      <c r="M68" s="178"/>
      <c r="N68" s="45"/>
      <c r="O68" s="45"/>
      <c r="P68" s="45"/>
      <c r="Q68" s="20"/>
      <c r="S68" s="55" t="s">
        <v>60</v>
      </c>
      <c r="T68" s="178" t="n">
        <f aca="false">K29-T67</f>
        <v>32</v>
      </c>
      <c r="U68" s="178"/>
      <c r="V68" s="178"/>
      <c r="W68" s="45"/>
      <c r="X68" s="45"/>
      <c r="Y68" s="45"/>
      <c r="Z68" s="20"/>
      <c r="AB68" s="55" t="s">
        <v>60</v>
      </c>
      <c r="AC68" s="178" t="n">
        <f aca="false">K29-AC67</f>
        <v>32</v>
      </c>
      <c r="AD68" s="178"/>
      <c r="AE68" s="178"/>
      <c r="AF68" s="45"/>
      <c r="AG68" s="45"/>
      <c r="AH68" s="45"/>
      <c r="AI68" s="20"/>
    </row>
    <row r="69" customFormat="false" ht="17.35" hidden="false" customHeight="false" outlineLevel="0" collapsed="false">
      <c r="A69" s="95" t="s">
        <v>61</v>
      </c>
      <c r="B69" s="96" t="n">
        <v>10</v>
      </c>
      <c r="C69" s="178"/>
      <c r="D69" s="178"/>
      <c r="E69" s="45"/>
      <c r="F69" s="45"/>
      <c r="G69" s="45"/>
      <c r="H69" s="20"/>
      <c r="J69" s="95" t="s">
        <v>61</v>
      </c>
      <c r="K69" s="96" t="n">
        <v>20</v>
      </c>
      <c r="L69" s="178"/>
      <c r="M69" s="178"/>
      <c r="N69" s="45"/>
      <c r="O69" s="45"/>
      <c r="P69" s="45"/>
      <c r="Q69" s="20"/>
      <c r="S69" s="95" t="s">
        <v>61</v>
      </c>
      <c r="T69" s="96" t="n">
        <v>10</v>
      </c>
      <c r="U69" s="178"/>
      <c r="V69" s="178"/>
      <c r="W69" s="45"/>
      <c r="X69" s="45"/>
      <c r="Y69" s="45"/>
      <c r="Z69" s="20"/>
      <c r="AB69" s="95" t="s">
        <v>61</v>
      </c>
      <c r="AC69" s="96" t="n">
        <v>10</v>
      </c>
      <c r="AD69" s="178"/>
      <c r="AE69" s="178"/>
      <c r="AF69" s="45"/>
      <c r="AG69" s="45"/>
      <c r="AH69" s="45"/>
      <c r="AI69" s="20"/>
    </row>
    <row r="70" customFormat="false" ht="17.35" hidden="false" customHeight="false" outlineLevel="0" collapsed="false">
      <c r="A70" s="55" t="s">
        <v>16</v>
      </c>
      <c r="B70" s="178" t="n">
        <f aca="false">J18</f>
        <v>57885</v>
      </c>
      <c r="C70" s="178"/>
      <c r="D70" s="178"/>
      <c r="E70" s="45"/>
      <c r="F70" s="45"/>
      <c r="G70" s="45"/>
      <c r="H70" s="20"/>
      <c r="J70" s="55" t="s">
        <v>16</v>
      </c>
      <c r="K70" s="178" t="n">
        <f aca="false">J18</f>
        <v>57885</v>
      </c>
      <c r="L70" s="178"/>
      <c r="M70" s="178"/>
      <c r="N70" s="45"/>
      <c r="O70" s="45"/>
      <c r="P70" s="45"/>
      <c r="Q70" s="20"/>
      <c r="S70" s="55" t="s">
        <v>16</v>
      </c>
      <c r="T70" s="178" t="n">
        <f aca="false">J18</f>
        <v>57885</v>
      </c>
      <c r="U70" s="178"/>
      <c r="V70" s="178"/>
      <c r="W70" s="45"/>
      <c r="X70" s="45"/>
      <c r="Y70" s="45"/>
      <c r="Z70" s="20"/>
      <c r="AB70" s="55" t="s">
        <v>16</v>
      </c>
      <c r="AC70" s="178" t="n">
        <f aca="false">J18</f>
        <v>57885</v>
      </c>
      <c r="AD70" s="178"/>
      <c r="AE70" s="178"/>
      <c r="AF70" s="45"/>
      <c r="AG70" s="45"/>
      <c r="AH70" s="45"/>
      <c r="AI70" s="20"/>
    </row>
    <row r="71" customFormat="false" ht="17.35" hidden="false" customHeight="false" outlineLevel="0" collapsed="false">
      <c r="A71" s="97" t="s">
        <v>62</v>
      </c>
      <c r="B71" s="457" t="n">
        <v>0</v>
      </c>
      <c r="C71" s="178"/>
      <c r="D71" s="178"/>
      <c r="E71" s="45"/>
      <c r="F71" s="45"/>
      <c r="G71" s="45"/>
      <c r="H71" s="20"/>
      <c r="J71" s="97" t="s">
        <v>62</v>
      </c>
      <c r="K71" s="457" t="n">
        <v>0.06</v>
      </c>
      <c r="L71" s="178"/>
      <c r="M71" s="178"/>
      <c r="N71" s="45"/>
      <c r="O71" s="45"/>
      <c r="P71" s="45"/>
      <c r="Q71" s="20"/>
      <c r="S71" s="97" t="s">
        <v>62</v>
      </c>
      <c r="T71" s="457" t="n">
        <f aca="false">IF(AND(K29&gt;= 12, K29&lt;=24), 0.0105, IF(AND(K29&gt;=48), -0.0075, 0))</f>
        <v>-0.0075</v>
      </c>
      <c r="U71" s="178"/>
      <c r="V71" s="178"/>
      <c r="W71" s="45"/>
      <c r="X71" s="45"/>
      <c r="Y71" s="45"/>
      <c r="Z71" s="20"/>
      <c r="AB71" s="97" t="s">
        <v>62</v>
      </c>
      <c r="AC71" s="457" t="n">
        <f aca="false">IF(AND(K29&gt;= 12, K29&lt;=24), 0.0105, IF(AND(K29&gt;=48), -0.0075, 0))</f>
        <v>-0.0075</v>
      </c>
      <c r="AD71" s="178"/>
      <c r="AE71" s="178"/>
      <c r="AF71" s="45"/>
      <c r="AG71" s="45"/>
      <c r="AH71" s="45"/>
      <c r="AI71" s="20"/>
    </row>
    <row r="72" customFormat="false" ht="17.35" hidden="false" customHeight="false" outlineLevel="0" collapsed="false">
      <c r="A72" s="99" t="s">
        <v>63</v>
      </c>
      <c r="B72" s="458" t="n">
        <v>0.065</v>
      </c>
      <c r="C72" s="178"/>
      <c r="D72" s="178"/>
      <c r="E72" s="45"/>
      <c r="F72" s="45"/>
      <c r="G72" s="45"/>
      <c r="H72" s="20"/>
      <c r="J72" s="99" t="s">
        <v>63</v>
      </c>
      <c r="K72" s="458" t="n">
        <v>0.08</v>
      </c>
      <c r="L72" s="178"/>
      <c r="M72" s="178"/>
      <c r="N72" s="45"/>
      <c r="O72" s="45"/>
      <c r="P72" s="45"/>
      <c r="Q72" s="20"/>
      <c r="S72" s="99" t="s">
        <v>63</v>
      </c>
      <c r="T72" s="458" t="n">
        <v>0.059</v>
      </c>
      <c r="U72" s="178"/>
      <c r="V72" s="178"/>
      <c r="W72" s="45"/>
      <c r="X72" s="45"/>
      <c r="Y72" s="45"/>
      <c r="Z72" s="20"/>
      <c r="AB72" s="99" t="s">
        <v>63</v>
      </c>
      <c r="AC72" s="458" t="n">
        <v>0.059</v>
      </c>
      <c r="AD72" s="178"/>
      <c r="AE72" s="178"/>
      <c r="AF72" s="45"/>
      <c r="AG72" s="45"/>
      <c r="AH72" s="45"/>
      <c r="AI72" s="20"/>
    </row>
    <row r="73" customFormat="false" ht="17.35" hidden="false" customHeight="false" outlineLevel="0" collapsed="false">
      <c r="A73" s="101" t="s">
        <v>64</v>
      </c>
      <c r="B73" s="459" t="n">
        <v>0.072</v>
      </c>
      <c r="C73" s="178"/>
      <c r="D73" s="178"/>
      <c r="E73" s="45"/>
      <c r="F73" s="45"/>
      <c r="G73" s="45"/>
      <c r="H73" s="20"/>
      <c r="J73" s="101" t="s">
        <v>64</v>
      </c>
      <c r="K73" s="459" t="n">
        <v>0.1</v>
      </c>
      <c r="L73" s="178"/>
      <c r="M73" s="178"/>
      <c r="N73" s="45"/>
      <c r="O73" s="45"/>
      <c r="P73" s="45"/>
      <c r="Q73" s="20"/>
      <c r="S73" s="101" t="s">
        <v>64</v>
      </c>
      <c r="T73" s="459" t="n">
        <f aca="false">IF(T117=AP117, 2.4%, 7.2%)</f>
        <v>0.072</v>
      </c>
      <c r="U73" s="178"/>
      <c r="V73" s="178"/>
      <c r="W73" s="45"/>
      <c r="X73" s="45"/>
      <c r="Y73" s="45"/>
      <c r="Z73" s="20"/>
      <c r="AB73" s="101" t="s">
        <v>64</v>
      </c>
      <c r="AC73" s="459" t="n">
        <f aca="false">IF(AC117=AP117, 2.4%, 7.2%)</f>
        <v>0.072</v>
      </c>
      <c r="AD73" s="178"/>
      <c r="AE73" s="178"/>
      <c r="AF73" s="45"/>
      <c r="AG73" s="45"/>
      <c r="AH73" s="45"/>
      <c r="AI73" s="20"/>
    </row>
    <row r="74" customFormat="false" ht="17.35" hidden="false" customHeight="false" outlineLevel="0" collapsed="false">
      <c r="A74" s="74" t="s">
        <v>65</v>
      </c>
      <c r="B74" s="82" t="n">
        <f aca="false">(B98*B68)-(K47*K29)</f>
        <v>52464.3332978415</v>
      </c>
      <c r="C74" s="178"/>
      <c r="D74" s="178"/>
      <c r="E74" s="45"/>
      <c r="F74" s="45"/>
      <c r="G74" s="45"/>
      <c r="H74" s="20"/>
      <c r="J74" s="74" t="s">
        <v>65</v>
      </c>
      <c r="K74" s="82" t="n">
        <f aca="false">(K98*K68)-(K47*K29)</f>
        <v>50218.602484192</v>
      </c>
      <c r="L74" s="178"/>
      <c r="M74" s="178"/>
      <c r="N74" s="45"/>
      <c r="O74" s="45"/>
      <c r="P74" s="45"/>
      <c r="Q74" s="20"/>
      <c r="S74" s="74" t="s">
        <v>65</v>
      </c>
      <c r="T74" s="82" t="n">
        <f aca="false">(T98*T68)-(K47*K29)</f>
        <v>53575.5554919699</v>
      </c>
      <c r="U74" s="178"/>
      <c r="V74" s="178"/>
      <c r="W74" s="45"/>
      <c r="X74" s="45"/>
      <c r="Y74" s="45"/>
      <c r="Z74" s="20"/>
      <c r="AB74" s="74" t="s">
        <v>65</v>
      </c>
      <c r="AC74" s="82" t="n">
        <f aca="false">(AC98*AC68)-(K47*K29)</f>
        <v>53575.5554919699</v>
      </c>
      <c r="AD74" s="178"/>
      <c r="AE74" s="178"/>
      <c r="AF74" s="45"/>
      <c r="AG74" s="45"/>
      <c r="AH74" s="45"/>
      <c r="AI74" s="20"/>
    </row>
    <row r="75" customFormat="false" ht="17.35" hidden="false" customHeight="false" outlineLevel="0" collapsed="false">
      <c r="A75" s="97" t="s">
        <v>66</v>
      </c>
      <c r="B75" s="457" t="n">
        <v>0.005</v>
      </c>
      <c r="C75" s="178"/>
      <c r="D75" s="178"/>
      <c r="E75" s="45"/>
      <c r="F75" s="45"/>
      <c r="G75" s="45"/>
      <c r="H75" s="20"/>
      <c r="J75" s="97" t="s">
        <v>66</v>
      </c>
      <c r="K75" s="457" t="n">
        <v>0.05</v>
      </c>
      <c r="L75" s="178"/>
      <c r="M75" s="178"/>
      <c r="N75" s="45"/>
      <c r="O75" s="45"/>
      <c r="P75" s="45"/>
      <c r="Q75" s="20"/>
      <c r="S75" s="97" t="s">
        <v>66</v>
      </c>
      <c r="T75" s="457" t="n">
        <v>0.005</v>
      </c>
      <c r="U75" s="178"/>
      <c r="V75" s="178"/>
      <c r="W75" s="45"/>
      <c r="X75" s="45"/>
      <c r="Y75" s="45"/>
      <c r="Z75" s="20"/>
      <c r="AB75" s="97" t="s">
        <v>66</v>
      </c>
      <c r="AC75" s="457" t="n">
        <v>0.005</v>
      </c>
      <c r="AD75" s="178"/>
      <c r="AE75" s="178"/>
      <c r="AF75" s="45"/>
      <c r="AG75" s="45"/>
      <c r="AH75" s="45"/>
      <c r="AI75" s="20"/>
    </row>
    <row r="76" customFormat="false" ht="17.35" hidden="false" customHeight="false" outlineLevel="0" collapsed="false">
      <c r="A76" s="55" t="s">
        <v>67</v>
      </c>
      <c r="B76" s="460" t="n">
        <f aca="false">B75+(B75*0.5*(K29/12-1))</f>
        <v>0.009375</v>
      </c>
      <c r="C76" s="178"/>
      <c r="D76" s="178"/>
      <c r="E76" s="45"/>
      <c r="F76" s="45"/>
      <c r="G76" s="45"/>
      <c r="H76" s="20"/>
      <c r="J76" s="55" t="s">
        <v>67</v>
      </c>
      <c r="K76" s="460" t="n">
        <f aca="false">K75+(K75*0.25*(K29/12-1))</f>
        <v>0.071875</v>
      </c>
      <c r="L76" s="178"/>
      <c r="M76" s="178"/>
      <c r="N76" s="45"/>
      <c r="O76" s="45"/>
      <c r="P76" s="45"/>
      <c r="Q76" s="20"/>
      <c r="S76" s="55" t="s">
        <v>67</v>
      </c>
      <c r="T76" s="460" t="n">
        <f aca="false">T75+(T75*0.5*(K29/12-1))</f>
        <v>0.009375</v>
      </c>
      <c r="U76" s="178"/>
      <c r="V76" s="178"/>
      <c r="W76" s="45"/>
      <c r="X76" s="45"/>
      <c r="Y76" s="45"/>
      <c r="Z76" s="20"/>
      <c r="AB76" s="55" t="s">
        <v>67</v>
      </c>
      <c r="AC76" s="460" t="n">
        <f aca="false">AC75+(AC75*0.5*(K29/12-1))</f>
        <v>0.009375</v>
      </c>
      <c r="AD76" s="178"/>
      <c r="AE76" s="178"/>
      <c r="AF76" s="45"/>
      <c r="AG76" s="45"/>
      <c r="AH76" s="45"/>
      <c r="AI76" s="20"/>
    </row>
    <row r="77" customFormat="false" ht="17.35" hidden="false" customHeight="false" outlineLevel="0" collapsed="false">
      <c r="A77" s="74" t="s">
        <v>68</v>
      </c>
      <c r="B77" s="82" t="n">
        <f aca="false">(G167*B76)</f>
        <v>548.671875</v>
      </c>
      <c r="C77" s="178"/>
      <c r="D77" s="178"/>
      <c r="E77" s="45"/>
      <c r="F77" s="45"/>
      <c r="G77" s="45"/>
      <c r="H77" s="20"/>
      <c r="J77" s="74" t="s">
        <v>68</v>
      </c>
      <c r="K77" s="82" t="n">
        <f aca="false">K70*K76</f>
        <v>4160.484375</v>
      </c>
      <c r="L77" s="178"/>
      <c r="M77" s="178"/>
      <c r="N77" s="45"/>
      <c r="O77" s="45"/>
      <c r="P77" s="45"/>
      <c r="Q77" s="20"/>
      <c r="S77" s="74" t="s">
        <v>68</v>
      </c>
      <c r="T77" s="82" t="n">
        <f aca="false">T70*T76</f>
        <v>542.671875</v>
      </c>
      <c r="U77" s="178"/>
      <c r="V77" s="178"/>
      <c r="W77" s="45"/>
      <c r="X77" s="45"/>
      <c r="Y77" s="45"/>
      <c r="Z77" s="20"/>
      <c r="AB77" s="74" t="s">
        <v>68</v>
      </c>
      <c r="AC77" s="82" t="n">
        <f aca="false">AH167*AC76</f>
        <v>426.269521875</v>
      </c>
      <c r="AD77" s="178"/>
      <c r="AE77" s="178"/>
      <c r="AF77" s="45"/>
      <c r="AG77" s="45"/>
      <c r="AH77" s="45"/>
      <c r="AI77" s="20"/>
    </row>
    <row r="78" customFormat="false" ht="17.35" hidden="false" customHeight="false" outlineLevel="0" collapsed="false">
      <c r="A78" s="97" t="s">
        <v>69</v>
      </c>
      <c r="B78" s="457" t="n">
        <v>0</v>
      </c>
      <c r="C78" s="178"/>
      <c r="D78" s="178"/>
      <c r="E78" s="45"/>
      <c r="F78" s="45"/>
      <c r="G78" s="45"/>
      <c r="H78" s="20"/>
      <c r="J78" s="97" t="s">
        <v>69</v>
      </c>
      <c r="K78" s="457" t="n">
        <v>0</v>
      </c>
      <c r="L78" s="178"/>
      <c r="M78" s="178"/>
      <c r="N78" s="45"/>
      <c r="O78" s="45"/>
      <c r="P78" s="45"/>
      <c r="Q78" s="20"/>
      <c r="S78" s="97" t="s">
        <v>69</v>
      </c>
      <c r="T78" s="457" t="n">
        <v>0</v>
      </c>
      <c r="U78" s="178"/>
      <c r="V78" s="178"/>
      <c r="W78" s="45"/>
      <c r="X78" s="45"/>
      <c r="Y78" s="45"/>
      <c r="Z78" s="20"/>
      <c r="AB78" s="97" t="s">
        <v>69</v>
      </c>
      <c r="AC78" s="457" t="n">
        <v>0</v>
      </c>
      <c r="AD78" s="178"/>
      <c r="AE78" s="178"/>
      <c r="AF78" s="45"/>
      <c r="AG78" s="45"/>
      <c r="AH78" s="45"/>
      <c r="AI78" s="20"/>
    </row>
    <row r="79" customFormat="false" ht="17.35" hidden="false" customHeight="false" outlineLevel="0" collapsed="false">
      <c r="A79" s="99" t="s">
        <v>70</v>
      </c>
      <c r="B79" s="458" t="n">
        <v>0</v>
      </c>
      <c r="C79" s="178"/>
      <c r="D79" s="178"/>
      <c r="E79" s="45"/>
      <c r="F79" s="45"/>
      <c r="G79" s="45"/>
      <c r="H79" s="20"/>
      <c r="J79" s="99" t="s">
        <v>70</v>
      </c>
      <c r="K79" s="458" t="n">
        <v>0</v>
      </c>
      <c r="L79" s="178"/>
      <c r="M79" s="178"/>
      <c r="N79" s="45"/>
      <c r="O79" s="45"/>
      <c r="P79" s="45"/>
      <c r="Q79" s="20"/>
      <c r="S79" s="99" t="s">
        <v>70</v>
      </c>
      <c r="T79" s="458" t="n">
        <v>0</v>
      </c>
      <c r="U79" s="178"/>
      <c r="V79" s="178"/>
      <c r="W79" s="45"/>
      <c r="X79" s="45"/>
      <c r="Y79" s="45"/>
      <c r="Z79" s="20"/>
      <c r="AB79" s="99" t="s">
        <v>70</v>
      </c>
      <c r="AC79" s="458" t="n">
        <v>0</v>
      </c>
      <c r="AD79" s="178"/>
      <c r="AE79" s="178"/>
      <c r="AF79" s="45"/>
      <c r="AG79" s="45"/>
      <c r="AH79" s="45"/>
      <c r="AI79" s="20"/>
    </row>
    <row r="80" customFormat="false" ht="17.35" hidden="false" customHeight="false" outlineLevel="0" collapsed="false">
      <c r="A80" s="74" t="s">
        <v>71</v>
      </c>
      <c r="B80" s="461" t="n">
        <f aca="false">B78*(1+B79)</f>
        <v>0</v>
      </c>
      <c r="C80" s="178"/>
      <c r="D80" s="178"/>
      <c r="E80" s="45"/>
      <c r="F80" s="45"/>
      <c r="G80" s="45"/>
      <c r="H80" s="20"/>
      <c r="J80" s="74" t="s">
        <v>71</v>
      </c>
      <c r="K80" s="461" t="n">
        <f aca="false">K78*(1+K79)</f>
        <v>0</v>
      </c>
      <c r="L80" s="178"/>
      <c r="M80" s="178"/>
      <c r="N80" s="45"/>
      <c r="O80" s="45"/>
      <c r="P80" s="45"/>
      <c r="Q80" s="20"/>
      <c r="S80" s="74" t="s">
        <v>71</v>
      </c>
      <c r="T80" s="461" t="n">
        <f aca="false">T78*(1+T79)</f>
        <v>0</v>
      </c>
      <c r="U80" s="178"/>
      <c r="V80" s="178"/>
      <c r="W80" s="45"/>
      <c r="X80" s="45"/>
      <c r="Y80" s="45"/>
      <c r="Z80" s="20"/>
      <c r="AB80" s="74" t="s">
        <v>71</v>
      </c>
      <c r="AC80" s="461" t="n">
        <f aca="false">AC78*(1+AC79)</f>
        <v>0</v>
      </c>
      <c r="AD80" s="178"/>
      <c r="AE80" s="178"/>
      <c r="AF80" s="45"/>
      <c r="AG80" s="45"/>
      <c r="AH80" s="45"/>
      <c r="AI80" s="20"/>
    </row>
    <row r="81" customFormat="false" ht="17.35" hidden="false" customHeight="false" outlineLevel="0" collapsed="false">
      <c r="A81" s="97" t="s">
        <v>72</v>
      </c>
      <c r="B81" s="105" t="n">
        <v>0</v>
      </c>
      <c r="C81" s="178"/>
      <c r="D81" s="178"/>
      <c r="E81" s="45"/>
      <c r="F81" s="45"/>
      <c r="G81" s="45"/>
      <c r="H81" s="20"/>
      <c r="J81" s="97" t="s">
        <v>72</v>
      </c>
      <c r="K81" s="105" t="n">
        <v>0</v>
      </c>
      <c r="L81" s="178"/>
      <c r="M81" s="178"/>
      <c r="N81" s="45"/>
      <c r="O81" s="45"/>
      <c r="P81" s="45"/>
      <c r="Q81" s="20"/>
      <c r="S81" s="97" t="s">
        <v>72</v>
      </c>
      <c r="T81" s="105" t="n">
        <v>0</v>
      </c>
      <c r="U81" s="178"/>
      <c r="V81" s="178"/>
      <c r="W81" s="45"/>
      <c r="X81" s="45"/>
      <c r="Y81" s="45"/>
      <c r="Z81" s="20"/>
      <c r="AB81" s="97" t="s">
        <v>72</v>
      </c>
      <c r="AC81" s="105" t="n">
        <v>0</v>
      </c>
      <c r="AD81" s="178"/>
      <c r="AE81" s="178"/>
      <c r="AF81" s="45"/>
      <c r="AG81" s="45"/>
      <c r="AH81" s="45"/>
      <c r="AI81" s="20"/>
    </row>
    <row r="82" customFormat="false" ht="17.35" hidden="false" customHeight="false" outlineLevel="0" collapsed="false">
      <c r="A82" s="99" t="s">
        <v>73</v>
      </c>
      <c r="B82" s="96" t="n">
        <v>0</v>
      </c>
      <c r="C82" s="178"/>
      <c r="D82" s="178"/>
      <c r="E82" s="45"/>
      <c r="F82" s="45"/>
      <c r="G82" s="45"/>
      <c r="H82" s="20"/>
      <c r="J82" s="99" t="s">
        <v>73</v>
      </c>
      <c r="K82" s="96" t="n">
        <v>0</v>
      </c>
      <c r="L82" s="178"/>
      <c r="M82" s="178"/>
      <c r="N82" s="45"/>
      <c r="O82" s="45"/>
      <c r="P82" s="45"/>
      <c r="Q82" s="20"/>
      <c r="S82" s="99" t="s">
        <v>73</v>
      </c>
      <c r="T82" s="96" t="n">
        <v>0</v>
      </c>
      <c r="U82" s="178"/>
      <c r="V82" s="178"/>
      <c r="W82" s="45"/>
      <c r="X82" s="45"/>
      <c r="Y82" s="45"/>
      <c r="Z82" s="20"/>
      <c r="AB82" s="99" t="s">
        <v>73</v>
      </c>
      <c r="AC82" s="96" t="n">
        <v>0</v>
      </c>
      <c r="AD82" s="178"/>
      <c r="AE82" s="178"/>
      <c r="AF82" s="45"/>
      <c r="AG82" s="45"/>
      <c r="AH82" s="45"/>
      <c r="AI82" s="20"/>
    </row>
    <row r="83" customFormat="false" ht="17.35" hidden="false" customHeight="false" outlineLevel="0" collapsed="false">
      <c r="A83" s="74" t="s">
        <v>74</v>
      </c>
      <c r="B83" s="82" t="n">
        <f aca="false">B82*K29</f>
        <v>0</v>
      </c>
      <c r="C83" s="178"/>
      <c r="D83" s="178" t="n">
        <f aca="false">B83+B81</f>
        <v>0</v>
      </c>
      <c r="E83" s="45"/>
      <c r="F83" s="45"/>
      <c r="G83" s="45"/>
      <c r="H83" s="20"/>
      <c r="J83" s="74" t="s">
        <v>74</v>
      </c>
      <c r="K83" s="82" t="n">
        <f aca="false">K82*K29</f>
        <v>0</v>
      </c>
      <c r="L83" s="178"/>
      <c r="M83" s="178" t="n">
        <f aca="false">K83+K81</f>
        <v>0</v>
      </c>
      <c r="N83" s="45"/>
      <c r="O83" s="45"/>
      <c r="P83" s="45"/>
      <c r="Q83" s="20"/>
      <c r="S83" s="74" t="s">
        <v>74</v>
      </c>
      <c r="T83" s="82" t="n">
        <f aca="false">T82*K29</f>
        <v>0</v>
      </c>
      <c r="U83" s="178"/>
      <c r="V83" s="178" t="n">
        <f aca="false">T83+T81</f>
        <v>0</v>
      </c>
      <c r="W83" s="45"/>
      <c r="X83" s="45"/>
      <c r="Y83" s="45"/>
      <c r="Z83" s="20"/>
      <c r="AB83" s="74" t="s">
        <v>74</v>
      </c>
      <c r="AC83" s="82" t="n">
        <f aca="false">AC82*K29</f>
        <v>0</v>
      </c>
      <c r="AD83" s="178"/>
      <c r="AE83" s="178" t="n">
        <f aca="false">AC83+AC81</f>
        <v>0</v>
      </c>
      <c r="AF83" s="45"/>
      <c r="AG83" s="45"/>
      <c r="AH83" s="45"/>
      <c r="AI83" s="20"/>
    </row>
    <row r="84" customFormat="false" ht="17.35" hidden="false" customHeight="false" outlineLevel="0" collapsed="false">
      <c r="A84" s="99" t="s">
        <v>75</v>
      </c>
      <c r="B84" s="96" t="n">
        <v>0</v>
      </c>
      <c r="C84" s="178"/>
      <c r="D84" s="178" t="n">
        <f aca="false">B84</f>
        <v>0</v>
      </c>
      <c r="E84" s="45"/>
      <c r="F84" s="45"/>
      <c r="G84" s="45"/>
      <c r="H84" s="20"/>
      <c r="J84" s="99" t="s">
        <v>75</v>
      </c>
      <c r="K84" s="96" t="n">
        <v>0</v>
      </c>
      <c r="L84" s="178"/>
      <c r="M84" s="178" t="n">
        <f aca="false">K84</f>
        <v>0</v>
      </c>
      <c r="N84" s="45"/>
      <c r="O84" s="45"/>
      <c r="P84" s="45"/>
      <c r="Q84" s="20"/>
      <c r="S84" s="99" t="s">
        <v>75</v>
      </c>
      <c r="T84" s="96" t="n">
        <v>0</v>
      </c>
      <c r="U84" s="178"/>
      <c r="V84" s="178" t="n">
        <f aca="false">T84</f>
        <v>0</v>
      </c>
      <c r="W84" s="45"/>
      <c r="X84" s="45"/>
      <c r="Y84" s="45"/>
      <c r="Z84" s="20"/>
      <c r="AB84" s="99" t="s">
        <v>75</v>
      </c>
      <c r="AC84" s="96" t="n">
        <v>0</v>
      </c>
      <c r="AD84" s="178"/>
      <c r="AE84" s="178" t="n">
        <f aca="false">AC84</f>
        <v>0</v>
      </c>
      <c r="AF84" s="45"/>
      <c r="AG84" s="45"/>
      <c r="AH84" s="45"/>
      <c r="AI84" s="20"/>
    </row>
    <row r="85" customFormat="false" ht="17.35" hidden="false" customHeight="false" outlineLevel="0" collapsed="false">
      <c r="A85" s="101" t="s">
        <v>76</v>
      </c>
      <c r="B85" s="106" t="n">
        <v>0</v>
      </c>
      <c r="C85" s="178"/>
      <c r="D85" s="178" t="n">
        <f aca="false">B85</f>
        <v>0</v>
      </c>
      <c r="E85" s="45"/>
      <c r="F85" s="178"/>
      <c r="G85" s="45"/>
      <c r="H85" s="20"/>
      <c r="J85" s="101" t="s">
        <v>76</v>
      </c>
      <c r="K85" s="106" t="n">
        <v>0</v>
      </c>
      <c r="L85" s="178"/>
      <c r="M85" s="178" t="n">
        <f aca="false">K85</f>
        <v>0</v>
      </c>
      <c r="N85" s="45"/>
      <c r="O85" s="45"/>
      <c r="P85" s="45"/>
      <c r="Q85" s="20"/>
      <c r="S85" s="101" t="s">
        <v>76</v>
      </c>
      <c r="T85" s="106" t="n">
        <v>0</v>
      </c>
      <c r="U85" s="178"/>
      <c r="V85" s="178" t="n">
        <f aca="false">T85</f>
        <v>0</v>
      </c>
      <c r="W85" s="45"/>
      <c r="X85" s="45"/>
      <c r="Y85" s="45"/>
      <c r="Z85" s="20"/>
      <c r="AB85" s="101" t="s">
        <v>76</v>
      </c>
      <c r="AC85" s="106" t="n">
        <v>0</v>
      </c>
      <c r="AD85" s="178"/>
      <c r="AE85" s="178" t="n">
        <f aca="false">AC85</f>
        <v>0</v>
      </c>
      <c r="AF85" s="45"/>
      <c r="AG85" s="45"/>
      <c r="AH85" s="45"/>
      <c r="AI85" s="20"/>
    </row>
    <row r="86" customFormat="false" ht="17.35" hidden="false" customHeight="false" outlineLevel="0" collapsed="false">
      <c r="A86" s="107" t="s">
        <v>77</v>
      </c>
      <c r="B86" s="108" t="n">
        <f aca="false">SUM(D74:D85)</f>
        <v>0</v>
      </c>
      <c r="C86" s="178"/>
      <c r="D86" s="178"/>
      <c r="E86" s="45"/>
      <c r="F86" s="178"/>
      <c r="G86" s="178"/>
      <c r="H86" s="20"/>
      <c r="J86" s="107" t="s">
        <v>77</v>
      </c>
      <c r="K86" s="108" t="n">
        <f aca="false">SUM(M74:M85)</f>
        <v>0</v>
      </c>
      <c r="L86" s="178"/>
      <c r="M86" s="178"/>
      <c r="N86" s="45"/>
      <c r="O86" s="45"/>
      <c r="P86" s="45"/>
      <c r="Q86" s="20"/>
      <c r="S86" s="107" t="s">
        <v>77</v>
      </c>
      <c r="T86" s="108" t="n">
        <f aca="false">SUM(V74:V85)</f>
        <v>0</v>
      </c>
      <c r="U86" s="178"/>
      <c r="V86" s="178"/>
      <c r="W86" s="45"/>
      <c r="X86" s="45"/>
      <c r="Y86" s="45"/>
      <c r="Z86" s="20"/>
      <c r="AB86" s="107" t="s">
        <v>77</v>
      </c>
      <c r="AC86" s="108" t="n">
        <f aca="false">SUM(AE74:AE85)</f>
        <v>0</v>
      </c>
      <c r="AD86" s="178"/>
      <c r="AE86" s="178"/>
      <c r="AF86" s="45"/>
      <c r="AG86" s="45"/>
      <c r="AH86" s="45"/>
      <c r="AI86" s="20"/>
    </row>
    <row r="87" customFormat="false" ht="17.35" hidden="false" customHeight="false" outlineLevel="0" collapsed="false">
      <c r="A87" s="55" t="s">
        <v>78</v>
      </c>
      <c r="B87" s="20" t="n">
        <f aca="false">B86/K29</f>
        <v>0</v>
      </c>
      <c r="C87" s="178"/>
      <c r="D87" s="178"/>
      <c r="E87" s="45"/>
      <c r="F87" s="45"/>
      <c r="G87" s="45"/>
      <c r="H87" s="20"/>
      <c r="J87" s="55" t="s">
        <v>78</v>
      </c>
      <c r="K87" s="20" t="n">
        <f aca="false">K86/K29</f>
        <v>0</v>
      </c>
      <c r="L87" s="178"/>
      <c r="M87" s="178"/>
      <c r="N87" s="45"/>
      <c r="O87" s="45"/>
      <c r="P87" s="45"/>
      <c r="Q87" s="20"/>
      <c r="S87" s="55" t="s">
        <v>78</v>
      </c>
      <c r="T87" s="20" t="n">
        <f aca="false">T86/K29</f>
        <v>0</v>
      </c>
      <c r="U87" s="178"/>
      <c r="V87" s="178"/>
      <c r="W87" s="45"/>
      <c r="X87" s="45"/>
      <c r="Y87" s="45"/>
      <c r="Z87" s="20"/>
      <c r="AB87" s="55" t="s">
        <v>78</v>
      </c>
      <c r="AC87" s="20" t="n">
        <f aca="false">AC86/K29</f>
        <v>0</v>
      </c>
      <c r="AD87" s="178"/>
      <c r="AE87" s="178"/>
      <c r="AF87" s="45"/>
      <c r="AG87" s="45"/>
      <c r="AH87" s="45"/>
      <c r="AI87" s="20"/>
    </row>
    <row r="88" customFormat="false" ht="17.35" hidden="false" customHeight="false" outlineLevel="0" collapsed="false">
      <c r="A88" s="109" t="s">
        <v>79</v>
      </c>
      <c r="B88" s="77" t="n">
        <f aca="false">K49</f>
        <v>238.924242424242</v>
      </c>
      <c r="C88" s="178"/>
      <c r="D88" s="178"/>
      <c r="E88" s="45"/>
      <c r="F88" s="45"/>
      <c r="G88" s="45"/>
      <c r="H88" s="20"/>
      <c r="J88" s="109" t="s">
        <v>79</v>
      </c>
      <c r="K88" s="77" t="n">
        <f aca="false">K47</f>
        <v>0.363636363636364</v>
      </c>
      <c r="L88" s="178"/>
      <c r="M88" s="178"/>
      <c r="N88" s="45"/>
      <c r="O88" s="45"/>
      <c r="P88" s="45"/>
      <c r="Q88" s="20"/>
      <c r="S88" s="109" t="s">
        <v>79</v>
      </c>
      <c r="T88" s="77" t="n">
        <f aca="false">B60</f>
        <v>238.924242424242</v>
      </c>
      <c r="U88" s="178"/>
      <c r="V88" s="178"/>
      <c r="W88" s="45"/>
      <c r="X88" s="45"/>
      <c r="Y88" s="45"/>
      <c r="Z88" s="20"/>
      <c r="AB88" s="109" t="s">
        <v>79</v>
      </c>
      <c r="AC88" s="77" t="n">
        <f aca="false">B60</f>
        <v>238.924242424242</v>
      </c>
      <c r="AD88" s="178"/>
      <c r="AE88" s="178"/>
      <c r="AF88" s="45"/>
      <c r="AG88" s="45"/>
      <c r="AH88" s="45"/>
      <c r="AI88" s="20"/>
    </row>
    <row r="89" customFormat="false" ht="17.35" hidden="false" customHeight="false" outlineLevel="0" collapsed="false">
      <c r="A89" s="55"/>
      <c r="B89" s="178"/>
      <c r="C89" s="178"/>
      <c r="D89" s="178"/>
      <c r="E89" s="45"/>
      <c r="F89" s="45"/>
      <c r="G89" s="45"/>
      <c r="H89" s="20"/>
      <c r="J89" s="55"/>
      <c r="K89" s="178"/>
      <c r="L89" s="178"/>
      <c r="M89" s="178"/>
      <c r="N89" s="45"/>
      <c r="O89" s="45"/>
      <c r="P89" s="45"/>
      <c r="Q89" s="20"/>
      <c r="S89" s="55"/>
      <c r="T89" s="178"/>
      <c r="U89" s="178"/>
      <c r="V89" s="178"/>
      <c r="W89" s="45"/>
      <c r="X89" s="45"/>
      <c r="Y89" s="45"/>
      <c r="Z89" s="20"/>
      <c r="AB89" s="55"/>
      <c r="AC89" s="178"/>
      <c r="AD89" s="178"/>
      <c r="AE89" s="178"/>
      <c r="AF89" s="45"/>
      <c r="AG89" s="45"/>
      <c r="AH89" s="45"/>
      <c r="AI89" s="20"/>
    </row>
    <row r="90" customFormat="false" ht="17.35" hidden="false" customHeight="false" outlineLevel="0" collapsed="false">
      <c r="A90" s="48" t="s">
        <v>80</v>
      </c>
      <c r="B90" s="50" t="n">
        <f aca="false">F37</f>
        <v>47877.5</v>
      </c>
      <c r="C90" s="178"/>
      <c r="D90" s="178"/>
      <c r="E90" s="45"/>
      <c r="F90" s="45"/>
      <c r="G90" s="45"/>
      <c r="H90" s="20"/>
      <c r="J90" s="48" t="s">
        <v>80</v>
      </c>
      <c r="K90" s="50" t="n">
        <f aca="false">P167</f>
        <v>37655</v>
      </c>
      <c r="L90" s="178"/>
      <c r="M90" s="178"/>
      <c r="N90" s="45"/>
      <c r="O90" s="45"/>
      <c r="P90" s="45"/>
      <c r="Q90" s="20"/>
      <c r="S90" s="48" t="s">
        <v>80</v>
      </c>
      <c r="T90" s="50" t="n">
        <f aca="false">Y167</f>
        <v>45468.749</v>
      </c>
      <c r="U90" s="178"/>
      <c r="V90" s="178"/>
      <c r="W90" s="45"/>
      <c r="X90" s="45"/>
      <c r="Y90" s="45"/>
      <c r="Z90" s="20"/>
      <c r="AB90" s="48" t="s">
        <v>80</v>
      </c>
      <c r="AC90" s="50" t="n">
        <f aca="false">AH167</f>
        <v>45468.749</v>
      </c>
      <c r="AD90" s="178"/>
      <c r="AE90" s="178"/>
      <c r="AF90" s="45"/>
      <c r="AG90" s="45"/>
      <c r="AH90" s="45"/>
      <c r="AI90" s="20"/>
    </row>
    <row r="91" customFormat="false" ht="17.35" hidden="false" customHeight="false" outlineLevel="0" collapsed="false">
      <c r="A91" s="55" t="s">
        <v>47</v>
      </c>
      <c r="B91" s="20" t="str">
        <f aca="false">IF(A120 = "Yes", A43, 0)</f>
        <v>6000</v>
      </c>
      <c r="C91" s="178"/>
      <c r="D91" s="178"/>
      <c r="E91" s="45"/>
      <c r="F91" s="45"/>
      <c r="G91" s="45"/>
      <c r="H91" s="20"/>
      <c r="J91" s="55" t="s">
        <v>47</v>
      </c>
      <c r="K91" s="20" t="n">
        <f aca="false">IF(J120 = "YES", A40, 0)</f>
        <v>0</v>
      </c>
      <c r="L91" s="178"/>
      <c r="M91" s="178"/>
      <c r="N91" s="45"/>
      <c r="O91" s="45"/>
      <c r="P91" s="45"/>
      <c r="Q91" s="20"/>
      <c r="S91" s="55" t="s">
        <v>47</v>
      </c>
      <c r="T91" s="20" t="str">
        <f aca="false">A40</f>
        <v>12</v>
      </c>
      <c r="U91" s="178"/>
      <c r="V91" s="178"/>
      <c r="W91" s="45"/>
      <c r="X91" s="45"/>
      <c r="Y91" s="45"/>
      <c r="Z91" s="20"/>
      <c r="AB91" s="55" t="s">
        <v>47</v>
      </c>
      <c r="AC91" s="20" t="str">
        <f aca="false">A40</f>
        <v>12</v>
      </c>
      <c r="AD91" s="178"/>
      <c r="AE91" s="178"/>
      <c r="AF91" s="45"/>
      <c r="AG91" s="45"/>
      <c r="AH91" s="45"/>
      <c r="AI91" s="20"/>
    </row>
    <row r="92" customFormat="false" ht="17.35" hidden="false" customHeight="false" outlineLevel="0" collapsed="false">
      <c r="A92" s="55" t="s">
        <v>81</v>
      </c>
      <c r="B92" s="460" t="n">
        <f aca="false">B71+B72+B73</f>
        <v>0.137</v>
      </c>
      <c r="C92" s="178"/>
      <c r="D92" s="178"/>
      <c r="E92" s="45"/>
      <c r="F92" s="45"/>
      <c r="G92" s="45"/>
      <c r="H92" s="20"/>
      <c r="J92" s="55" t="s">
        <v>81</v>
      </c>
      <c r="K92" s="460" t="n">
        <f aca="false">K71+K72+K73</f>
        <v>0.24</v>
      </c>
      <c r="L92" s="178"/>
      <c r="M92" s="178"/>
      <c r="N92" s="45"/>
      <c r="O92" s="45"/>
      <c r="P92" s="45"/>
      <c r="Q92" s="20"/>
      <c r="S92" s="55" t="s">
        <v>81</v>
      </c>
      <c r="T92" s="460" t="n">
        <f aca="false">T71+T72+T73</f>
        <v>0.1235</v>
      </c>
      <c r="U92" s="178"/>
      <c r="V92" s="178"/>
      <c r="W92" s="45"/>
      <c r="X92" s="45"/>
      <c r="Y92" s="45"/>
      <c r="Z92" s="20"/>
      <c r="AB92" s="55" t="s">
        <v>81</v>
      </c>
      <c r="AC92" s="460" t="n">
        <f aca="false">AC71+AC72+AC73</f>
        <v>0.1235</v>
      </c>
      <c r="AD92" s="178"/>
      <c r="AE92" s="178"/>
      <c r="AF92" s="45"/>
      <c r="AG92" s="45"/>
      <c r="AH92" s="45"/>
      <c r="AI92" s="20"/>
    </row>
    <row r="93" customFormat="false" ht="17.35" hidden="false" customHeight="false" outlineLevel="0" collapsed="false">
      <c r="A93" s="55" t="s">
        <v>82</v>
      </c>
      <c r="B93" s="460" t="n">
        <f aca="false">B92/12</f>
        <v>0.0114166666666667</v>
      </c>
      <c r="C93" s="178"/>
      <c r="D93" s="178"/>
      <c r="E93" s="45"/>
      <c r="F93" s="45"/>
      <c r="G93" s="45"/>
      <c r="H93" s="20"/>
      <c r="J93" s="55" t="s">
        <v>82</v>
      </c>
      <c r="K93" s="460" t="n">
        <f aca="false">K92/12</f>
        <v>0.02</v>
      </c>
      <c r="L93" s="178"/>
      <c r="M93" s="178"/>
      <c r="N93" s="45"/>
      <c r="O93" s="45"/>
      <c r="P93" s="45"/>
      <c r="Q93" s="20"/>
      <c r="S93" s="55" t="s">
        <v>82</v>
      </c>
      <c r="T93" s="460" t="n">
        <f aca="false">T92/12</f>
        <v>0.0102916666666667</v>
      </c>
      <c r="U93" s="178"/>
      <c r="V93" s="178"/>
      <c r="W93" s="45"/>
      <c r="X93" s="45"/>
      <c r="Y93" s="45"/>
      <c r="Z93" s="20"/>
      <c r="AB93" s="55" t="s">
        <v>82</v>
      </c>
      <c r="AC93" s="460" t="n">
        <f aca="false">AC92/12</f>
        <v>0.0102916666666667</v>
      </c>
      <c r="AD93" s="178"/>
      <c r="AE93" s="178"/>
      <c r="AF93" s="45"/>
      <c r="AG93" s="45"/>
      <c r="AH93" s="45"/>
      <c r="AI93" s="20"/>
    </row>
    <row r="94" customFormat="false" ht="17.35" hidden="false" customHeight="false" outlineLevel="0" collapsed="false">
      <c r="A94" s="55" t="s">
        <v>83</v>
      </c>
      <c r="B94" s="20" t="n">
        <f aca="false">IF(B91=0, (B68+B67), (B68))</f>
        <v>32</v>
      </c>
      <c r="C94" s="178"/>
      <c r="D94" s="178"/>
      <c r="E94" s="45"/>
      <c r="F94" s="45"/>
      <c r="G94" s="45"/>
      <c r="H94" s="20"/>
      <c r="J94" s="55" t="s">
        <v>83</v>
      </c>
      <c r="K94" s="20" t="n">
        <f aca="false">IF(K91=0, (K68+K67), (K68))</f>
        <v>33</v>
      </c>
      <c r="L94" s="178"/>
      <c r="M94" s="178"/>
      <c r="N94" s="45"/>
      <c r="O94" s="45"/>
      <c r="P94" s="45"/>
      <c r="Q94" s="20"/>
      <c r="S94" s="55" t="s">
        <v>83</v>
      </c>
      <c r="T94" s="20" t="n">
        <f aca="false">T68</f>
        <v>32</v>
      </c>
      <c r="U94" s="178"/>
      <c r="V94" s="178"/>
      <c r="W94" s="45"/>
      <c r="X94" s="45"/>
      <c r="Y94" s="45"/>
      <c r="Z94" s="20"/>
      <c r="AB94" s="55" t="s">
        <v>83</v>
      </c>
      <c r="AC94" s="20" t="n">
        <f aca="false">AC68</f>
        <v>32</v>
      </c>
      <c r="AD94" s="178"/>
      <c r="AE94" s="178"/>
      <c r="AF94" s="45"/>
      <c r="AG94" s="45"/>
      <c r="AH94" s="45"/>
      <c r="AI94" s="20"/>
    </row>
    <row r="95" customFormat="false" ht="17.35" hidden="false" customHeight="false" outlineLevel="0" collapsed="false">
      <c r="A95" s="55" t="s">
        <v>84</v>
      </c>
      <c r="B95" s="20" t="n">
        <f aca="false">(B91/((1+B93)^(B94+1)))</f>
        <v>4125.32107917265</v>
      </c>
      <c r="C95" s="178"/>
      <c r="D95" s="178"/>
      <c r="E95" s="45"/>
      <c r="F95" s="45"/>
      <c r="G95" s="45"/>
      <c r="H95" s="20"/>
      <c r="J95" s="55" t="s">
        <v>84</v>
      </c>
      <c r="K95" s="20" t="n">
        <f aca="false">(K91/((1+K93)^(K94+1)))</f>
        <v>0</v>
      </c>
      <c r="L95" s="178"/>
      <c r="M95" s="178"/>
      <c r="N95" s="45"/>
      <c r="O95" s="45"/>
      <c r="P95" s="45"/>
      <c r="Q95" s="20"/>
      <c r="S95" s="55" t="s">
        <v>84</v>
      </c>
      <c r="T95" s="20" t="n">
        <f aca="false">(T91/((1+T93)^(T94+1)))</f>
        <v>8.55929138316766</v>
      </c>
      <c r="U95" s="178"/>
      <c r="V95" s="178"/>
      <c r="W95" s="45"/>
      <c r="X95" s="45"/>
      <c r="Y95" s="45"/>
      <c r="Z95" s="20"/>
      <c r="AB95" s="55" t="s">
        <v>84</v>
      </c>
      <c r="AC95" s="20" t="n">
        <f aca="false">(AC91/((1+AC93)^(AC94+1)))</f>
        <v>8.55929138316766</v>
      </c>
      <c r="AD95" s="178"/>
      <c r="AE95" s="178"/>
      <c r="AF95" s="45"/>
      <c r="AG95" s="45"/>
      <c r="AH95" s="45"/>
      <c r="AI95" s="20"/>
    </row>
    <row r="96" customFormat="false" ht="17.35" hidden="false" customHeight="false" outlineLevel="0" collapsed="false">
      <c r="A96" s="55" t="s">
        <v>85</v>
      </c>
      <c r="B96" s="20" t="n">
        <f aca="false">((1-(1/((1+B93)^B94)))/B93)</f>
        <v>26.6800219733353</v>
      </c>
      <c r="C96" s="178"/>
      <c r="D96" s="178"/>
      <c r="E96" s="45"/>
      <c r="F96" s="45"/>
      <c r="G96" s="45"/>
      <c r="H96" s="20"/>
      <c r="J96" s="55" t="s">
        <v>85</v>
      </c>
      <c r="K96" s="20" t="n">
        <f aca="false">((1-(1/((1+K93)^K94)))/K93)</f>
        <v>23.9885635530494</v>
      </c>
      <c r="L96" s="178"/>
      <c r="M96" s="178"/>
      <c r="N96" s="45"/>
      <c r="O96" s="45"/>
      <c r="P96" s="45"/>
      <c r="Q96" s="20"/>
      <c r="S96" s="55" t="s">
        <v>85</v>
      </c>
      <c r="T96" s="20" t="n">
        <f aca="false">((1-(1/((1+T93)^T94)))/T93)</f>
        <v>27.1467145183312</v>
      </c>
      <c r="U96" s="178"/>
      <c r="V96" s="178"/>
      <c r="W96" s="45"/>
      <c r="X96" s="45"/>
      <c r="Y96" s="45"/>
      <c r="Z96" s="20"/>
      <c r="AB96" s="55" t="s">
        <v>85</v>
      </c>
      <c r="AC96" s="20" t="n">
        <f aca="false">((1-(1/((1+AC93)^AC94)))/AC93)</f>
        <v>27.1467145183312</v>
      </c>
      <c r="AD96" s="178"/>
      <c r="AE96" s="178"/>
      <c r="AF96" s="45"/>
      <c r="AG96" s="45"/>
      <c r="AH96" s="45"/>
      <c r="AI96" s="20"/>
    </row>
    <row r="97" customFormat="false" ht="17.35" hidden="false" customHeight="false" outlineLevel="0" collapsed="false">
      <c r="A97" s="55" t="s">
        <v>86</v>
      </c>
      <c r="B97" s="20" t="n">
        <f aca="false">B90-B95</f>
        <v>43752.1789208274</v>
      </c>
      <c r="C97" s="178"/>
      <c r="D97" s="178"/>
      <c r="E97" s="45"/>
      <c r="F97" s="45"/>
      <c r="G97" s="45"/>
      <c r="H97" s="20"/>
      <c r="J97" s="55" t="s">
        <v>86</v>
      </c>
      <c r="K97" s="20" t="n">
        <f aca="false">K90-K95</f>
        <v>37655</v>
      </c>
      <c r="L97" s="178"/>
      <c r="M97" s="178"/>
      <c r="N97" s="45"/>
      <c r="O97" s="45"/>
      <c r="P97" s="45"/>
      <c r="Q97" s="20"/>
      <c r="S97" s="55" t="s">
        <v>86</v>
      </c>
      <c r="T97" s="20" t="n">
        <f aca="false">T90-T95</f>
        <v>45460.1897086168</v>
      </c>
      <c r="U97" s="178"/>
      <c r="V97" s="178"/>
      <c r="W97" s="45"/>
      <c r="X97" s="45"/>
      <c r="Y97" s="45"/>
      <c r="Z97" s="20"/>
      <c r="AB97" s="55" t="s">
        <v>86</v>
      </c>
      <c r="AC97" s="20" t="n">
        <f aca="false">AC90-AC95</f>
        <v>45460.1897086168</v>
      </c>
      <c r="AD97" s="178"/>
      <c r="AE97" s="178"/>
      <c r="AF97" s="45"/>
      <c r="AG97" s="45"/>
      <c r="AH97" s="45"/>
      <c r="AI97" s="20"/>
    </row>
    <row r="98" customFormat="false" ht="17.35" hidden="false" customHeight="false" outlineLevel="0" collapsed="false">
      <c r="A98" s="55" t="s">
        <v>87</v>
      </c>
      <c r="B98" s="20" t="n">
        <f aca="false">(B97/B96)</f>
        <v>1639.88541555755</v>
      </c>
      <c r="C98" s="178"/>
      <c r="D98" s="178"/>
      <c r="E98" s="45"/>
      <c r="F98" s="45"/>
      <c r="G98" s="45"/>
      <c r="H98" s="20"/>
      <c r="J98" s="55" t="s">
        <v>87</v>
      </c>
      <c r="K98" s="20" t="n">
        <f aca="false">(K97/K96)</f>
        <v>1569.706327631</v>
      </c>
      <c r="L98" s="178"/>
      <c r="M98" s="178"/>
      <c r="N98" s="45"/>
      <c r="O98" s="45"/>
      <c r="P98" s="45"/>
      <c r="Q98" s="20"/>
      <c r="S98" s="55" t="s">
        <v>87</v>
      </c>
      <c r="T98" s="20" t="n">
        <f aca="false">(T97/T96)</f>
        <v>1674.61110912406</v>
      </c>
      <c r="U98" s="178"/>
      <c r="V98" s="178"/>
      <c r="W98" s="45"/>
      <c r="X98" s="45"/>
      <c r="Y98" s="45"/>
      <c r="Z98" s="20"/>
      <c r="AB98" s="55" t="s">
        <v>87</v>
      </c>
      <c r="AC98" s="20" t="n">
        <f aca="false">(AC97/AC96)</f>
        <v>1674.61110912406</v>
      </c>
      <c r="AD98" s="178"/>
      <c r="AE98" s="178"/>
      <c r="AF98" s="45"/>
      <c r="AG98" s="45"/>
      <c r="AH98" s="45"/>
      <c r="AI98" s="20"/>
    </row>
    <row r="99" customFormat="false" ht="17.35" hidden="false" customHeight="false" outlineLevel="0" collapsed="false">
      <c r="A99" s="55" t="s">
        <v>88</v>
      </c>
      <c r="B99" s="20" t="n">
        <f aca="false">((B98*(B94))+B86)</f>
        <v>52476.3332978415</v>
      </c>
      <c r="C99" s="178"/>
      <c r="D99" s="178"/>
      <c r="E99" s="45"/>
      <c r="F99" s="45"/>
      <c r="G99" s="45"/>
      <c r="H99" s="20"/>
      <c r="J99" s="55" t="s">
        <v>88</v>
      </c>
      <c r="K99" s="20" t="n">
        <f aca="false">((K98*(K94))+K86)</f>
        <v>51800.308811823</v>
      </c>
      <c r="L99" s="178"/>
      <c r="M99" s="178"/>
      <c r="N99" s="45"/>
      <c r="O99" s="45"/>
      <c r="P99" s="45"/>
      <c r="Q99" s="20"/>
      <c r="S99" s="55" t="s">
        <v>88</v>
      </c>
      <c r="T99" s="20" t="n">
        <f aca="false">(T98*(T94))+T86</f>
        <v>53587.5554919699</v>
      </c>
      <c r="U99" s="178"/>
      <c r="V99" s="178"/>
      <c r="W99" s="45"/>
      <c r="X99" s="45"/>
      <c r="Y99" s="45"/>
      <c r="Z99" s="20"/>
      <c r="AB99" s="55" t="s">
        <v>88</v>
      </c>
      <c r="AC99" s="20" t="n">
        <f aca="false">(AC98*(AC68))+AC86</f>
        <v>53587.5554919699</v>
      </c>
      <c r="AD99" s="178"/>
      <c r="AE99" s="178"/>
      <c r="AF99" s="45"/>
      <c r="AG99" s="45"/>
      <c r="AH99" s="45"/>
      <c r="AI99" s="20"/>
    </row>
    <row r="100" customFormat="false" ht="17.35" hidden="false" customHeight="false" outlineLevel="0" collapsed="false">
      <c r="A100" s="55" t="s">
        <v>89</v>
      </c>
      <c r="B100" s="20" t="n">
        <f aca="false">(((B98*(B94))+B86)/(1-B80))*B80</f>
        <v>0</v>
      </c>
      <c r="C100" s="178"/>
      <c r="D100" s="178"/>
      <c r="E100" s="45"/>
      <c r="F100" s="45"/>
      <c r="G100" s="45"/>
      <c r="H100" s="20"/>
      <c r="J100" s="55" t="s">
        <v>89</v>
      </c>
      <c r="K100" s="20" t="n">
        <f aca="false">(K99/(1-K80))*K80</f>
        <v>0</v>
      </c>
      <c r="L100" s="178"/>
      <c r="M100" s="178"/>
      <c r="N100" s="45"/>
      <c r="O100" s="45"/>
      <c r="P100" s="45"/>
      <c r="Q100" s="20"/>
      <c r="S100" s="55" t="s">
        <v>89</v>
      </c>
      <c r="T100" s="20" t="n">
        <f aca="false">(T99/(1-T80))*T80</f>
        <v>0</v>
      </c>
      <c r="U100" s="178"/>
      <c r="V100" s="178"/>
      <c r="W100" s="45"/>
      <c r="X100" s="45"/>
      <c r="Y100" s="45"/>
      <c r="Z100" s="20"/>
      <c r="AB100" s="55" t="s">
        <v>89</v>
      </c>
      <c r="AC100" s="20" t="n">
        <f aca="false">(AC99/(1-AC80))*AC80</f>
        <v>0</v>
      </c>
      <c r="AD100" s="178"/>
      <c r="AE100" s="178"/>
      <c r="AF100" s="45"/>
      <c r="AG100" s="45"/>
      <c r="AH100" s="45"/>
      <c r="AI100" s="20"/>
    </row>
    <row r="101" customFormat="false" ht="17.35" hidden="false" customHeight="false" outlineLevel="0" collapsed="false">
      <c r="A101" s="74" t="s">
        <v>90</v>
      </c>
      <c r="B101" s="82" t="n">
        <f aca="false">(B99+B100)</f>
        <v>52476.3332978415</v>
      </c>
      <c r="C101" s="178"/>
      <c r="D101" s="178"/>
      <c r="E101" s="45"/>
      <c r="F101" s="45"/>
      <c r="G101" s="45"/>
      <c r="H101" s="20"/>
      <c r="J101" s="74" t="s">
        <v>90</v>
      </c>
      <c r="K101" s="82" t="n">
        <f aca="false">(K99+K100)</f>
        <v>51800.308811823</v>
      </c>
      <c r="L101" s="178"/>
      <c r="M101" s="178"/>
      <c r="N101" s="45"/>
      <c r="O101" s="45"/>
      <c r="P101" s="45"/>
      <c r="Q101" s="20"/>
      <c r="S101" s="74" t="s">
        <v>90</v>
      </c>
      <c r="T101" s="82" t="n">
        <f aca="false">(T99+T100)</f>
        <v>53587.5554919699</v>
      </c>
      <c r="U101" s="178"/>
      <c r="V101" s="178"/>
      <c r="W101" s="45"/>
      <c r="X101" s="45"/>
      <c r="Y101" s="45"/>
      <c r="Z101" s="20"/>
      <c r="AB101" s="74" t="s">
        <v>90</v>
      </c>
      <c r="AC101" s="82" t="n">
        <f aca="false">(AC99+AC100)</f>
        <v>53587.5554919699</v>
      </c>
      <c r="AD101" s="178"/>
      <c r="AE101" s="178"/>
      <c r="AF101" s="45"/>
      <c r="AG101" s="45"/>
      <c r="AH101" s="45"/>
      <c r="AI101" s="20"/>
    </row>
    <row r="102" customFormat="false" ht="17.35" hidden="false" customHeight="false" outlineLevel="0" collapsed="false">
      <c r="A102" s="55"/>
      <c r="B102" s="178"/>
      <c r="C102" s="178"/>
      <c r="D102" s="178"/>
      <c r="E102" s="45"/>
      <c r="F102" s="45"/>
      <c r="G102" s="45"/>
      <c r="H102" s="20"/>
      <c r="J102" s="55"/>
      <c r="K102" s="178"/>
      <c r="L102" s="178"/>
      <c r="M102" s="178"/>
      <c r="N102" s="45"/>
      <c r="O102" s="45"/>
      <c r="P102" s="45"/>
      <c r="Q102" s="20"/>
      <c r="S102" s="55"/>
      <c r="T102" s="178"/>
      <c r="U102" s="178"/>
      <c r="V102" s="178"/>
      <c r="W102" s="45"/>
      <c r="X102" s="45"/>
      <c r="Y102" s="45"/>
      <c r="Z102" s="20"/>
      <c r="AB102" s="55"/>
      <c r="AC102" s="178"/>
      <c r="AD102" s="178"/>
      <c r="AE102" s="178"/>
      <c r="AF102" s="45"/>
      <c r="AG102" s="45"/>
      <c r="AH102" s="45"/>
      <c r="AI102" s="20"/>
    </row>
    <row r="103" customFormat="false" ht="17.35" hidden="false" customHeight="false" outlineLevel="0" collapsed="false">
      <c r="A103" s="107" t="s">
        <v>91</v>
      </c>
      <c r="B103" s="108" t="n">
        <f aca="false">((A46 * A34) + ((A46 * A34)*A117))/(B68)*1.2</f>
        <v>0</v>
      </c>
      <c r="C103" s="178"/>
      <c r="D103" s="178"/>
      <c r="E103" s="45"/>
      <c r="F103" s="45"/>
      <c r="G103" s="45"/>
      <c r="H103" s="20"/>
      <c r="J103" s="107" t="s">
        <v>91</v>
      </c>
      <c r="K103" s="108" t="n">
        <f aca="false">((E40/K94)*(1+J117))*1.2</f>
        <v>0</v>
      </c>
      <c r="L103" s="178"/>
      <c r="M103" s="178"/>
      <c r="N103" s="45"/>
      <c r="O103" s="45"/>
      <c r="P103" s="45"/>
      <c r="Q103" s="20"/>
      <c r="S103" s="107" t="s">
        <v>91</v>
      </c>
      <c r="T103" s="108" t="n">
        <f aca="false">((E40/T94)*(1+S117))</f>
        <v>0</v>
      </c>
      <c r="U103" s="178"/>
      <c r="V103" s="178"/>
      <c r="W103" s="45"/>
      <c r="X103" s="45"/>
      <c r="Y103" s="45"/>
      <c r="Z103" s="20"/>
      <c r="AB103" s="107" t="s">
        <v>91</v>
      </c>
      <c r="AC103" s="108" t="n">
        <f aca="false">((E40/AC94)*(1+AB117))*1.2</f>
        <v>0</v>
      </c>
      <c r="AD103" s="178"/>
      <c r="AE103" s="178"/>
      <c r="AF103" s="45"/>
      <c r="AG103" s="45"/>
      <c r="AH103" s="45"/>
      <c r="AI103" s="20"/>
    </row>
    <row r="104" customFormat="false" ht="17.35" hidden="false" customHeight="false" outlineLevel="0" collapsed="false">
      <c r="A104" s="112" t="s">
        <v>92</v>
      </c>
      <c r="B104" s="113" t="n">
        <f aca="false">B101/(B94)</f>
        <v>1639.88541555755</v>
      </c>
      <c r="C104" s="178"/>
      <c r="D104" s="178"/>
      <c r="E104" s="45"/>
      <c r="F104" s="45"/>
      <c r="G104" s="45"/>
      <c r="H104" s="20"/>
      <c r="J104" s="112" t="s">
        <v>92</v>
      </c>
      <c r="K104" s="113" t="n">
        <f aca="false">K101/(K94)</f>
        <v>1569.706327631</v>
      </c>
      <c r="L104" s="178"/>
      <c r="M104" s="178"/>
      <c r="N104" s="45"/>
      <c r="O104" s="45"/>
      <c r="P104" s="45"/>
      <c r="Q104" s="20"/>
      <c r="S104" s="112" t="s">
        <v>92</v>
      </c>
      <c r="T104" s="113" t="n">
        <f aca="false">T101/(T94)</f>
        <v>1674.61110912406</v>
      </c>
      <c r="U104" s="178"/>
      <c r="V104" s="178"/>
      <c r="W104" s="45"/>
      <c r="X104" s="45"/>
      <c r="Y104" s="45"/>
      <c r="Z104" s="20"/>
      <c r="AB104" s="112" t="s">
        <v>92</v>
      </c>
      <c r="AC104" s="113" t="n">
        <f aca="false">AC101/(AC68)</f>
        <v>1674.61110912406</v>
      </c>
      <c r="AD104" s="178"/>
      <c r="AE104" s="178"/>
      <c r="AF104" s="45"/>
      <c r="AG104" s="45"/>
      <c r="AH104" s="45"/>
      <c r="AI104" s="20"/>
    </row>
    <row r="105" customFormat="false" ht="17.35" hidden="false" customHeight="false" outlineLevel="0" collapsed="false">
      <c r="A105" s="114" t="s">
        <v>93</v>
      </c>
      <c r="B105" s="115" t="n">
        <f aca="false">B103+B104</f>
        <v>1639.88541555755</v>
      </c>
      <c r="C105" s="178"/>
      <c r="D105" s="178"/>
      <c r="E105" s="45" t="s">
        <v>10</v>
      </c>
      <c r="F105" s="45"/>
      <c r="G105" s="45"/>
      <c r="H105" s="20"/>
      <c r="J105" s="114" t="s">
        <v>93</v>
      </c>
      <c r="K105" s="115" t="n">
        <f aca="false">(K103+K104)</f>
        <v>1569.706327631</v>
      </c>
      <c r="L105" s="178"/>
      <c r="M105" s="178"/>
      <c r="N105" s="45"/>
      <c r="O105" s="45"/>
      <c r="P105" s="45"/>
      <c r="Q105" s="20"/>
      <c r="S105" s="114" t="s">
        <v>93</v>
      </c>
      <c r="T105" s="115" t="n">
        <f aca="false">T103+T104</f>
        <v>1674.61110912406</v>
      </c>
      <c r="U105" s="178"/>
      <c r="V105" s="178"/>
      <c r="W105" s="45"/>
      <c r="X105" s="45"/>
      <c r="Y105" s="45"/>
      <c r="Z105" s="20"/>
      <c r="AB105" s="114" t="s">
        <v>93</v>
      </c>
      <c r="AC105" s="115" t="n">
        <f aca="false">AC103+AC104</f>
        <v>1674.61110912406</v>
      </c>
      <c r="AD105" s="178"/>
      <c r="AE105" s="178"/>
      <c r="AF105" s="45"/>
      <c r="AG105" s="45"/>
      <c r="AH105" s="45"/>
      <c r="AI105" s="20"/>
    </row>
    <row r="106" customFormat="false" ht="17.35" hidden="false" customHeight="false" outlineLevel="0" collapsed="false">
      <c r="A106" s="74"/>
      <c r="B106" s="75"/>
      <c r="C106" s="75"/>
      <c r="D106" s="75"/>
      <c r="E106" s="116"/>
      <c r="F106" s="116"/>
      <c r="G106" s="116"/>
      <c r="H106" s="82"/>
      <c r="J106" s="74"/>
      <c r="K106" s="75"/>
      <c r="L106" s="75"/>
      <c r="M106" s="75"/>
      <c r="N106" s="116"/>
      <c r="O106" s="116"/>
      <c r="P106" s="116"/>
      <c r="Q106" s="82"/>
      <c r="S106" s="74"/>
      <c r="T106" s="75"/>
      <c r="U106" s="75"/>
      <c r="V106" s="75"/>
      <c r="W106" s="116"/>
      <c r="X106" s="116"/>
      <c r="Y106" s="116"/>
      <c r="Z106" s="82"/>
      <c r="AB106" s="74"/>
      <c r="AC106" s="75"/>
      <c r="AD106" s="75"/>
      <c r="AE106" s="75"/>
      <c r="AF106" s="116"/>
      <c r="AG106" s="116"/>
      <c r="AH106" s="116"/>
      <c r="AI106" s="82"/>
    </row>
    <row r="107" customFormat="false" ht="13.8" hidden="false" customHeight="false" outlineLevel="0" collapsed="false">
      <c r="A107" s="45"/>
      <c r="B107" s="45"/>
      <c r="C107" s="45"/>
      <c r="D107" s="45"/>
      <c r="E107" s="45"/>
      <c r="F107" s="45"/>
      <c r="G107" s="45"/>
      <c r="H107" s="45"/>
      <c r="J107" s="45"/>
      <c r="K107" s="45"/>
      <c r="L107" s="45"/>
      <c r="M107" s="45"/>
      <c r="N107" s="45"/>
      <c r="O107" s="45"/>
      <c r="P107" s="45"/>
      <c r="Q107" s="45"/>
      <c r="S107" s="45"/>
      <c r="T107" s="45"/>
      <c r="U107" s="45"/>
      <c r="V107" s="45"/>
      <c r="W107" s="45"/>
      <c r="X107" s="45"/>
      <c r="Y107" s="45"/>
      <c r="Z107" s="45"/>
      <c r="AB107" s="45"/>
      <c r="AC107" s="45"/>
      <c r="AD107" s="45"/>
      <c r="AE107" s="45"/>
      <c r="AF107" s="45"/>
      <c r="AG107" s="45"/>
      <c r="AH107" s="45"/>
      <c r="AI107" s="45"/>
    </row>
    <row r="108" customFormat="false" ht="13.8" hidden="false" customHeight="false" outlineLevel="0" collapsed="false">
      <c r="A108" s="45" t="n">
        <v>0.2</v>
      </c>
      <c r="B108" s="45" t="s">
        <v>364</v>
      </c>
      <c r="C108" s="45"/>
      <c r="D108" s="45"/>
      <c r="E108" s="45"/>
      <c r="F108" s="45"/>
      <c r="G108" s="45"/>
      <c r="H108" s="45"/>
      <c r="J108" s="45"/>
      <c r="K108" s="45"/>
      <c r="L108" s="45"/>
      <c r="M108" s="45"/>
      <c r="N108" s="45"/>
      <c r="O108" s="45"/>
      <c r="P108" s="45"/>
      <c r="Q108" s="45"/>
      <c r="S108" s="45"/>
      <c r="T108" s="45"/>
      <c r="U108" s="45"/>
      <c r="V108" s="45"/>
      <c r="W108" s="45"/>
      <c r="X108" s="45"/>
      <c r="Y108" s="45"/>
      <c r="Z108" s="45"/>
      <c r="AB108" s="45"/>
      <c r="AC108" s="45"/>
      <c r="AD108" s="45"/>
      <c r="AE108" s="45"/>
      <c r="AF108" s="45"/>
      <c r="AG108" s="45"/>
      <c r="AH108" s="45"/>
      <c r="AI108" s="45"/>
    </row>
    <row r="109" customFormat="false" ht="47.25" hidden="false" customHeight="true" outlineLevel="0" collapsed="false">
      <c r="A109" s="4" t="s">
        <v>94</v>
      </c>
      <c r="B109" s="4"/>
      <c r="C109" s="4"/>
      <c r="D109" s="4"/>
      <c r="E109" s="4"/>
      <c r="F109" s="4"/>
      <c r="G109" s="4"/>
      <c r="H109" s="4"/>
      <c r="J109" s="47" t="s">
        <v>95</v>
      </c>
      <c r="K109" s="47"/>
      <c r="L109" s="47"/>
      <c r="M109" s="47"/>
      <c r="N109" s="47"/>
      <c r="O109" s="47"/>
      <c r="P109" s="47"/>
      <c r="Q109" s="47"/>
      <c r="S109" s="4" t="s">
        <v>96</v>
      </c>
      <c r="T109" s="4"/>
      <c r="U109" s="4"/>
      <c r="V109" s="4"/>
      <c r="W109" s="4"/>
      <c r="X109" s="4"/>
      <c r="Y109" s="4"/>
      <c r="Z109" s="4"/>
      <c r="AB109" s="4" t="s">
        <v>97</v>
      </c>
      <c r="AC109" s="4"/>
      <c r="AD109" s="4"/>
      <c r="AE109" s="4"/>
      <c r="AF109" s="4"/>
      <c r="AG109" s="4"/>
      <c r="AH109" s="4"/>
      <c r="AI109" s="4"/>
    </row>
    <row r="110" customFormat="false" ht="17.35" hidden="false" customHeight="false" outlineLevel="0" collapsed="false">
      <c r="A110" s="48"/>
      <c r="B110" s="49"/>
      <c r="C110" s="49"/>
      <c r="D110" s="49"/>
      <c r="E110" s="93"/>
      <c r="F110" s="93"/>
      <c r="G110" s="93"/>
      <c r="H110" s="117"/>
      <c r="J110" s="48"/>
      <c r="K110" s="49"/>
      <c r="L110" s="49"/>
      <c r="M110" s="49"/>
      <c r="N110" s="93"/>
      <c r="O110" s="93"/>
      <c r="P110" s="93"/>
      <c r="Q110" s="117"/>
      <c r="S110" s="48"/>
      <c r="T110" s="49"/>
      <c r="U110" s="49"/>
      <c r="V110" s="49"/>
      <c r="W110" s="93"/>
      <c r="X110" s="93"/>
      <c r="Y110" s="93"/>
      <c r="Z110" s="117"/>
      <c r="AB110" s="48"/>
      <c r="AC110" s="49"/>
      <c r="AD110" s="49"/>
      <c r="AE110" s="49"/>
      <c r="AF110" s="93"/>
      <c r="AG110" s="93"/>
      <c r="AH110" s="93"/>
      <c r="AI110" s="117"/>
    </row>
    <row r="111" customFormat="false" ht="22.05" hidden="false" customHeight="false" outlineLevel="0" collapsed="false">
      <c r="A111" s="58" t="s">
        <v>9</v>
      </c>
      <c r="B111" s="58" t="n">
        <v>0</v>
      </c>
      <c r="C111" s="58"/>
      <c r="D111" s="58"/>
      <c r="E111" s="58" t="n">
        <v>0</v>
      </c>
      <c r="F111" s="58"/>
      <c r="G111" s="58"/>
      <c r="H111" s="58"/>
      <c r="J111" s="58" t="s">
        <v>26</v>
      </c>
      <c r="K111" s="58"/>
      <c r="L111" s="58"/>
      <c r="M111" s="58"/>
      <c r="N111" s="58"/>
      <c r="O111" s="58"/>
      <c r="P111" s="58"/>
      <c r="Q111" s="58"/>
      <c r="S111" s="58" t="s">
        <v>26</v>
      </c>
      <c r="T111" s="58"/>
      <c r="U111" s="58"/>
      <c r="V111" s="58"/>
      <c r="W111" s="58"/>
      <c r="X111" s="58"/>
      <c r="Y111" s="58"/>
      <c r="Z111" s="58"/>
      <c r="AB111" s="58" t="s">
        <v>26</v>
      </c>
      <c r="AC111" s="58"/>
      <c r="AD111" s="58"/>
      <c r="AE111" s="58"/>
      <c r="AF111" s="58"/>
      <c r="AG111" s="58"/>
      <c r="AH111" s="58"/>
      <c r="AI111" s="58"/>
    </row>
    <row r="112" customFormat="false" ht="17.35" hidden="false" customHeight="false" outlineLevel="0" collapsed="false">
      <c r="A112" s="55"/>
      <c r="B112" s="178"/>
      <c r="C112" s="178"/>
      <c r="D112" s="178"/>
      <c r="E112" s="45"/>
      <c r="F112" s="45"/>
      <c r="G112" s="45"/>
      <c r="H112" s="118"/>
      <c r="J112" s="55"/>
      <c r="K112" s="178"/>
      <c r="L112" s="178"/>
      <c r="M112" s="178"/>
      <c r="N112" s="45"/>
      <c r="O112" s="45"/>
      <c r="P112" s="45"/>
      <c r="Q112" s="118"/>
      <c r="S112" s="55"/>
      <c r="T112" s="178"/>
      <c r="U112" s="178"/>
      <c r="V112" s="178"/>
      <c r="W112" s="45"/>
      <c r="X112" s="45"/>
      <c r="Y112" s="45"/>
      <c r="Z112" s="118"/>
      <c r="AB112" s="55"/>
      <c r="AC112" s="178"/>
      <c r="AD112" s="178"/>
      <c r="AE112" s="178"/>
      <c r="AF112" s="45"/>
      <c r="AG112" s="45"/>
      <c r="AH112" s="45"/>
      <c r="AI112" s="118"/>
    </row>
    <row r="113" customFormat="false" ht="17.35" hidden="false" customHeight="false" outlineLevel="0" collapsed="false">
      <c r="A113" s="55" t="s">
        <v>98</v>
      </c>
      <c r="B113" s="178" t="s">
        <v>23</v>
      </c>
      <c r="C113" s="178"/>
      <c r="D113" s="178"/>
      <c r="E113" s="178" t="s">
        <v>22</v>
      </c>
      <c r="F113" s="178"/>
      <c r="G113" s="178"/>
      <c r="H113" s="20"/>
      <c r="J113" s="55" t="s">
        <v>98</v>
      </c>
      <c r="K113" s="178" t="s">
        <v>23</v>
      </c>
      <c r="L113" s="178"/>
      <c r="M113" s="178"/>
      <c r="N113" s="178" t="s">
        <v>22</v>
      </c>
      <c r="O113" s="178"/>
      <c r="P113" s="178"/>
      <c r="Q113" s="20"/>
      <c r="S113" s="55" t="s">
        <v>98</v>
      </c>
      <c r="T113" s="178" t="s">
        <v>23</v>
      </c>
      <c r="U113" s="178"/>
      <c r="V113" s="178"/>
      <c r="W113" s="178" t="s">
        <v>22</v>
      </c>
      <c r="X113" s="178"/>
      <c r="Y113" s="178"/>
      <c r="Z113" s="20"/>
      <c r="AB113" s="55" t="s">
        <v>98</v>
      </c>
      <c r="AC113" s="178" t="s">
        <v>23</v>
      </c>
      <c r="AD113" s="178"/>
      <c r="AE113" s="178"/>
      <c r="AF113" s="178" t="s">
        <v>22</v>
      </c>
      <c r="AG113" s="178"/>
      <c r="AH113" s="178"/>
      <c r="AI113" s="20"/>
    </row>
    <row r="114" customFormat="false" ht="17.35" hidden="false" customHeight="false" outlineLevel="0" collapsed="false">
      <c r="A114" s="51" t="s">
        <v>99</v>
      </c>
      <c r="B114" s="37" t="s">
        <v>100</v>
      </c>
      <c r="C114" s="37"/>
      <c r="D114" s="37"/>
      <c r="E114" s="60" t="s">
        <v>10</v>
      </c>
      <c r="F114" s="60"/>
      <c r="G114" s="60"/>
      <c r="H114" s="118"/>
      <c r="J114" s="51" t="s">
        <v>99</v>
      </c>
      <c r="K114" s="177" t="s">
        <v>100</v>
      </c>
      <c r="L114" s="177"/>
      <c r="M114" s="177"/>
      <c r="N114" s="60" t="s">
        <v>9</v>
      </c>
      <c r="O114" s="60"/>
      <c r="P114" s="60"/>
      <c r="Q114" s="118"/>
      <c r="S114" s="51" t="s">
        <v>99</v>
      </c>
      <c r="T114" s="37" t="s">
        <v>100</v>
      </c>
      <c r="U114" s="37"/>
      <c r="V114" s="37"/>
      <c r="W114" s="60" t="s">
        <v>9</v>
      </c>
      <c r="X114" s="60"/>
      <c r="Y114" s="60"/>
      <c r="Z114" s="118"/>
      <c r="AB114" s="51" t="s">
        <v>99</v>
      </c>
      <c r="AC114" s="37" t="s">
        <v>100</v>
      </c>
      <c r="AD114" s="37"/>
      <c r="AE114" s="37"/>
      <c r="AF114" s="60" t="s">
        <v>9</v>
      </c>
      <c r="AG114" s="60"/>
      <c r="AH114" s="60"/>
      <c r="AI114" s="118"/>
    </row>
    <row r="115" customFormat="false" ht="17.35" hidden="false" customHeight="false" outlineLevel="0" collapsed="false">
      <c r="A115" s="55"/>
      <c r="B115" s="178"/>
      <c r="C115" s="178"/>
      <c r="D115" s="45"/>
      <c r="E115" s="178"/>
      <c r="F115" s="178"/>
      <c r="G115" s="45"/>
      <c r="H115" s="20"/>
      <c r="J115" s="55"/>
      <c r="K115" s="178"/>
      <c r="L115" s="178"/>
      <c r="M115" s="45"/>
      <c r="N115" s="178"/>
      <c r="O115" s="178"/>
      <c r="P115" s="45"/>
      <c r="Q115" s="20"/>
      <c r="S115" s="55"/>
      <c r="T115" s="178"/>
      <c r="U115" s="178"/>
      <c r="V115" s="45"/>
      <c r="W115" s="178"/>
      <c r="X115" s="178"/>
      <c r="Y115" s="45"/>
      <c r="Z115" s="20"/>
      <c r="AB115" s="55"/>
      <c r="AC115" s="178"/>
      <c r="AD115" s="178"/>
      <c r="AE115" s="45"/>
      <c r="AF115" s="178"/>
      <c r="AG115" s="178"/>
      <c r="AH115" s="45"/>
      <c r="AI115" s="20"/>
    </row>
    <row r="116" customFormat="false" ht="17.35" hidden="false" customHeight="false" outlineLevel="0" collapsed="false">
      <c r="A116" s="55" t="s">
        <v>101</v>
      </c>
      <c r="B116" s="178" t="s">
        <v>102</v>
      </c>
      <c r="C116" s="178"/>
      <c r="D116" s="45"/>
      <c r="E116" s="178" t="s">
        <v>103</v>
      </c>
      <c r="F116" s="178"/>
      <c r="G116" s="45"/>
      <c r="H116" s="118"/>
      <c r="J116" s="55" t="s">
        <v>101</v>
      </c>
      <c r="K116" s="178" t="s">
        <v>102</v>
      </c>
      <c r="L116" s="178"/>
      <c r="M116" s="45"/>
      <c r="N116" s="178" t="s">
        <v>103</v>
      </c>
      <c r="O116" s="178"/>
      <c r="P116" s="45"/>
      <c r="Q116" s="118"/>
      <c r="S116" s="55" t="s">
        <v>101</v>
      </c>
      <c r="T116" s="178" t="s">
        <v>102</v>
      </c>
      <c r="U116" s="178"/>
      <c r="V116" s="45"/>
      <c r="W116" s="178" t="s">
        <v>103</v>
      </c>
      <c r="X116" s="178"/>
      <c r="Y116" s="45"/>
      <c r="Z116" s="118"/>
      <c r="AB116" s="55" t="s">
        <v>101</v>
      </c>
      <c r="AC116" s="178" t="s">
        <v>102</v>
      </c>
      <c r="AD116" s="178"/>
      <c r="AE116" s="45"/>
      <c r="AF116" s="178" t="s">
        <v>103</v>
      </c>
      <c r="AG116" s="178"/>
      <c r="AH116" s="45"/>
      <c r="AI116" s="118"/>
    </row>
    <row r="117" customFormat="false" ht="17.35" hidden="false" customHeight="false" outlineLevel="0" collapsed="false">
      <c r="A117" s="120" t="n">
        <v>0.2</v>
      </c>
      <c r="B117" s="72" t="s">
        <v>104</v>
      </c>
      <c r="C117" s="72"/>
      <c r="D117" s="72"/>
      <c r="E117" s="121" t="n">
        <f aca="false">B92</f>
        <v>0.137</v>
      </c>
      <c r="F117" s="121"/>
      <c r="G117" s="121"/>
      <c r="H117" s="65"/>
      <c r="J117" s="120" t="n">
        <v>0.3</v>
      </c>
      <c r="K117" s="72" t="s">
        <v>104</v>
      </c>
      <c r="L117" s="72"/>
      <c r="M117" s="72"/>
      <c r="N117" s="121" t="n">
        <f aca="false">K92</f>
        <v>0.24</v>
      </c>
      <c r="O117" s="121"/>
      <c r="P117" s="121"/>
      <c r="Q117" s="65"/>
      <c r="S117" s="120" t="n">
        <v>0.2</v>
      </c>
      <c r="T117" s="72" t="s">
        <v>105</v>
      </c>
      <c r="U117" s="72"/>
      <c r="V117" s="72"/>
      <c r="W117" s="121" t="n">
        <f aca="false">T92</f>
        <v>0.1235</v>
      </c>
      <c r="X117" s="121"/>
      <c r="Y117" s="121"/>
      <c r="Z117" s="65"/>
      <c r="AB117" s="120" t="n">
        <v>0.2</v>
      </c>
      <c r="AC117" s="72" t="s">
        <v>105</v>
      </c>
      <c r="AD117" s="72"/>
      <c r="AE117" s="72"/>
      <c r="AF117" s="122" t="n">
        <f aca="false">AC92</f>
        <v>0.1235</v>
      </c>
      <c r="AG117" s="122"/>
      <c r="AH117" s="122"/>
      <c r="AI117" s="65"/>
      <c r="AP117" s="1" t="s">
        <v>106</v>
      </c>
    </row>
    <row r="118" customFormat="false" ht="17.35" hidden="false" customHeight="false" outlineLevel="0" collapsed="false">
      <c r="A118" s="55"/>
      <c r="B118" s="178"/>
      <c r="C118" s="178"/>
      <c r="D118" s="178"/>
      <c r="E118" s="178"/>
      <c r="F118" s="178"/>
      <c r="G118" s="178"/>
      <c r="H118" s="20"/>
      <c r="J118" s="55"/>
      <c r="K118" s="178"/>
      <c r="L118" s="178"/>
      <c r="M118" s="178"/>
      <c r="N118" s="178"/>
      <c r="O118" s="178"/>
      <c r="P118" s="178"/>
      <c r="Q118" s="20"/>
      <c r="S118" s="55"/>
      <c r="T118" s="178"/>
      <c r="U118" s="178"/>
      <c r="V118" s="178"/>
      <c r="W118" s="178"/>
      <c r="X118" s="178"/>
      <c r="Y118" s="178"/>
      <c r="Z118" s="20"/>
      <c r="AB118" s="55"/>
      <c r="AC118" s="178"/>
      <c r="AD118" s="178"/>
      <c r="AE118" s="178"/>
      <c r="AF118" s="178"/>
      <c r="AG118" s="178"/>
      <c r="AH118" s="178"/>
      <c r="AI118" s="20"/>
      <c r="AP118" s="1" t="s">
        <v>104</v>
      </c>
    </row>
    <row r="119" customFormat="false" ht="17.35" hidden="false" customHeight="false" outlineLevel="0" collapsed="false">
      <c r="A119" s="55" t="s">
        <v>107</v>
      </c>
      <c r="B119" s="178" t="s">
        <v>108</v>
      </c>
      <c r="C119" s="178"/>
      <c r="D119" s="178"/>
      <c r="E119" s="178" t="s">
        <v>109</v>
      </c>
      <c r="F119" s="178"/>
      <c r="G119" s="178"/>
      <c r="H119" s="20"/>
      <c r="J119" s="55" t="s">
        <v>107</v>
      </c>
      <c r="K119" s="178" t="s">
        <v>108</v>
      </c>
      <c r="L119" s="178"/>
      <c r="M119" s="178"/>
      <c r="N119" s="178" t="s">
        <v>109</v>
      </c>
      <c r="O119" s="178"/>
      <c r="P119" s="178"/>
      <c r="Q119" s="20"/>
      <c r="S119" s="55" t="s">
        <v>107</v>
      </c>
      <c r="T119" s="178" t="s">
        <v>108</v>
      </c>
      <c r="U119" s="178"/>
      <c r="V119" s="178"/>
      <c r="W119" s="178" t="s">
        <v>109</v>
      </c>
      <c r="X119" s="178"/>
      <c r="Y119" s="178"/>
      <c r="Z119" s="20"/>
      <c r="AB119" s="55" t="s">
        <v>107</v>
      </c>
      <c r="AC119" s="178" t="s">
        <v>108</v>
      </c>
      <c r="AD119" s="178"/>
      <c r="AE119" s="178"/>
      <c r="AF119" s="178" t="s">
        <v>109</v>
      </c>
      <c r="AG119" s="178"/>
      <c r="AH119" s="178"/>
      <c r="AI119" s="20"/>
    </row>
    <row r="120" customFormat="false" ht="17.35" hidden="false" customHeight="false" outlineLevel="0" collapsed="false">
      <c r="A120" s="52" t="s">
        <v>9</v>
      </c>
      <c r="B120" s="72" t="n">
        <v>0</v>
      </c>
      <c r="C120" s="72"/>
      <c r="D120" s="72"/>
      <c r="E120" s="72" t="n">
        <v>0</v>
      </c>
      <c r="F120" s="72"/>
      <c r="G120" s="72"/>
      <c r="H120" s="118"/>
      <c r="J120" s="52" t="s">
        <v>10</v>
      </c>
      <c r="K120" s="72" t="n">
        <v>1000</v>
      </c>
      <c r="L120" s="72"/>
      <c r="M120" s="72"/>
      <c r="N120" s="72" t="n">
        <v>0</v>
      </c>
      <c r="O120" s="72"/>
      <c r="P120" s="72"/>
      <c r="Q120" s="118"/>
      <c r="S120" s="52" t="s">
        <v>9</v>
      </c>
      <c r="T120" s="72" t="n">
        <v>1000</v>
      </c>
      <c r="U120" s="72"/>
      <c r="V120" s="72"/>
      <c r="W120" s="72" t="n">
        <v>0</v>
      </c>
      <c r="X120" s="72"/>
      <c r="Y120" s="72"/>
      <c r="Z120" s="118"/>
      <c r="AB120" s="52" t="s">
        <v>9</v>
      </c>
      <c r="AC120" s="72" t="n">
        <v>1000</v>
      </c>
      <c r="AD120" s="72"/>
      <c r="AE120" s="72"/>
      <c r="AF120" s="72" t="n">
        <v>0</v>
      </c>
      <c r="AG120" s="72"/>
      <c r="AH120" s="72"/>
      <c r="AI120" s="118"/>
    </row>
    <row r="121" customFormat="false" ht="17.35" hidden="false" customHeight="false" outlineLevel="0" collapsed="false">
      <c r="A121" s="55"/>
      <c r="B121" s="178"/>
      <c r="C121" s="178"/>
      <c r="D121" s="178"/>
      <c r="E121" s="178"/>
      <c r="F121" s="178"/>
      <c r="G121" s="45"/>
      <c r="H121" s="118"/>
      <c r="J121" s="55"/>
      <c r="K121" s="178"/>
      <c r="L121" s="178"/>
      <c r="M121" s="178"/>
      <c r="N121" s="178"/>
      <c r="O121" s="178"/>
      <c r="P121" s="45"/>
      <c r="Q121" s="118"/>
      <c r="S121" s="55"/>
      <c r="T121" s="178"/>
      <c r="U121" s="178"/>
      <c r="V121" s="178"/>
      <c r="W121" s="178"/>
      <c r="X121" s="178"/>
      <c r="Y121" s="45"/>
      <c r="Z121" s="118"/>
      <c r="AB121" s="55"/>
      <c r="AC121" s="178"/>
      <c r="AD121" s="178"/>
      <c r="AE121" s="178"/>
      <c r="AF121" s="178"/>
      <c r="AG121" s="178"/>
      <c r="AH121" s="45"/>
      <c r="AI121" s="118"/>
    </row>
    <row r="122" customFormat="false" ht="17.35" hidden="false" customHeight="false" outlineLevel="0" collapsed="false">
      <c r="A122" s="123" t="s">
        <v>110</v>
      </c>
      <c r="B122" s="178" t="s">
        <v>111</v>
      </c>
      <c r="C122" s="178"/>
      <c r="D122" s="178"/>
      <c r="E122" s="178" t="s">
        <v>112</v>
      </c>
      <c r="F122" s="178"/>
      <c r="G122" s="45"/>
      <c r="H122" s="118"/>
      <c r="J122" s="123" t="s">
        <v>110</v>
      </c>
      <c r="K122" s="178" t="s">
        <v>111</v>
      </c>
      <c r="L122" s="178"/>
      <c r="M122" s="178"/>
      <c r="N122" s="178" t="s">
        <v>112</v>
      </c>
      <c r="O122" s="178"/>
      <c r="P122" s="45"/>
      <c r="Q122" s="118"/>
      <c r="S122" s="123" t="s">
        <v>110</v>
      </c>
      <c r="T122" s="178" t="s">
        <v>111</v>
      </c>
      <c r="U122" s="178"/>
      <c r="V122" s="178"/>
      <c r="W122" s="178" t="s">
        <v>112</v>
      </c>
      <c r="X122" s="178"/>
      <c r="Y122" s="45"/>
      <c r="Z122" s="118"/>
      <c r="AB122" s="123" t="s">
        <v>110</v>
      </c>
      <c r="AC122" s="178" t="s">
        <v>111</v>
      </c>
      <c r="AD122" s="178"/>
      <c r="AE122" s="178"/>
      <c r="AF122" s="178" t="s">
        <v>112</v>
      </c>
      <c r="AG122" s="178"/>
      <c r="AH122" s="45"/>
      <c r="AI122" s="118"/>
    </row>
    <row r="123" customFormat="false" ht="17.35" hidden="false" customHeight="false" outlineLevel="0" collapsed="false">
      <c r="A123" s="70" t="n">
        <f aca="false">B120+E120</f>
        <v>0</v>
      </c>
      <c r="B123" s="72" t="s">
        <v>113</v>
      </c>
      <c r="C123" s="72"/>
      <c r="D123" s="72"/>
      <c r="E123" s="72" t="n">
        <v>0</v>
      </c>
      <c r="F123" s="72"/>
      <c r="G123" s="72"/>
      <c r="H123" s="118"/>
      <c r="J123" s="70" t="n">
        <f aca="false">K120+N120</f>
        <v>1000</v>
      </c>
      <c r="K123" s="72" t="n">
        <v>239.99</v>
      </c>
      <c r="L123" s="72"/>
      <c r="M123" s="72"/>
      <c r="N123" s="72" t="n">
        <v>0</v>
      </c>
      <c r="O123" s="72"/>
      <c r="P123" s="72"/>
      <c r="Q123" s="118"/>
      <c r="S123" s="70" t="n">
        <f aca="false">T120+W120</f>
        <v>1000</v>
      </c>
      <c r="T123" s="72" t="n">
        <v>199.99</v>
      </c>
      <c r="U123" s="72"/>
      <c r="V123" s="72"/>
      <c r="W123" s="72" t="n">
        <v>0</v>
      </c>
      <c r="X123" s="72"/>
      <c r="Y123" s="72"/>
      <c r="Z123" s="118"/>
      <c r="AB123" s="70" t="n">
        <f aca="false">AC120+AF120</f>
        <v>1000</v>
      </c>
      <c r="AC123" s="72" t="n">
        <v>239.99</v>
      </c>
      <c r="AD123" s="72"/>
      <c r="AE123" s="72"/>
      <c r="AF123" s="72" t="n">
        <v>0</v>
      </c>
      <c r="AG123" s="72"/>
      <c r="AH123" s="72"/>
      <c r="AI123" s="118"/>
    </row>
    <row r="124" customFormat="false" ht="13.8" hidden="false" customHeight="false" outlineLevel="0" collapsed="false">
      <c r="A124" s="124"/>
      <c r="B124" s="45"/>
      <c r="C124" s="45"/>
      <c r="D124" s="45"/>
      <c r="E124" s="45"/>
      <c r="F124" s="45"/>
      <c r="G124" s="45"/>
      <c r="H124" s="118"/>
      <c r="J124" s="124"/>
      <c r="K124" s="45"/>
      <c r="L124" s="45"/>
      <c r="M124" s="45"/>
      <c r="N124" s="45"/>
      <c r="O124" s="45"/>
      <c r="P124" s="45"/>
      <c r="Q124" s="118"/>
      <c r="S124" s="124"/>
      <c r="T124" s="45"/>
      <c r="U124" s="45"/>
      <c r="V124" s="45"/>
      <c r="W124" s="45"/>
      <c r="X124" s="45"/>
      <c r="Y124" s="45"/>
      <c r="Z124" s="118"/>
      <c r="AB124" s="124"/>
      <c r="AC124" s="45"/>
      <c r="AD124" s="45"/>
      <c r="AE124" s="45"/>
      <c r="AF124" s="45"/>
      <c r="AG124" s="45"/>
      <c r="AH124" s="45"/>
      <c r="AI124" s="118"/>
    </row>
    <row r="125" customFormat="false" ht="13.8" hidden="false" customHeight="false" outlineLevel="0" collapsed="false">
      <c r="A125" s="124"/>
      <c r="B125" s="45"/>
      <c r="C125" s="45"/>
      <c r="D125" s="45"/>
      <c r="E125" s="45"/>
      <c r="F125" s="45"/>
      <c r="G125" s="45"/>
      <c r="H125" s="118"/>
      <c r="J125" s="124"/>
      <c r="K125" s="45"/>
      <c r="L125" s="45"/>
      <c r="M125" s="45"/>
      <c r="N125" s="45"/>
      <c r="O125" s="45"/>
      <c r="P125" s="45"/>
      <c r="Q125" s="118"/>
      <c r="S125" s="124"/>
      <c r="T125" s="45"/>
      <c r="U125" s="45"/>
      <c r="V125" s="45"/>
      <c r="W125" s="45"/>
      <c r="X125" s="45"/>
      <c r="Y125" s="45"/>
      <c r="Z125" s="118"/>
      <c r="AB125" s="124"/>
      <c r="AC125" s="45"/>
      <c r="AD125" s="45"/>
      <c r="AE125" s="45"/>
      <c r="AF125" s="45"/>
      <c r="AG125" s="45"/>
      <c r="AH125" s="45"/>
      <c r="AI125" s="118"/>
    </row>
    <row r="126" customFormat="false" ht="22.05" hidden="false" customHeight="false" outlineLevel="0" collapsed="false">
      <c r="A126" s="58" t="s">
        <v>114</v>
      </c>
      <c r="B126" s="58"/>
      <c r="C126" s="58"/>
      <c r="D126" s="58"/>
      <c r="E126" s="58"/>
      <c r="F126" s="58"/>
      <c r="G126" s="58"/>
      <c r="H126" s="58"/>
      <c r="J126" s="58" t="s">
        <v>114</v>
      </c>
      <c r="K126" s="58"/>
      <c r="L126" s="58"/>
      <c r="M126" s="58"/>
      <c r="N126" s="58"/>
      <c r="O126" s="58"/>
      <c r="P126" s="58"/>
      <c r="Q126" s="58"/>
      <c r="S126" s="58" t="s">
        <v>114</v>
      </c>
      <c r="T126" s="58"/>
      <c r="U126" s="58"/>
      <c r="V126" s="58"/>
      <c r="W126" s="58"/>
      <c r="X126" s="58"/>
      <c r="Y126" s="58"/>
      <c r="Z126" s="58"/>
      <c r="AB126" s="58" t="s">
        <v>114</v>
      </c>
      <c r="AC126" s="58"/>
      <c r="AD126" s="58"/>
      <c r="AE126" s="58"/>
      <c r="AF126" s="58"/>
      <c r="AG126" s="58"/>
      <c r="AH126" s="58"/>
      <c r="AI126" s="58"/>
    </row>
    <row r="127" customFormat="false" ht="13.8" hidden="false" customHeight="false" outlineLevel="0" collapsed="false">
      <c r="A127" s="124"/>
      <c r="B127" s="45"/>
      <c r="C127" s="45"/>
      <c r="D127" s="45"/>
      <c r="E127" s="45"/>
      <c r="F127" s="45"/>
      <c r="G127" s="45"/>
      <c r="H127" s="118"/>
      <c r="J127" s="124"/>
      <c r="K127" s="45"/>
      <c r="L127" s="45"/>
      <c r="M127" s="45"/>
      <c r="N127" s="45"/>
      <c r="O127" s="45"/>
      <c r="P127" s="45"/>
      <c r="Q127" s="118"/>
      <c r="S127" s="124"/>
      <c r="T127" s="45"/>
      <c r="U127" s="45"/>
      <c r="V127" s="45"/>
      <c r="W127" s="45"/>
      <c r="X127" s="45"/>
      <c r="Y127" s="45"/>
      <c r="Z127" s="118"/>
      <c r="AB127" s="124"/>
      <c r="AC127" s="45"/>
      <c r="AD127" s="45"/>
      <c r="AE127" s="45"/>
      <c r="AF127" s="45"/>
      <c r="AG127" s="45"/>
      <c r="AH127" s="45"/>
      <c r="AI127" s="118"/>
    </row>
    <row r="128" customFormat="false" ht="19.7" hidden="false" customHeight="false" outlineLevel="0" collapsed="false">
      <c r="A128" s="97"/>
      <c r="B128" s="125" t="s">
        <v>115</v>
      </c>
      <c r="C128" s="125"/>
      <c r="D128" s="125" t="s">
        <v>116</v>
      </c>
      <c r="E128" s="125"/>
      <c r="F128" s="125" t="s">
        <v>117</v>
      </c>
      <c r="G128" s="125"/>
      <c r="H128" s="126" t="s">
        <v>118</v>
      </c>
      <c r="J128" s="97"/>
      <c r="K128" s="125" t="s">
        <v>115</v>
      </c>
      <c r="L128" s="125"/>
      <c r="M128" s="125" t="s">
        <v>116</v>
      </c>
      <c r="N128" s="125"/>
      <c r="O128" s="125" t="s">
        <v>117</v>
      </c>
      <c r="P128" s="125"/>
      <c r="Q128" s="126" t="s">
        <v>118</v>
      </c>
      <c r="S128" s="97"/>
      <c r="T128" s="125" t="s">
        <v>115</v>
      </c>
      <c r="U128" s="125"/>
      <c r="V128" s="125" t="s">
        <v>116</v>
      </c>
      <c r="W128" s="125"/>
      <c r="X128" s="125" t="s">
        <v>117</v>
      </c>
      <c r="Y128" s="125"/>
      <c r="Z128" s="126" t="s">
        <v>118</v>
      </c>
      <c r="AB128" s="97"/>
      <c r="AC128" s="125" t="s">
        <v>115</v>
      </c>
      <c r="AD128" s="125"/>
      <c r="AE128" s="125" t="s">
        <v>116</v>
      </c>
      <c r="AF128" s="125"/>
      <c r="AG128" s="125" t="s">
        <v>117</v>
      </c>
      <c r="AH128" s="125"/>
      <c r="AI128" s="126" t="s">
        <v>118</v>
      </c>
    </row>
    <row r="129" customFormat="false" ht="19.7" hidden="false" customHeight="false" outlineLevel="0" collapsed="false">
      <c r="A129" s="99"/>
      <c r="B129" s="127" t="s">
        <v>119</v>
      </c>
      <c r="C129" s="128" t="s">
        <v>120</v>
      </c>
      <c r="D129" s="127" t="s">
        <v>119</v>
      </c>
      <c r="E129" s="129" t="s">
        <v>120</v>
      </c>
      <c r="F129" s="127" t="s">
        <v>119</v>
      </c>
      <c r="G129" s="129" t="s">
        <v>120</v>
      </c>
      <c r="H129" s="130"/>
      <c r="J129" s="99"/>
      <c r="K129" s="127" t="s">
        <v>119</v>
      </c>
      <c r="L129" s="128" t="s">
        <v>120</v>
      </c>
      <c r="M129" s="127" t="s">
        <v>119</v>
      </c>
      <c r="N129" s="129" t="s">
        <v>120</v>
      </c>
      <c r="O129" s="127" t="s">
        <v>119</v>
      </c>
      <c r="P129" s="129" t="s">
        <v>120</v>
      </c>
      <c r="Q129" s="130"/>
      <c r="S129" s="99"/>
      <c r="T129" s="127" t="s">
        <v>119</v>
      </c>
      <c r="U129" s="128" t="s">
        <v>120</v>
      </c>
      <c r="V129" s="127" t="s">
        <v>119</v>
      </c>
      <c r="W129" s="129" t="s">
        <v>120</v>
      </c>
      <c r="X129" s="127" t="s">
        <v>119</v>
      </c>
      <c r="Y129" s="129" t="s">
        <v>120</v>
      </c>
      <c r="Z129" s="130"/>
      <c r="AB129" s="99"/>
      <c r="AC129" s="127" t="s">
        <v>119</v>
      </c>
      <c r="AD129" s="128" t="s">
        <v>120</v>
      </c>
      <c r="AE129" s="127" t="s">
        <v>119</v>
      </c>
      <c r="AF129" s="129" t="s">
        <v>120</v>
      </c>
      <c r="AG129" s="127" t="s">
        <v>119</v>
      </c>
      <c r="AH129" s="129" t="s">
        <v>120</v>
      </c>
      <c r="AI129" s="130"/>
    </row>
    <row r="130" customFormat="false" ht="17.35" hidden="false" customHeight="false" outlineLevel="0" collapsed="false">
      <c r="A130" s="48" t="s">
        <v>121</v>
      </c>
      <c r="B130" s="48" t="n">
        <f aca="false">B3</f>
        <v>46854.17</v>
      </c>
      <c r="C130" s="52" t="n">
        <f aca="false">B130</f>
        <v>46854.17</v>
      </c>
      <c r="D130" s="48" t="n">
        <f aca="false">D3</f>
        <v>0</v>
      </c>
      <c r="E130" s="52" t="n">
        <f aca="false">D130</f>
        <v>0</v>
      </c>
      <c r="F130" s="48" t="n">
        <f aca="false">F3</f>
        <v>833.33</v>
      </c>
      <c r="G130" s="52" t="n">
        <f aca="false">F130</f>
        <v>833.33</v>
      </c>
      <c r="H130" s="133" t="n">
        <f aca="false">H3</f>
        <v>0</v>
      </c>
      <c r="J130" s="48" t="s">
        <v>121</v>
      </c>
      <c r="K130" s="48" t="n">
        <f aca="false">B3</f>
        <v>46854.17</v>
      </c>
      <c r="L130" s="52" t="n">
        <v>28629.17</v>
      </c>
      <c r="M130" s="48" t="n">
        <f aca="false">D3</f>
        <v>0</v>
      </c>
      <c r="N130" s="52" t="n">
        <f aca="false">M130</f>
        <v>0</v>
      </c>
      <c r="O130" s="48" t="n">
        <f aca="false">F3</f>
        <v>833.33</v>
      </c>
      <c r="P130" s="52" t="n">
        <f aca="false">O130</f>
        <v>833.33</v>
      </c>
      <c r="Q130" s="133" t="n">
        <f aca="false">H3</f>
        <v>0</v>
      </c>
      <c r="S130" s="48" t="s">
        <v>121</v>
      </c>
      <c r="T130" s="48" t="n">
        <f aca="false">B3</f>
        <v>46854.17</v>
      </c>
      <c r="U130" s="52" t="n">
        <f aca="false">T130</f>
        <v>46854.17</v>
      </c>
      <c r="V130" s="48" t="n">
        <f aca="false">D3</f>
        <v>0</v>
      </c>
      <c r="W130" s="52" t="n">
        <f aca="false">V130</f>
        <v>0</v>
      </c>
      <c r="X130" s="48" t="n">
        <f aca="false">F3</f>
        <v>833.33</v>
      </c>
      <c r="Y130" s="52" t="n">
        <f aca="false">X130</f>
        <v>833.33</v>
      </c>
      <c r="Z130" s="133" t="n">
        <f aca="false">H3</f>
        <v>0</v>
      </c>
      <c r="AB130" s="48" t="s">
        <v>121</v>
      </c>
      <c r="AC130" s="48" t="n">
        <f aca="false">B3</f>
        <v>46854.17</v>
      </c>
      <c r="AD130" s="52" t="n">
        <f aca="false">AC130</f>
        <v>46854.17</v>
      </c>
      <c r="AE130" s="48" t="n">
        <f aca="false">D3</f>
        <v>0</v>
      </c>
      <c r="AF130" s="52" t="n">
        <f aca="false">AE130</f>
        <v>0</v>
      </c>
      <c r="AG130" s="48" t="n">
        <f aca="false">F3</f>
        <v>833.33</v>
      </c>
      <c r="AH130" s="52" t="n">
        <f aca="false">AG130</f>
        <v>833.33</v>
      </c>
      <c r="AI130" s="133" t="n">
        <f aca="false">H3</f>
        <v>0</v>
      </c>
    </row>
    <row r="131" customFormat="false" ht="17.35" hidden="false" customHeight="false" outlineLevel="0" collapsed="false">
      <c r="A131" s="55" t="s">
        <v>122</v>
      </c>
      <c r="B131" s="462" t="n">
        <f aca="false">B4</f>
        <v>0</v>
      </c>
      <c r="C131" s="463" t="n">
        <f aca="false">B131</f>
        <v>0</v>
      </c>
      <c r="D131" s="462" t="n">
        <f aca="false">D4</f>
        <v>0</v>
      </c>
      <c r="E131" s="464" t="n">
        <f aca="false">D131</f>
        <v>0</v>
      </c>
      <c r="F131" s="462" t="n">
        <f aca="false">F4</f>
        <v>0</v>
      </c>
      <c r="G131" s="464" t="n">
        <f aca="false">F131</f>
        <v>0</v>
      </c>
      <c r="H131" s="447"/>
      <c r="J131" s="55" t="s">
        <v>122</v>
      </c>
      <c r="K131" s="462" t="n">
        <f aca="false">B4</f>
        <v>0</v>
      </c>
      <c r="L131" s="464" t="n">
        <v>0</v>
      </c>
      <c r="M131" s="462" t="n">
        <f aca="false">D4</f>
        <v>0</v>
      </c>
      <c r="N131" s="464" t="n">
        <f aca="false">M131</f>
        <v>0</v>
      </c>
      <c r="O131" s="462" t="n">
        <f aca="false">F4</f>
        <v>0</v>
      </c>
      <c r="P131" s="464" t="n">
        <f aca="false">O131</f>
        <v>0</v>
      </c>
      <c r="Q131" s="447"/>
      <c r="S131" s="55" t="s">
        <v>122</v>
      </c>
      <c r="T131" s="462" t="n">
        <f aca="false">B4</f>
        <v>0</v>
      </c>
      <c r="U131" s="464" t="n">
        <v>0.25</v>
      </c>
      <c r="V131" s="462" t="n">
        <f aca="false">D4</f>
        <v>0</v>
      </c>
      <c r="W131" s="464" t="n">
        <f aca="false">V131</f>
        <v>0</v>
      </c>
      <c r="X131" s="462" t="n">
        <f aca="false">F4</f>
        <v>0</v>
      </c>
      <c r="Y131" s="464" t="n">
        <f aca="false">X131</f>
        <v>0</v>
      </c>
      <c r="Z131" s="447"/>
      <c r="AB131" s="55" t="s">
        <v>122</v>
      </c>
      <c r="AC131" s="462" t="n">
        <f aca="false">B4</f>
        <v>0</v>
      </c>
      <c r="AD131" s="464" t="n">
        <v>0.25</v>
      </c>
      <c r="AE131" s="462" t="n">
        <f aca="false">D4</f>
        <v>0</v>
      </c>
      <c r="AF131" s="464" t="n">
        <f aca="false">AE131</f>
        <v>0</v>
      </c>
      <c r="AG131" s="462" t="n">
        <f aca="false">F4</f>
        <v>0</v>
      </c>
      <c r="AH131" s="464" t="n">
        <f aca="false">AG131</f>
        <v>0</v>
      </c>
      <c r="AI131" s="447"/>
    </row>
    <row r="132" customFormat="false" ht="17.35" hidden="false" customHeight="false" outlineLevel="0" collapsed="false">
      <c r="A132" s="55" t="s">
        <v>123</v>
      </c>
      <c r="B132" s="55" t="n">
        <f aca="false">B5</f>
        <v>0</v>
      </c>
      <c r="C132" s="52" t="n">
        <f aca="false">B132</f>
        <v>0</v>
      </c>
      <c r="D132" s="55" t="n">
        <f aca="false">D5</f>
        <v>0</v>
      </c>
      <c r="E132" s="52" t="n">
        <f aca="false">D132</f>
        <v>0</v>
      </c>
      <c r="F132" s="55" t="n">
        <f aca="false">F5</f>
        <v>0</v>
      </c>
      <c r="G132" s="52" t="n">
        <f aca="false">F132</f>
        <v>0</v>
      </c>
      <c r="H132" s="20"/>
      <c r="J132" s="55" t="s">
        <v>123</v>
      </c>
      <c r="K132" s="55" t="n">
        <f aca="false">B5</f>
        <v>0</v>
      </c>
      <c r="L132" s="52" t="n">
        <v>0</v>
      </c>
      <c r="M132" s="55" t="n">
        <f aca="false">D5</f>
        <v>0</v>
      </c>
      <c r="N132" s="52" t="n">
        <f aca="false">M132</f>
        <v>0</v>
      </c>
      <c r="O132" s="55" t="n">
        <f aca="false">F5</f>
        <v>0</v>
      </c>
      <c r="P132" s="52" t="n">
        <f aca="false">O132</f>
        <v>0</v>
      </c>
      <c r="Q132" s="20"/>
      <c r="S132" s="55" t="s">
        <v>123</v>
      </c>
      <c r="T132" s="55" t="n">
        <f aca="false">B5</f>
        <v>0</v>
      </c>
      <c r="U132" s="52" t="n">
        <v>0</v>
      </c>
      <c r="V132" s="55" t="n">
        <f aca="false">D5</f>
        <v>0</v>
      </c>
      <c r="W132" s="52" t="n">
        <f aca="false">V132</f>
        <v>0</v>
      </c>
      <c r="X132" s="55" t="n">
        <f aca="false">F5</f>
        <v>0</v>
      </c>
      <c r="Y132" s="52" t="n">
        <f aca="false">X132</f>
        <v>0</v>
      </c>
      <c r="Z132" s="20"/>
      <c r="AB132" s="55" t="s">
        <v>123</v>
      </c>
      <c r="AC132" s="55" t="n">
        <f aca="false">B5</f>
        <v>0</v>
      </c>
      <c r="AD132" s="52" t="n">
        <v>0</v>
      </c>
      <c r="AE132" s="55" t="n">
        <f aca="false">D5</f>
        <v>0</v>
      </c>
      <c r="AF132" s="52" t="n">
        <f aca="false">AE132</f>
        <v>0</v>
      </c>
      <c r="AG132" s="55" t="n">
        <f aca="false">F5</f>
        <v>0</v>
      </c>
      <c r="AH132" s="52" t="n">
        <f aca="false">AG132</f>
        <v>0</v>
      </c>
      <c r="AI132" s="20"/>
    </row>
    <row r="133" customFormat="false" ht="17.35" hidden="false" customHeight="false" outlineLevel="0" collapsed="false">
      <c r="A133" s="55" t="s">
        <v>124</v>
      </c>
      <c r="B133" s="55" t="n">
        <f aca="false">(B130*B131)+B132</f>
        <v>0</v>
      </c>
      <c r="C133" s="50" t="n">
        <f aca="false">(C130*C131/100)+C132</f>
        <v>0</v>
      </c>
      <c r="D133" s="55" t="n">
        <f aca="false">(D130*D131)+D132</f>
        <v>0</v>
      </c>
      <c r="E133" s="50" t="n">
        <f aca="false">(E130*E131/100)+E132</f>
        <v>0</v>
      </c>
      <c r="F133" s="55" t="n">
        <f aca="false">(F130*F131)+F132</f>
        <v>0</v>
      </c>
      <c r="G133" s="50" t="n">
        <f aca="false">(G130*G131/100)+G132</f>
        <v>0</v>
      </c>
      <c r="H133" s="20"/>
      <c r="J133" s="55" t="s">
        <v>124</v>
      </c>
      <c r="K133" s="55" t="n">
        <f aca="false">(K130*K131)+K132</f>
        <v>0</v>
      </c>
      <c r="L133" s="50" t="n">
        <f aca="false">(L130*L131)+L132</f>
        <v>0</v>
      </c>
      <c r="M133" s="55" t="n">
        <f aca="false">(M130*M131)+M132</f>
        <v>0</v>
      </c>
      <c r="N133" s="50" t="n">
        <f aca="false">(N130*N131)+N132</f>
        <v>0</v>
      </c>
      <c r="O133" s="55" t="n">
        <f aca="false">(O130*O131)+O132</f>
        <v>0</v>
      </c>
      <c r="P133" s="50" t="n">
        <f aca="false">(P130*P131)+P132</f>
        <v>0</v>
      </c>
      <c r="Q133" s="20"/>
      <c r="S133" s="55" t="s">
        <v>124</v>
      </c>
      <c r="T133" s="55" t="n">
        <f aca="false">(T130*T131)+T132</f>
        <v>0</v>
      </c>
      <c r="U133" s="50" t="n">
        <f aca="false">(U130*U131)+U132</f>
        <v>11713.5425</v>
      </c>
      <c r="V133" s="55" t="n">
        <f aca="false">(V130*V131)+V132</f>
        <v>0</v>
      </c>
      <c r="W133" s="50" t="n">
        <f aca="false">(W130*W131)+W132</f>
        <v>0</v>
      </c>
      <c r="X133" s="55" t="n">
        <f aca="false">(X130*X131)+X132</f>
        <v>0</v>
      </c>
      <c r="Y133" s="50" t="n">
        <f aca="false">(Y130*Y131)+Y132</f>
        <v>0</v>
      </c>
      <c r="Z133" s="20"/>
      <c r="AB133" s="55" t="s">
        <v>124</v>
      </c>
      <c r="AC133" s="55" t="n">
        <f aca="false">(AC130*AC131)+AC132</f>
        <v>0</v>
      </c>
      <c r="AD133" s="50" t="n">
        <f aca="false">(AD130*AD131)+AD132</f>
        <v>11713.5425</v>
      </c>
      <c r="AE133" s="55" t="n">
        <f aca="false">(AE130*AE131)+AE132</f>
        <v>0</v>
      </c>
      <c r="AF133" s="50" t="n">
        <f aca="false">(AF130*AF131)+AF132</f>
        <v>0</v>
      </c>
      <c r="AG133" s="55" t="n">
        <f aca="false">(AG130*AG131)+AG132</f>
        <v>0</v>
      </c>
      <c r="AH133" s="50" t="n">
        <f aca="false">(AH130*AH131)+AH132</f>
        <v>0</v>
      </c>
      <c r="AI133" s="20"/>
    </row>
    <row r="134" customFormat="false" ht="17.35" hidden="false" customHeight="false" outlineLevel="0" collapsed="false">
      <c r="A134" s="74" t="s">
        <v>125</v>
      </c>
      <c r="B134" s="74" t="n">
        <f aca="false">B130-B133</f>
        <v>46854.17</v>
      </c>
      <c r="C134" s="82" t="n">
        <f aca="false">C130-C133</f>
        <v>46854.17</v>
      </c>
      <c r="D134" s="74" t="n">
        <f aca="false">D130-D133</f>
        <v>0</v>
      </c>
      <c r="E134" s="82" t="n">
        <f aca="false">E130-E133</f>
        <v>0</v>
      </c>
      <c r="F134" s="74" t="n">
        <f aca="false">F130-F133</f>
        <v>833.33</v>
      </c>
      <c r="G134" s="82" t="n">
        <f aca="false">G130-G133</f>
        <v>833.33</v>
      </c>
      <c r="H134" s="82"/>
      <c r="J134" s="74" t="s">
        <v>125</v>
      </c>
      <c r="K134" s="74" t="n">
        <f aca="false">K130-K133</f>
        <v>46854.17</v>
      </c>
      <c r="L134" s="82" t="n">
        <f aca="false">L130-L133</f>
        <v>28629.17</v>
      </c>
      <c r="M134" s="74" t="n">
        <f aca="false">M130-M133</f>
        <v>0</v>
      </c>
      <c r="N134" s="82" t="n">
        <f aca="false">N130-N133</f>
        <v>0</v>
      </c>
      <c r="O134" s="74" t="n">
        <f aca="false">O130-O133</f>
        <v>833.33</v>
      </c>
      <c r="P134" s="82" t="n">
        <f aca="false">P130-P133</f>
        <v>833.33</v>
      </c>
      <c r="Q134" s="82"/>
      <c r="S134" s="74" t="s">
        <v>125</v>
      </c>
      <c r="T134" s="74" t="n">
        <f aca="false">T130-T133</f>
        <v>46854.17</v>
      </c>
      <c r="U134" s="82" t="n">
        <f aca="false">U130-U133</f>
        <v>35140.6275</v>
      </c>
      <c r="V134" s="74" t="n">
        <f aca="false">V130-V133</f>
        <v>0</v>
      </c>
      <c r="W134" s="82" t="n">
        <f aca="false">W130-W133</f>
        <v>0</v>
      </c>
      <c r="X134" s="74" t="n">
        <f aca="false">X130-X133</f>
        <v>833.33</v>
      </c>
      <c r="Y134" s="82" t="n">
        <f aca="false">Y130-Y133</f>
        <v>833.33</v>
      </c>
      <c r="Z134" s="82"/>
      <c r="AB134" s="74" t="s">
        <v>125</v>
      </c>
      <c r="AC134" s="74" t="n">
        <f aca="false">AC130-AC133</f>
        <v>46854.17</v>
      </c>
      <c r="AD134" s="82" t="n">
        <f aca="false">AD130-AD133</f>
        <v>35140.6275</v>
      </c>
      <c r="AE134" s="74" t="n">
        <f aca="false">AE130-AE133</f>
        <v>0</v>
      </c>
      <c r="AF134" s="82" t="n">
        <f aca="false">AF130-AF133</f>
        <v>0</v>
      </c>
      <c r="AG134" s="74" t="n">
        <f aca="false">AG130-AG133</f>
        <v>833.33</v>
      </c>
      <c r="AH134" s="82" t="n">
        <f aca="false">AH130-AH133</f>
        <v>833.33</v>
      </c>
      <c r="AI134" s="82"/>
    </row>
    <row r="135" customFormat="false" ht="17.35" hidden="false" customHeight="false" outlineLevel="0" collapsed="false">
      <c r="A135" s="55"/>
      <c r="B135" s="178"/>
      <c r="C135" s="178"/>
      <c r="D135" s="178"/>
      <c r="E135" s="178"/>
      <c r="F135" s="178"/>
      <c r="G135" s="178"/>
      <c r="H135" s="20"/>
      <c r="J135" s="55"/>
      <c r="K135" s="178"/>
      <c r="L135" s="178"/>
      <c r="M135" s="178"/>
      <c r="N135" s="178"/>
      <c r="O135" s="178"/>
      <c r="P135" s="178"/>
      <c r="Q135" s="20"/>
      <c r="S135" s="55"/>
      <c r="T135" s="178"/>
      <c r="U135" s="178"/>
      <c r="V135" s="178"/>
      <c r="W135" s="178"/>
      <c r="X135" s="178"/>
      <c r="Y135" s="178"/>
      <c r="Z135" s="20"/>
      <c r="AB135" s="55"/>
      <c r="AC135" s="178"/>
      <c r="AD135" s="178"/>
      <c r="AE135" s="178"/>
      <c r="AF135" s="178"/>
      <c r="AG135" s="178"/>
      <c r="AH135" s="178"/>
      <c r="AI135" s="20"/>
    </row>
    <row r="136" customFormat="false" ht="19.7" hidden="false" customHeight="false" outlineLevel="0" collapsed="false">
      <c r="A136" s="140"/>
      <c r="B136" s="465"/>
      <c r="C136" s="465"/>
      <c r="D136" s="465"/>
      <c r="E136" s="465"/>
      <c r="F136" s="465"/>
      <c r="G136" s="448" t="s">
        <v>119</v>
      </c>
      <c r="H136" s="142" t="s">
        <v>120</v>
      </c>
      <c r="J136" s="140"/>
      <c r="K136" s="465"/>
      <c r="L136" s="465"/>
      <c r="M136" s="465"/>
      <c r="N136" s="465"/>
      <c r="O136" s="465"/>
      <c r="P136" s="448" t="s">
        <v>119</v>
      </c>
      <c r="Q136" s="142" t="s">
        <v>120</v>
      </c>
      <c r="S136" s="140"/>
      <c r="T136" s="465"/>
      <c r="U136" s="465"/>
      <c r="V136" s="465"/>
      <c r="W136" s="465"/>
      <c r="X136" s="465"/>
      <c r="Y136" s="448" t="s">
        <v>119</v>
      </c>
      <c r="Z136" s="142" t="s">
        <v>120</v>
      </c>
      <c r="AB136" s="140"/>
      <c r="AC136" s="465"/>
      <c r="AD136" s="465"/>
      <c r="AE136" s="465"/>
      <c r="AF136" s="465"/>
      <c r="AG136" s="465"/>
      <c r="AH136" s="448" t="s">
        <v>119</v>
      </c>
      <c r="AI136" s="142" t="s">
        <v>120</v>
      </c>
    </row>
    <row r="137" customFormat="false" ht="17.35" hidden="false" customHeight="false" outlineLevel="0" collapsed="false">
      <c r="A137" s="143" t="s">
        <v>126</v>
      </c>
      <c r="B137" s="144"/>
      <c r="C137" s="144"/>
      <c r="D137" s="144"/>
      <c r="E137" s="144"/>
      <c r="F137" s="144"/>
      <c r="G137" s="145" t="n">
        <f aca="false">H130</f>
        <v>0</v>
      </c>
      <c r="H137" s="146" t="n">
        <f aca="false">SUM(H140:H142)</f>
        <v>0</v>
      </c>
      <c r="J137" s="143" t="s">
        <v>126</v>
      </c>
      <c r="K137" s="144"/>
      <c r="L137" s="144"/>
      <c r="M137" s="144"/>
      <c r="N137" s="144"/>
      <c r="O137" s="144"/>
      <c r="P137" s="145" t="n">
        <f aca="false">Q130</f>
        <v>0</v>
      </c>
      <c r="Q137" s="146" t="n">
        <f aca="false">SUM(Q140:Q142)</f>
        <v>0</v>
      </c>
      <c r="S137" s="143" t="s">
        <v>126</v>
      </c>
      <c r="T137" s="144"/>
      <c r="U137" s="144"/>
      <c r="V137" s="144"/>
      <c r="W137" s="144"/>
      <c r="X137" s="144"/>
      <c r="Y137" s="145" t="n">
        <f aca="false">Z130</f>
        <v>0</v>
      </c>
      <c r="Z137" s="146" t="n">
        <f aca="false">SUM(Z140:Z142)</f>
        <v>0</v>
      </c>
      <c r="AB137" s="143" t="s">
        <v>126</v>
      </c>
      <c r="AC137" s="144"/>
      <c r="AD137" s="144"/>
      <c r="AE137" s="144"/>
      <c r="AF137" s="144"/>
      <c r="AG137" s="144"/>
      <c r="AH137" s="145" t="n">
        <f aca="false">AI130</f>
        <v>0</v>
      </c>
      <c r="AI137" s="146" t="n">
        <f aca="false">SUM(AI140:AI142)</f>
        <v>0</v>
      </c>
    </row>
    <row r="138" customFormat="false" ht="17.35" hidden="false" customHeight="false" outlineLevel="0" collapsed="false">
      <c r="A138" s="55"/>
      <c r="B138" s="178"/>
      <c r="C138" s="178"/>
      <c r="D138" s="178"/>
      <c r="E138" s="178"/>
      <c r="F138" s="178"/>
      <c r="G138" s="199"/>
      <c r="H138" s="148"/>
      <c r="J138" s="55"/>
      <c r="K138" s="178"/>
      <c r="L138" s="178"/>
      <c r="M138" s="178"/>
      <c r="N138" s="178"/>
      <c r="O138" s="178"/>
      <c r="P138" s="199"/>
      <c r="Q138" s="148"/>
      <c r="S138" s="55"/>
      <c r="T138" s="178"/>
      <c r="U138" s="178"/>
      <c r="V138" s="178"/>
      <c r="W138" s="178"/>
      <c r="X138" s="178"/>
      <c r="Y138" s="199"/>
      <c r="Z138" s="148"/>
      <c r="AB138" s="55"/>
      <c r="AC138" s="178"/>
      <c r="AD138" s="178"/>
      <c r="AE138" s="178"/>
      <c r="AF138" s="178"/>
      <c r="AG138" s="178"/>
      <c r="AH138" s="199"/>
      <c r="AI138" s="148"/>
    </row>
    <row r="139" customFormat="false" ht="17.35" hidden="false" customHeight="false" outlineLevel="0" collapsed="false">
      <c r="A139" s="149" t="s">
        <v>127</v>
      </c>
      <c r="B139" s="147" t="s">
        <v>128</v>
      </c>
      <c r="C139" s="147"/>
      <c r="D139" s="147" t="s">
        <v>129</v>
      </c>
      <c r="E139" s="147"/>
      <c r="F139" s="147" t="s">
        <v>123</v>
      </c>
      <c r="G139" s="147"/>
      <c r="H139" s="148" t="s">
        <v>120</v>
      </c>
      <c r="J139" s="149" t="s">
        <v>127</v>
      </c>
      <c r="K139" s="466" t="s">
        <v>128</v>
      </c>
      <c r="L139" s="466"/>
      <c r="M139" s="147" t="s">
        <v>129</v>
      </c>
      <c r="N139" s="147"/>
      <c r="O139" s="147" t="s">
        <v>123</v>
      </c>
      <c r="P139" s="147"/>
      <c r="Q139" s="148" t="s">
        <v>120</v>
      </c>
      <c r="S139" s="149" t="s">
        <v>127</v>
      </c>
      <c r="T139" s="147" t="s">
        <v>128</v>
      </c>
      <c r="U139" s="147"/>
      <c r="V139" s="147" t="s">
        <v>129</v>
      </c>
      <c r="W139" s="147"/>
      <c r="X139" s="147" t="s">
        <v>123</v>
      </c>
      <c r="Y139" s="147"/>
      <c r="Z139" s="148" t="s">
        <v>120</v>
      </c>
      <c r="AB139" s="149" t="s">
        <v>127</v>
      </c>
      <c r="AC139" s="147" t="s">
        <v>128</v>
      </c>
      <c r="AD139" s="147"/>
      <c r="AE139" s="147" t="s">
        <v>129</v>
      </c>
      <c r="AF139" s="147"/>
      <c r="AG139" s="147" t="s">
        <v>123</v>
      </c>
      <c r="AH139" s="147"/>
      <c r="AI139" s="148" t="s">
        <v>120</v>
      </c>
    </row>
    <row r="140" customFormat="false" ht="17.35" hidden="false" customHeight="false" outlineLevel="0" collapsed="false">
      <c r="A140" s="55" t="s">
        <v>130</v>
      </c>
      <c r="B140" s="150" t="n">
        <f aca="false">G137</f>
        <v>0</v>
      </c>
      <c r="C140" s="150"/>
      <c r="D140" s="151" t="n">
        <v>0</v>
      </c>
      <c r="E140" s="151"/>
      <c r="F140" s="150" t="n">
        <v>0</v>
      </c>
      <c r="G140" s="150"/>
      <c r="H140" s="152" t="n">
        <f aca="false">(B140-(B140*D140))-F140</f>
        <v>0</v>
      </c>
      <c r="J140" s="55" t="s">
        <v>130</v>
      </c>
      <c r="K140" s="150" t="n">
        <f aca="false">P137</f>
        <v>0</v>
      </c>
      <c r="L140" s="150"/>
      <c r="M140" s="151" t="n">
        <v>0</v>
      </c>
      <c r="N140" s="151"/>
      <c r="O140" s="150" t="n">
        <v>0</v>
      </c>
      <c r="P140" s="150"/>
      <c r="Q140" s="152" t="n">
        <f aca="false">(K140-(K140*M140))-O140</f>
        <v>0</v>
      </c>
      <c r="S140" s="55" t="s">
        <v>130</v>
      </c>
      <c r="T140" s="150" t="n">
        <f aca="false">Y137</f>
        <v>0</v>
      </c>
      <c r="U140" s="150"/>
      <c r="V140" s="151" t="n">
        <v>0</v>
      </c>
      <c r="W140" s="151"/>
      <c r="X140" s="150" t="n">
        <v>0</v>
      </c>
      <c r="Y140" s="150"/>
      <c r="Z140" s="152" t="n">
        <f aca="false">(T140-(T140*V140))-X140</f>
        <v>0</v>
      </c>
      <c r="AB140" s="55" t="s">
        <v>130</v>
      </c>
      <c r="AC140" s="150" t="n">
        <f aca="false">AH137</f>
        <v>0</v>
      </c>
      <c r="AD140" s="150"/>
      <c r="AE140" s="151" t="n">
        <v>0</v>
      </c>
      <c r="AF140" s="151"/>
      <c r="AG140" s="150" t="n">
        <v>0</v>
      </c>
      <c r="AH140" s="150"/>
      <c r="AI140" s="152" t="n">
        <f aca="false">(AC140-(AC140*AE140))-AG140</f>
        <v>0</v>
      </c>
    </row>
    <row r="141" customFormat="false" ht="17.35" hidden="false" customHeight="false" outlineLevel="0" collapsed="false">
      <c r="A141" s="55" t="s">
        <v>131</v>
      </c>
      <c r="B141" s="150" t="n">
        <v>0</v>
      </c>
      <c r="C141" s="150"/>
      <c r="D141" s="151" t="n">
        <v>0</v>
      </c>
      <c r="E141" s="151"/>
      <c r="F141" s="150" t="n">
        <v>0</v>
      </c>
      <c r="G141" s="150"/>
      <c r="H141" s="152" t="n">
        <f aca="false">(B141-(B141*D141))-F141</f>
        <v>0</v>
      </c>
      <c r="J141" s="55" t="s">
        <v>131</v>
      </c>
      <c r="K141" s="150" t="n">
        <v>0</v>
      </c>
      <c r="L141" s="150"/>
      <c r="M141" s="151" t="n">
        <v>0</v>
      </c>
      <c r="N141" s="151"/>
      <c r="O141" s="150" t="n">
        <v>0</v>
      </c>
      <c r="P141" s="150"/>
      <c r="Q141" s="152" t="n">
        <f aca="false">(K141-(K141*M141))-O141</f>
        <v>0</v>
      </c>
      <c r="S141" s="55" t="s">
        <v>131</v>
      </c>
      <c r="T141" s="150" t="n">
        <v>0</v>
      </c>
      <c r="U141" s="150"/>
      <c r="V141" s="151" t="n">
        <v>0</v>
      </c>
      <c r="W141" s="151"/>
      <c r="X141" s="150" t="n">
        <v>0</v>
      </c>
      <c r="Y141" s="150"/>
      <c r="Z141" s="152" t="n">
        <f aca="false">(T141-(T141*V141))-X141</f>
        <v>0</v>
      </c>
      <c r="AB141" s="55" t="s">
        <v>131</v>
      </c>
      <c r="AC141" s="150" t="n">
        <v>0</v>
      </c>
      <c r="AD141" s="150"/>
      <c r="AE141" s="151" t="n">
        <v>0</v>
      </c>
      <c r="AF141" s="151"/>
      <c r="AG141" s="150" t="n">
        <v>0</v>
      </c>
      <c r="AH141" s="150"/>
      <c r="AI141" s="152" t="n">
        <f aca="false">(AC141-(AC141*AE141))-AG141</f>
        <v>0</v>
      </c>
    </row>
    <row r="142" customFormat="false" ht="17.35" hidden="false" customHeight="false" outlineLevel="0" collapsed="false">
      <c r="A142" s="55" t="s">
        <v>132</v>
      </c>
      <c r="B142" s="150" t="n">
        <v>0</v>
      </c>
      <c r="C142" s="150"/>
      <c r="D142" s="151" t="n">
        <v>0</v>
      </c>
      <c r="E142" s="151"/>
      <c r="F142" s="150" t="n">
        <v>0</v>
      </c>
      <c r="G142" s="150"/>
      <c r="H142" s="152" t="n">
        <f aca="false">(B142-(B142*D142))-F142</f>
        <v>0</v>
      </c>
      <c r="J142" s="55" t="s">
        <v>132</v>
      </c>
      <c r="K142" s="150" t="n">
        <v>0</v>
      </c>
      <c r="L142" s="150"/>
      <c r="M142" s="151" t="n">
        <v>0</v>
      </c>
      <c r="N142" s="151"/>
      <c r="O142" s="150" t="n">
        <v>0</v>
      </c>
      <c r="P142" s="150"/>
      <c r="Q142" s="152" t="n">
        <f aca="false">(K142-(K142*M142))-O142</f>
        <v>0</v>
      </c>
      <c r="S142" s="55" t="s">
        <v>132</v>
      </c>
      <c r="T142" s="150" t="n">
        <v>0</v>
      </c>
      <c r="U142" s="150"/>
      <c r="V142" s="151" t="n">
        <v>0</v>
      </c>
      <c r="W142" s="151"/>
      <c r="X142" s="150" t="n">
        <v>0</v>
      </c>
      <c r="Y142" s="150"/>
      <c r="Z142" s="152" t="n">
        <f aca="false">(T142-(T142*V142))-X142</f>
        <v>0</v>
      </c>
      <c r="AB142" s="55" t="s">
        <v>132</v>
      </c>
      <c r="AC142" s="150" t="n">
        <v>0</v>
      </c>
      <c r="AD142" s="150"/>
      <c r="AE142" s="151" t="n">
        <v>0</v>
      </c>
      <c r="AF142" s="151"/>
      <c r="AG142" s="150" t="n">
        <v>0</v>
      </c>
      <c r="AH142" s="150"/>
      <c r="AI142" s="152" t="n">
        <f aca="false">(AC142-(AC142*AE142))-AG142</f>
        <v>0</v>
      </c>
    </row>
    <row r="143" customFormat="false" ht="17.35" hidden="false" customHeight="false" outlineLevel="0" collapsed="false">
      <c r="A143" s="55"/>
      <c r="B143" s="178"/>
      <c r="C143" s="178"/>
      <c r="D143" s="178"/>
      <c r="E143" s="178"/>
      <c r="F143" s="178"/>
      <c r="G143" s="199"/>
      <c r="H143" s="148"/>
      <c r="J143" s="55"/>
      <c r="K143" s="178"/>
      <c r="L143" s="178"/>
      <c r="M143" s="178"/>
      <c r="N143" s="178"/>
      <c r="O143" s="178"/>
      <c r="P143" s="199"/>
      <c r="Q143" s="148"/>
      <c r="S143" s="55"/>
      <c r="T143" s="178"/>
      <c r="U143" s="178"/>
      <c r="V143" s="178"/>
      <c r="W143" s="178"/>
      <c r="X143" s="178"/>
      <c r="Y143" s="199"/>
      <c r="Z143" s="148"/>
      <c r="AB143" s="55"/>
      <c r="AC143" s="178"/>
      <c r="AD143" s="178"/>
      <c r="AE143" s="178"/>
      <c r="AF143" s="178"/>
      <c r="AG143" s="178"/>
      <c r="AH143" s="199"/>
      <c r="AI143" s="148"/>
    </row>
    <row r="144" customFormat="false" ht="19.7" hidden="false" customHeight="false" outlineLevel="0" collapsed="false">
      <c r="A144" s="153" t="s">
        <v>133</v>
      </c>
      <c r="B144" s="153"/>
      <c r="C144" s="153"/>
      <c r="D144" s="153"/>
      <c r="E144" s="153"/>
      <c r="F144" s="153"/>
      <c r="G144" s="448" t="n">
        <f aca="false">H9</f>
        <v>47687.5</v>
      </c>
      <c r="H144" s="154" t="n">
        <f aca="false">C134+E134+G134+H137</f>
        <v>47687.5</v>
      </c>
      <c r="J144" s="153" t="s">
        <v>133</v>
      </c>
      <c r="K144" s="153"/>
      <c r="L144" s="153"/>
      <c r="M144" s="153"/>
      <c r="N144" s="153"/>
      <c r="O144" s="153"/>
      <c r="P144" s="448" t="n">
        <f aca="false">H9</f>
        <v>47687.5</v>
      </c>
      <c r="Q144" s="154" t="n">
        <f aca="false">L134+N134+P134+Q137</f>
        <v>29462.5</v>
      </c>
      <c r="S144" s="153" t="s">
        <v>133</v>
      </c>
      <c r="T144" s="153"/>
      <c r="U144" s="153"/>
      <c r="V144" s="153"/>
      <c r="W144" s="153"/>
      <c r="X144" s="153"/>
      <c r="Y144" s="448" t="n">
        <f aca="false">H9</f>
        <v>47687.5</v>
      </c>
      <c r="Z144" s="154" t="n">
        <f aca="false">U134+W134+Y134+Z137</f>
        <v>35973.9575</v>
      </c>
      <c r="AB144" s="153" t="s">
        <v>133</v>
      </c>
      <c r="AC144" s="153"/>
      <c r="AD144" s="153"/>
      <c r="AE144" s="153"/>
      <c r="AF144" s="153"/>
      <c r="AG144" s="153"/>
      <c r="AH144" s="448" t="n">
        <f aca="false">H9</f>
        <v>47687.5</v>
      </c>
      <c r="AI144" s="154" t="n">
        <f aca="false">AD134+AF134+AH134+AI137</f>
        <v>35973.9575</v>
      </c>
    </row>
    <row r="145" customFormat="false" ht="17.35" hidden="false" customHeight="false" outlineLevel="0" collapsed="false">
      <c r="A145" s="155" t="s">
        <v>134</v>
      </c>
      <c r="B145" s="155"/>
      <c r="C145" s="155"/>
      <c r="D145" s="155"/>
      <c r="E145" s="155"/>
      <c r="F145" s="155"/>
      <c r="G145" s="204" t="n">
        <f aca="false">H10</f>
        <v>550</v>
      </c>
      <c r="H145" s="20" t="n">
        <f aca="false">G145</f>
        <v>550</v>
      </c>
      <c r="J145" s="155" t="s">
        <v>134</v>
      </c>
      <c r="K145" s="155"/>
      <c r="L145" s="155"/>
      <c r="M145" s="155"/>
      <c r="N145" s="155"/>
      <c r="O145" s="155"/>
      <c r="P145" s="204" t="n">
        <f aca="false">H10</f>
        <v>550</v>
      </c>
      <c r="Q145" s="20" t="n">
        <f aca="false">P145</f>
        <v>550</v>
      </c>
      <c r="S145" s="155" t="s">
        <v>134</v>
      </c>
      <c r="T145" s="155"/>
      <c r="U145" s="155"/>
      <c r="V145" s="155"/>
      <c r="W145" s="155"/>
      <c r="X145" s="155"/>
      <c r="Y145" s="204" t="n">
        <f aca="false">H10</f>
        <v>550</v>
      </c>
      <c r="Z145" s="20" t="n">
        <f aca="false">Y145</f>
        <v>550</v>
      </c>
      <c r="AB145" s="155" t="s">
        <v>134</v>
      </c>
      <c r="AC145" s="155"/>
      <c r="AD145" s="155"/>
      <c r="AE145" s="155"/>
      <c r="AF145" s="155"/>
      <c r="AG145" s="155"/>
      <c r="AH145" s="204" t="n">
        <f aca="false">H10</f>
        <v>550</v>
      </c>
      <c r="AI145" s="20" t="n">
        <f aca="false">AH145</f>
        <v>550</v>
      </c>
    </row>
    <row r="146" customFormat="false" ht="17.35" hidden="false" customHeight="false" outlineLevel="0" collapsed="false">
      <c r="A146" s="155" t="s">
        <v>135</v>
      </c>
      <c r="B146" s="155"/>
      <c r="C146" s="155"/>
      <c r="D146" s="155"/>
      <c r="E146" s="155"/>
      <c r="F146" s="155"/>
      <c r="G146" s="204" t="n">
        <f aca="false">H11</f>
        <v>9647.5</v>
      </c>
      <c r="H146" s="20" t="n">
        <f aca="false">(H144+H145)*20%</f>
        <v>9647.5</v>
      </c>
      <c r="J146" s="155" t="s">
        <v>135</v>
      </c>
      <c r="K146" s="155"/>
      <c r="L146" s="155"/>
      <c r="M146" s="155"/>
      <c r="N146" s="155"/>
      <c r="O146" s="155"/>
      <c r="P146" s="204" t="n">
        <f aca="false">H11</f>
        <v>9647.5</v>
      </c>
      <c r="Q146" s="20" t="n">
        <f aca="false">(Q144+Q145)*20%</f>
        <v>6002.5</v>
      </c>
      <c r="S146" s="155" t="s">
        <v>135</v>
      </c>
      <c r="T146" s="155"/>
      <c r="U146" s="155"/>
      <c r="V146" s="155"/>
      <c r="W146" s="155"/>
      <c r="X146" s="155"/>
      <c r="Y146" s="204" t="n">
        <f aca="false">H11</f>
        <v>9647.5</v>
      </c>
      <c r="Z146" s="20" t="n">
        <f aca="false">(Z144+Z145)*20%</f>
        <v>7304.7915</v>
      </c>
      <c r="AB146" s="155" t="s">
        <v>135</v>
      </c>
      <c r="AC146" s="155"/>
      <c r="AD146" s="155"/>
      <c r="AE146" s="155"/>
      <c r="AF146" s="155"/>
      <c r="AG146" s="155"/>
      <c r="AH146" s="204" t="n">
        <f aca="false">H11</f>
        <v>9647.5</v>
      </c>
      <c r="AI146" s="20" t="n">
        <f aca="false">(AI144+AI145)*20%</f>
        <v>7304.7915</v>
      </c>
    </row>
    <row r="147" customFormat="false" ht="17.35" hidden="false" customHeight="false" outlineLevel="0" collapsed="false">
      <c r="A147" s="155" t="s">
        <v>136</v>
      </c>
      <c r="B147" s="155"/>
      <c r="C147" s="155"/>
      <c r="D147" s="155"/>
      <c r="E147" s="155"/>
      <c r="F147" s="155"/>
      <c r="G147" s="204" t="n">
        <f aca="false">H12</f>
        <v>0</v>
      </c>
      <c r="H147" s="20" t="n">
        <v>0</v>
      </c>
      <c r="J147" s="155" t="s">
        <v>136</v>
      </c>
      <c r="K147" s="155"/>
      <c r="L147" s="155"/>
      <c r="M147" s="155"/>
      <c r="N147" s="155"/>
      <c r="O147" s="155"/>
      <c r="P147" s="204" t="n">
        <f aca="false">H12</f>
        <v>0</v>
      </c>
      <c r="Q147" s="20" t="n">
        <f aca="false">P147</f>
        <v>0</v>
      </c>
      <c r="S147" s="155" t="s">
        <v>136</v>
      </c>
      <c r="T147" s="155"/>
      <c r="U147" s="155"/>
      <c r="V147" s="155"/>
      <c r="W147" s="155"/>
      <c r="X147" s="155"/>
      <c r="Y147" s="204" t="n">
        <f aca="false">H12</f>
        <v>0</v>
      </c>
      <c r="Z147" s="20" t="n">
        <f aca="false">Y147</f>
        <v>0</v>
      </c>
      <c r="AB147" s="155" t="s">
        <v>136</v>
      </c>
      <c r="AC147" s="155"/>
      <c r="AD147" s="155"/>
      <c r="AE147" s="155"/>
      <c r="AF147" s="155"/>
      <c r="AG147" s="155"/>
      <c r="AH147" s="204" t="n">
        <f aca="false">H12</f>
        <v>0</v>
      </c>
      <c r="AI147" s="20" t="n">
        <f aca="false">AH147</f>
        <v>0</v>
      </c>
    </row>
    <row r="148" customFormat="false" ht="17.35" hidden="false" customHeight="false" outlineLevel="0" collapsed="false">
      <c r="A148" s="155" t="s">
        <v>137</v>
      </c>
      <c r="B148" s="155"/>
      <c r="C148" s="155"/>
      <c r="D148" s="155"/>
      <c r="E148" s="155"/>
      <c r="F148" s="155"/>
      <c r="G148" s="204" t="n">
        <f aca="false">H13</f>
        <v>585</v>
      </c>
      <c r="H148" s="20" t="n">
        <f aca="false">G148</f>
        <v>585</v>
      </c>
      <c r="J148" s="155" t="s">
        <v>137</v>
      </c>
      <c r="K148" s="155"/>
      <c r="L148" s="155"/>
      <c r="M148" s="155"/>
      <c r="N148" s="155"/>
      <c r="O148" s="155"/>
      <c r="P148" s="204" t="n">
        <f aca="false">H13</f>
        <v>585</v>
      </c>
      <c r="Q148" s="20" t="n">
        <f aca="false">P148</f>
        <v>585</v>
      </c>
      <c r="S148" s="155" t="s">
        <v>137</v>
      </c>
      <c r="T148" s="155"/>
      <c r="U148" s="155"/>
      <c r="V148" s="155"/>
      <c r="W148" s="155"/>
      <c r="X148" s="155"/>
      <c r="Y148" s="204" t="n">
        <f aca="false">H13</f>
        <v>585</v>
      </c>
      <c r="Z148" s="20" t="n">
        <f aca="false">Y148</f>
        <v>585</v>
      </c>
      <c r="AB148" s="155" t="s">
        <v>137</v>
      </c>
      <c r="AC148" s="155"/>
      <c r="AD148" s="155"/>
      <c r="AE148" s="155"/>
      <c r="AF148" s="155"/>
      <c r="AG148" s="155"/>
      <c r="AH148" s="204" t="n">
        <f aca="false">H13</f>
        <v>585</v>
      </c>
      <c r="AI148" s="20" t="n">
        <f aca="false">AH148</f>
        <v>585</v>
      </c>
    </row>
    <row r="149" customFormat="false" ht="17.35" hidden="false" customHeight="false" outlineLevel="0" collapsed="false">
      <c r="A149" s="155" t="s">
        <v>138</v>
      </c>
      <c r="B149" s="155"/>
      <c r="C149" s="155"/>
      <c r="D149" s="155"/>
      <c r="E149" s="155"/>
      <c r="F149" s="155"/>
      <c r="G149" s="204" t="n">
        <f aca="false">H14</f>
        <v>55</v>
      </c>
      <c r="H149" s="20" t="n">
        <v>55</v>
      </c>
      <c r="J149" s="155" t="s">
        <v>138</v>
      </c>
      <c r="K149" s="155"/>
      <c r="L149" s="155"/>
      <c r="M149" s="155"/>
      <c r="N149" s="155"/>
      <c r="O149" s="155"/>
      <c r="P149" s="204" t="n">
        <f aca="false">H14</f>
        <v>55</v>
      </c>
      <c r="Q149" s="20" t="n">
        <v>55</v>
      </c>
      <c r="S149" s="155" t="s">
        <v>138</v>
      </c>
      <c r="T149" s="155"/>
      <c r="U149" s="155"/>
      <c r="V149" s="155"/>
      <c r="W149" s="155"/>
      <c r="X149" s="155"/>
      <c r="Y149" s="204" t="n">
        <f aca="false">H14</f>
        <v>55</v>
      </c>
      <c r="Z149" s="20" t="n">
        <v>55</v>
      </c>
      <c r="AB149" s="155" t="s">
        <v>138</v>
      </c>
      <c r="AC149" s="155"/>
      <c r="AD149" s="155"/>
      <c r="AE149" s="155"/>
      <c r="AF149" s="155"/>
      <c r="AG149" s="155"/>
      <c r="AH149" s="204" t="n">
        <f aca="false">H14</f>
        <v>55</v>
      </c>
      <c r="AI149" s="20" t="n">
        <v>55</v>
      </c>
    </row>
    <row r="150" customFormat="false" ht="19.7" hidden="false" customHeight="false" outlineLevel="0" collapsed="false">
      <c r="A150" s="155" t="s">
        <v>139</v>
      </c>
      <c r="B150" s="155"/>
      <c r="C150" s="155"/>
      <c r="D150" s="155"/>
      <c r="E150" s="155"/>
      <c r="F150" s="155"/>
      <c r="G150" s="467" t="n">
        <f aca="false">H15</f>
        <v>58525</v>
      </c>
      <c r="H150" s="156" t="n">
        <f aca="false">(H144+H145+H148+H149+H146)-H147</f>
        <v>58525</v>
      </c>
      <c r="J150" s="155" t="s">
        <v>139</v>
      </c>
      <c r="K150" s="155"/>
      <c r="L150" s="155"/>
      <c r="M150" s="155"/>
      <c r="N150" s="155"/>
      <c r="O150" s="155"/>
      <c r="P150" s="467" t="n">
        <f aca="false">H15</f>
        <v>58525</v>
      </c>
      <c r="Q150" s="156" t="n">
        <f aca="false">(Q144+Q145+Q148+Q149+Q146)-Q147</f>
        <v>36655</v>
      </c>
      <c r="S150" s="155" t="s">
        <v>139</v>
      </c>
      <c r="T150" s="155"/>
      <c r="U150" s="155"/>
      <c r="V150" s="155"/>
      <c r="W150" s="155"/>
      <c r="X150" s="155"/>
      <c r="Y150" s="467" t="n">
        <f aca="false">H15</f>
        <v>58525</v>
      </c>
      <c r="Z150" s="156" t="n">
        <f aca="false">(Z144+Z145+Z148+Z149+Z146)-Z147</f>
        <v>44468.749</v>
      </c>
      <c r="AB150" s="155" t="s">
        <v>139</v>
      </c>
      <c r="AC150" s="155"/>
      <c r="AD150" s="155"/>
      <c r="AE150" s="155"/>
      <c r="AF150" s="155"/>
      <c r="AG150" s="155"/>
      <c r="AH150" s="467" t="n">
        <f aca="false">H15</f>
        <v>58525</v>
      </c>
      <c r="AI150" s="156" t="n">
        <f aca="false">(AI144+AI145+AI148+AI149+AI146)-AI147</f>
        <v>44468.749</v>
      </c>
    </row>
    <row r="151" customFormat="false" ht="17.35" hidden="false" customHeight="false" outlineLevel="0" collapsed="false">
      <c r="A151" s="155" t="s">
        <v>140</v>
      </c>
      <c r="B151" s="155"/>
      <c r="C151" s="155"/>
      <c r="D151" s="155"/>
      <c r="E151" s="155"/>
      <c r="F151" s="155"/>
      <c r="G151" s="204" t="n">
        <f aca="false">H16</f>
        <v>0</v>
      </c>
      <c r="H151" s="52" t="n">
        <f aca="false">G151</f>
        <v>0</v>
      </c>
      <c r="J151" s="155" t="s">
        <v>140</v>
      </c>
      <c r="K151" s="155"/>
      <c r="L151" s="155"/>
      <c r="M151" s="155"/>
      <c r="N151" s="155"/>
      <c r="O151" s="155"/>
      <c r="P151" s="204" t="n">
        <f aca="false">H16</f>
        <v>0</v>
      </c>
      <c r="Q151" s="52" t="n">
        <f aca="false">P151</f>
        <v>0</v>
      </c>
      <c r="S151" s="155" t="s">
        <v>140</v>
      </c>
      <c r="T151" s="155"/>
      <c r="U151" s="155"/>
      <c r="V151" s="155"/>
      <c r="W151" s="155"/>
      <c r="X151" s="155"/>
      <c r="Y151" s="204" t="n">
        <f aca="false">H16</f>
        <v>0</v>
      </c>
      <c r="Z151" s="52" t="n">
        <f aca="false">Y151</f>
        <v>0</v>
      </c>
      <c r="AB151" s="155" t="s">
        <v>140</v>
      </c>
      <c r="AC151" s="155"/>
      <c r="AD151" s="155"/>
      <c r="AE151" s="155"/>
      <c r="AF151" s="155"/>
      <c r="AG151" s="155"/>
      <c r="AH151" s="204" t="n">
        <f aca="false">H16</f>
        <v>0</v>
      </c>
      <c r="AI151" s="52" t="n">
        <f aca="false">AH151</f>
        <v>0</v>
      </c>
    </row>
    <row r="152" customFormat="false" ht="17.35" hidden="false" customHeight="false" outlineLevel="0" collapsed="false">
      <c r="A152" s="70" t="s">
        <v>141</v>
      </c>
      <c r="B152" s="70"/>
      <c r="C152" s="70"/>
      <c r="D152" s="70"/>
      <c r="E152" s="70" t="n">
        <v>0</v>
      </c>
      <c r="F152" s="70"/>
      <c r="G152" s="201" t="n">
        <v>0</v>
      </c>
      <c r="H152" s="20"/>
      <c r="J152" s="468" t="s">
        <v>141</v>
      </c>
      <c r="K152" s="468"/>
      <c r="L152" s="468"/>
      <c r="M152" s="468"/>
      <c r="N152" s="468"/>
      <c r="O152" s="468"/>
      <c r="P152" s="201"/>
      <c r="Q152" s="20"/>
      <c r="S152" s="70" t="s">
        <v>141</v>
      </c>
      <c r="T152" s="70"/>
      <c r="U152" s="70"/>
      <c r="V152" s="70"/>
      <c r="W152" s="70"/>
      <c r="X152" s="70"/>
      <c r="Y152" s="201"/>
      <c r="Z152" s="20"/>
      <c r="AB152" s="70" t="s">
        <v>141</v>
      </c>
      <c r="AC152" s="70"/>
      <c r="AD152" s="70"/>
      <c r="AE152" s="70"/>
      <c r="AF152" s="70"/>
      <c r="AG152" s="70"/>
      <c r="AH152" s="201"/>
      <c r="AI152" s="20"/>
    </row>
    <row r="153" customFormat="false" ht="17.35" hidden="false" customHeight="false" outlineLevel="0" collapsed="false">
      <c r="A153" s="158" t="s">
        <v>15</v>
      </c>
      <c r="B153" s="159" t="s">
        <v>142</v>
      </c>
      <c r="C153" s="159"/>
      <c r="D153" s="159"/>
      <c r="E153" s="159"/>
      <c r="F153" s="159"/>
      <c r="G153" s="204" t="n">
        <f aca="false">H18</f>
        <v>0</v>
      </c>
      <c r="H153" s="52" t="n">
        <f aca="false">G153</f>
        <v>0</v>
      </c>
      <c r="J153" s="158" t="s">
        <v>15</v>
      </c>
      <c r="K153" s="159" t="s">
        <v>142</v>
      </c>
      <c r="L153" s="159"/>
      <c r="M153" s="159"/>
      <c r="N153" s="159"/>
      <c r="O153" s="159"/>
      <c r="P153" s="204" t="n">
        <f aca="false">H18</f>
        <v>0</v>
      </c>
      <c r="Q153" s="52" t="n">
        <f aca="false">P153</f>
        <v>0</v>
      </c>
      <c r="S153" s="158" t="s">
        <v>15</v>
      </c>
      <c r="T153" s="159" t="s">
        <v>142</v>
      </c>
      <c r="U153" s="159"/>
      <c r="V153" s="159"/>
      <c r="W153" s="159"/>
      <c r="X153" s="159"/>
      <c r="Y153" s="204" t="n">
        <f aca="false">H18</f>
        <v>0</v>
      </c>
      <c r="Z153" s="52" t="n">
        <f aca="false">Y153</f>
        <v>0</v>
      </c>
      <c r="AB153" s="158" t="s">
        <v>15</v>
      </c>
      <c r="AC153" s="159" t="s">
        <v>142</v>
      </c>
      <c r="AD153" s="159"/>
      <c r="AE153" s="159"/>
      <c r="AF153" s="159"/>
      <c r="AG153" s="159"/>
      <c r="AH153" s="204" t="n">
        <f aca="false">H18</f>
        <v>0</v>
      </c>
      <c r="AI153" s="52" t="n">
        <f aca="false">AH153</f>
        <v>0</v>
      </c>
    </row>
    <row r="154" customFormat="false" ht="17.35" hidden="false" customHeight="false" outlineLevel="0" collapsed="false">
      <c r="A154" s="158" t="s">
        <v>17</v>
      </c>
      <c r="B154" s="159" t="s">
        <v>142</v>
      </c>
      <c r="C154" s="159"/>
      <c r="D154" s="159"/>
      <c r="E154" s="159"/>
      <c r="F154" s="159"/>
      <c r="G154" s="204" t="n">
        <f aca="false">H19</f>
        <v>0</v>
      </c>
      <c r="H154" s="52" t="n">
        <v>0</v>
      </c>
      <c r="I154" s="1" t="n">
        <f aca="false">(G151+G154+G155+G153)</f>
        <v>0</v>
      </c>
      <c r="J154" s="158" t="s">
        <v>17</v>
      </c>
      <c r="K154" s="159" t="s">
        <v>142</v>
      </c>
      <c r="L154" s="159"/>
      <c r="M154" s="159"/>
      <c r="N154" s="159"/>
      <c r="O154" s="159"/>
      <c r="P154" s="204" t="n">
        <f aca="false">H19</f>
        <v>0</v>
      </c>
      <c r="Q154" s="52" t="n">
        <f aca="false">P154</f>
        <v>0</v>
      </c>
      <c r="S154" s="158" t="s">
        <v>17</v>
      </c>
      <c r="T154" s="159" t="s">
        <v>142</v>
      </c>
      <c r="U154" s="159"/>
      <c r="V154" s="159"/>
      <c r="W154" s="159"/>
      <c r="X154" s="159"/>
      <c r="Y154" s="204" t="n">
        <f aca="false">H19</f>
        <v>0</v>
      </c>
      <c r="Z154" s="52" t="n">
        <f aca="false">Y154</f>
        <v>0</v>
      </c>
      <c r="AB154" s="158" t="s">
        <v>17</v>
      </c>
      <c r="AC154" s="159" t="s">
        <v>142</v>
      </c>
      <c r="AD154" s="159"/>
      <c r="AE154" s="159"/>
      <c r="AF154" s="159"/>
      <c r="AG154" s="159"/>
      <c r="AH154" s="204" t="n">
        <f aca="false">H19</f>
        <v>0</v>
      </c>
      <c r="AI154" s="52" t="n">
        <f aca="false">AH154</f>
        <v>0</v>
      </c>
    </row>
    <row r="155" customFormat="false" ht="17.35" hidden="false" customHeight="false" outlineLevel="0" collapsed="false">
      <c r="A155" s="160" t="s">
        <v>18</v>
      </c>
      <c r="B155" s="161" t="s">
        <v>142</v>
      </c>
      <c r="C155" s="161"/>
      <c r="D155" s="161"/>
      <c r="E155" s="161"/>
      <c r="F155" s="161"/>
      <c r="G155" s="204" t="n">
        <f aca="false">H20</f>
        <v>0</v>
      </c>
      <c r="H155" s="52" t="n">
        <v>0</v>
      </c>
      <c r="I155" s="1" t="n">
        <f aca="false">(H151+H153+H154+H155)</f>
        <v>0</v>
      </c>
      <c r="J155" s="160" t="s">
        <v>18</v>
      </c>
      <c r="K155" s="161" t="s">
        <v>142</v>
      </c>
      <c r="L155" s="161"/>
      <c r="M155" s="161"/>
      <c r="N155" s="161"/>
      <c r="O155" s="161"/>
      <c r="P155" s="204" t="n">
        <f aca="false">H20</f>
        <v>0</v>
      </c>
      <c r="Q155" s="52" t="n">
        <f aca="false">P155</f>
        <v>0</v>
      </c>
      <c r="S155" s="160" t="s">
        <v>18</v>
      </c>
      <c r="T155" s="161" t="s">
        <v>142</v>
      </c>
      <c r="U155" s="161"/>
      <c r="V155" s="161"/>
      <c r="W155" s="161"/>
      <c r="X155" s="161"/>
      <c r="Y155" s="204" t="n">
        <f aca="false">H20</f>
        <v>0</v>
      </c>
      <c r="Z155" s="52" t="n">
        <f aca="false">Y155</f>
        <v>0</v>
      </c>
      <c r="AB155" s="160" t="s">
        <v>18</v>
      </c>
      <c r="AC155" s="161" t="s">
        <v>142</v>
      </c>
      <c r="AD155" s="161"/>
      <c r="AE155" s="161"/>
      <c r="AF155" s="161"/>
      <c r="AG155" s="161"/>
      <c r="AH155" s="204" t="n">
        <f aca="false">H20</f>
        <v>0</v>
      </c>
      <c r="AI155" s="52" t="n">
        <f aca="false">AH155</f>
        <v>0</v>
      </c>
    </row>
    <row r="156" customFormat="false" ht="19.7" hidden="false" customHeight="false" outlineLevel="0" collapsed="false">
      <c r="A156" s="155" t="s">
        <v>143</v>
      </c>
      <c r="B156" s="155"/>
      <c r="C156" s="155"/>
      <c r="D156" s="155"/>
      <c r="E156" s="155"/>
      <c r="F156" s="155"/>
      <c r="G156" s="467" t="n">
        <f aca="false">G150-((G153*1.2)+(G154*1.2)+(G155*1.2)+(G151*1.2))</f>
        <v>58525</v>
      </c>
      <c r="H156" s="162" t="n">
        <f aca="false">H150-((H153*1.2)+(H154*1.2)+(H155*1.2)+(H151*1.2))</f>
        <v>58525</v>
      </c>
      <c r="J156" s="469" t="s">
        <v>143</v>
      </c>
      <c r="K156" s="469"/>
      <c r="L156" s="469"/>
      <c r="M156" s="469"/>
      <c r="N156" s="469"/>
      <c r="O156" s="469"/>
      <c r="P156" s="467" t="n">
        <f aca="false">P150-((P153*1.2)+(P154*1.2)+(P155*1.2)+(P151*1.2))</f>
        <v>58525</v>
      </c>
      <c r="Q156" s="162" t="n">
        <f aca="false">Q150-((Q153*1.2)+(Q154*1.2)+(Q155*1.2)+(Q151*1.2))</f>
        <v>36655</v>
      </c>
      <c r="S156" s="155" t="s">
        <v>143</v>
      </c>
      <c r="T156" s="155"/>
      <c r="U156" s="155"/>
      <c r="V156" s="155"/>
      <c r="W156" s="155"/>
      <c r="X156" s="155"/>
      <c r="Y156" s="467" t="n">
        <f aca="false">Y150-((Y153*1.2)+(Y154*1.2)+(Y155*1.2)+(Y151*1.2))</f>
        <v>58525</v>
      </c>
      <c r="Z156" s="162" t="n">
        <f aca="false">Z150-((Z153*1.2)+(Z154*1.2)+(Z155*1.2)+(Z151*1.2))</f>
        <v>44468.749</v>
      </c>
      <c r="AB156" s="155" t="s">
        <v>143</v>
      </c>
      <c r="AC156" s="155"/>
      <c r="AD156" s="155"/>
      <c r="AE156" s="155"/>
      <c r="AF156" s="155"/>
      <c r="AG156" s="155"/>
      <c r="AH156" s="467" t="n">
        <f aca="false">AH150-((AH153*1.2)+(AH154*1.2)+(AH155*1.2)+(AH151*1.2))</f>
        <v>58525</v>
      </c>
      <c r="AI156" s="162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155" t="s">
        <v>144</v>
      </c>
      <c r="B157" s="155"/>
      <c r="C157" s="155"/>
      <c r="D157" s="155"/>
      <c r="E157" s="155"/>
      <c r="F157" s="155"/>
      <c r="G157" s="204"/>
      <c r="H157" s="52" t="n">
        <f aca="false">((H156-G156)-(H146-G146))+((I155-I154)*0.2)</f>
        <v>0</v>
      </c>
      <c r="I157" s="1" t="n">
        <f aca="false">(H157-G90)/1.2</f>
        <v>0</v>
      </c>
      <c r="J157" s="155" t="s">
        <v>144</v>
      </c>
      <c r="K157" s="155"/>
      <c r="L157" s="155"/>
      <c r="M157" s="155"/>
      <c r="N157" s="155"/>
      <c r="O157" s="155"/>
      <c r="P157" s="204"/>
      <c r="Q157" s="52" t="n">
        <f aca="false">Q156-P156</f>
        <v>-21870</v>
      </c>
      <c r="S157" s="155" t="s">
        <v>144</v>
      </c>
      <c r="T157" s="155"/>
      <c r="U157" s="155"/>
      <c r="V157" s="155"/>
      <c r="W157" s="155"/>
      <c r="X157" s="155"/>
      <c r="Y157" s="204"/>
      <c r="Z157" s="52" t="n">
        <f aca="false">Z156-Y156</f>
        <v>-14056.251</v>
      </c>
      <c r="AB157" s="155" t="s">
        <v>144</v>
      </c>
      <c r="AC157" s="155"/>
      <c r="AD157" s="155"/>
      <c r="AE157" s="155"/>
      <c r="AF157" s="155"/>
      <c r="AG157" s="155"/>
      <c r="AH157" s="204"/>
      <c r="AI157" s="52" t="n">
        <f aca="false">AI156-AH156</f>
        <v>-14056.251</v>
      </c>
    </row>
    <row r="158" customFormat="false" ht="17.35" hidden="false" customHeight="false" outlineLevel="0" collapsed="false">
      <c r="A158" s="55"/>
      <c r="B158" s="178"/>
      <c r="C158" s="178"/>
      <c r="D158" s="178"/>
      <c r="E158" s="45"/>
      <c r="F158" s="45"/>
      <c r="G158" s="45"/>
      <c r="H158" s="20"/>
      <c r="J158" s="55"/>
      <c r="K158" s="178"/>
      <c r="L158" s="178"/>
      <c r="M158" s="178"/>
      <c r="N158" s="45"/>
      <c r="O158" s="45"/>
      <c r="P158" s="45"/>
      <c r="Q158" s="20"/>
      <c r="S158" s="55"/>
      <c r="T158" s="178"/>
      <c r="U158" s="178"/>
      <c r="V158" s="178"/>
      <c r="W158" s="45"/>
      <c r="X158" s="45"/>
      <c r="Y158" s="45"/>
      <c r="Z158" s="20"/>
      <c r="AB158" s="55"/>
      <c r="AC158" s="178"/>
      <c r="AD158" s="178"/>
      <c r="AE158" s="178"/>
      <c r="AF158" s="45"/>
      <c r="AG158" s="45"/>
      <c r="AH158" s="45"/>
      <c r="AI158" s="20"/>
    </row>
    <row r="159" customFormat="false" ht="22.05" hidden="false" customHeight="false" outlineLevel="0" collapsed="false">
      <c r="A159" s="58" t="s">
        <v>145</v>
      </c>
      <c r="B159" s="58"/>
      <c r="C159" s="58"/>
      <c r="D159" s="58"/>
      <c r="E159" s="58"/>
      <c r="F159" s="58"/>
      <c r="G159" s="58"/>
      <c r="H159" s="58"/>
      <c r="J159" s="58" t="s">
        <v>145</v>
      </c>
      <c r="K159" s="58"/>
      <c r="L159" s="58"/>
      <c r="M159" s="58"/>
      <c r="N159" s="58"/>
      <c r="O159" s="58"/>
      <c r="P159" s="58"/>
      <c r="Q159" s="58"/>
      <c r="S159" s="58" t="s">
        <v>145</v>
      </c>
      <c r="T159" s="58"/>
      <c r="U159" s="58"/>
      <c r="V159" s="58"/>
      <c r="W159" s="58"/>
      <c r="X159" s="58"/>
      <c r="Y159" s="58"/>
      <c r="Z159" s="58"/>
      <c r="AB159" s="58" t="s">
        <v>145</v>
      </c>
      <c r="AC159" s="58"/>
      <c r="AD159" s="58"/>
      <c r="AE159" s="58"/>
      <c r="AF159" s="58"/>
      <c r="AG159" s="58"/>
      <c r="AH159" s="58"/>
      <c r="AI159" s="58"/>
    </row>
    <row r="160" customFormat="false" ht="17.35" hidden="false" customHeight="false" outlineLevel="0" collapsed="false">
      <c r="A160" s="55"/>
      <c r="B160" s="178"/>
      <c r="C160" s="178"/>
      <c r="D160" s="178"/>
      <c r="E160" s="45"/>
      <c r="F160" s="45"/>
      <c r="G160" s="45"/>
      <c r="H160" s="20"/>
      <c r="J160" s="55"/>
      <c r="K160" s="178"/>
      <c r="L160" s="178"/>
      <c r="M160" s="178"/>
      <c r="N160" s="45"/>
      <c r="O160" s="45"/>
      <c r="P160" s="45"/>
      <c r="Q160" s="20"/>
      <c r="S160" s="55"/>
      <c r="T160" s="178"/>
      <c r="U160" s="178"/>
      <c r="V160" s="178"/>
      <c r="W160" s="45"/>
      <c r="X160" s="45"/>
      <c r="Y160" s="45"/>
      <c r="Z160" s="20"/>
      <c r="AB160" s="55"/>
      <c r="AC160" s="178"/>
      <c r="AD160" s="178"/>
      <c r="AE160" s="178"/>
      <c r="AF160" s="45"/>
      <c r="AG160" s="45"/>
      <c r="AH160" s="45"/>
      <c r="AI160" s="20"/>
    </row>
    <row r="161" customFormat="false" ht="17.35" hidden="false" customHeight="false" outlineLevel="0" collapsed="false">
      <c r="A161" s="55" t="s">
        <v>146</v>
      </c>
      <c r="B161" s="178"/>
      <c r="C161" s="178"/>
      <c r="D161" s="45"/>
      <c r="E161" s="72" t="n">
        <v>0</v>
      </c>
      <c r="F161" s="72"/>
      <c r="G161" s="72" t="n">
        <v>0</v>
      </c>
      <c r="H161" s="72"/>
      <c r="J161" s="55" t="s">
        <v>146</v>
      </c>
      <c r="K161" s="178"/>
      <c r="L161" s="178"/>
      <c r="M161" s="45"/>
      <c r="N161" s="72" t="n">
        <v>10000</v>
      </c>
      <c r="O161" s="72"/>
      <c r="P161" s="72" t="n">
        <v>5000</v>
      </c>
      <c r="Q161" s="72"/>
      <c r="S161" s="55" t="s">
        <v>146</v>
      </c>
      <c r="T161" s="178"/>
      <c r="U161" s="178"/>
      <c r="V161" s="45"/>
      <c r="W161" s="72" t="n">
        <v>10000</v>
      </c>
      <c r="X161" s="72"/>
      <c r="Y161" s="72" t="n">
        <v>5000</v>
      </c>
      <c r="Z161" s="72"/>
      <c r="AB161" s="55" t="s">
        <v>146</v>
      </c>
      <c r="AC161" s="178"/>
      <c r="AD161" s="178"/>
      <c r="AE161" s="45"/>
      <c r="AF161" s="72" t="n">
        <v>10000</v>
      </c>
      <c r="AG161" s="72"/>
      <c r="AH161" s="72" t="n">
        <v>5000</v>
      </c>
      <c r="AI161" s="72"/>
    </row>
    <row r="162" customFormat="false" ht="17.35" hidden="false" customHeight="false" outlineLevel="0" collapsed="false">
      <c r="A162" s="55" t="s">
        <v>147</v>
      </c>
      <c r="B162" s="178"/>
      <c r="C162" s="178"/>
      <c r="D162" s="45"/>
      <c r="E162" s="38" t="n">
        <f aca="false">G162</f>
        <v>0</v>
      </c>
      <c r="F162" s="38"/>
      <c r="G162" s="72" t="n">
        <v>0</v>
      </c>
      <c r="H162" s="72"/>
      <c r="J162" s="55" t="s">
        <v>147</v>
      </c>
      <c r="K162" s="178"/>
      <c r="L162" s="178"/>
      <c r="M162" s="45"/>
      <c r="N162" s="38" t="n">
        <f aca="false">P162</f>
        <v>7000</v>
      </c>
      <c r="O162" s="38"/>
      <c r="P162" s="72" t="n">
        <v>7000</v>
      </c>
      <c r="Q162" s="72"/>
      <c r="S162" s="55" t="s">
        <v>147</v>
      </c>
      <c r="T162" s="178"/>
      <c r="U162" s="178"/>
      <c r="V162" s="45"/>
      <c r="W162" s="38" t="n">
        <f aca="false">Y162</f>
        <v>7000</v>
      </c>
      <c r="X162" s="38"/>
      <c r="Y162" s="72" t="n">
        <v>7000</v>
      </c>
      <c r="Z162" s="72"/>
      <c r="AB162" s="55" t="s">
        <v>147</v>
      </c>
      <c r="AC162" s="178"/>
      <c r="AD162" s="178"/>
      <c r="AE162" s="45"/>
      <c r="AF162" s="38" t="n">
        <f aca="false">AH162</f>
        <v>7000</v>
      </c>
      <c r="AG162" s="38"/>
      <c r="AH162" s="72" t="n">
        <v>7000</v>
      </c>
      <c r="AI162" s="72"/>
    </row>
    <row r="163" customFormat="false" ht="17.35" hidden="false" customHeight="false" outlineLevel="0" collapsed="false">
      <c r="A163" s="55" t="s">
        <v>148</v>
      </c>
      <c r="B163" s="178"/>
      <c r="C163" s="178"/>
      <c r="D163" s="45"/>
      <c r="E163" s="38" t="n">
        <f aca="false">E161-E162</f>
        <v>0</v>
      </c>
      <c r="F163" s="38"/>
      <c r="G163" s="163" t="n">
        <f aca="false">G161-G162</f>
        <v>0</v>
      </c>
      <c r="H163" s="163"/>
      <c r="J163" s="55" t="s">
        <v>148</v>
      </c>
      <c r="K163" s="178"/>
      <c r="L163" s="178"/>
      <c r="M163" s="45"/>
      <c r="N163" s="38" t="n">
        <f aca="false">N161-N162</f>
        <v>3000</v>
      </c>
      <c r="O163" s="38"/>
      <c r="P163" s="163" t="n">
        <f aca="false">P161-P162</f>
        <v>-2000</v>
      </c>
      <c r="Q163" s="163"/>
      <c r="S163" s="55" t="s">
        <v>148</v>
      </c>
      <c r="T163" s="178"/>
      <c r="U163" s="178"/>
      <c r="V163" s="45"/>
      <c r="W163" s="38" t="n">
        <f aca="false">W161-W162</f>
        <v>3000</v>
      </c>
      <c r="X163" s="38"/>
      <c r="Y163" s="163" t="n">
        <f aca="false">Y161-Y162</f>
        <v>-2000</v>
      </c>
      <c r="Z163" s="163"/>
      <c r="AB163" s="55" t="s">
        <v>148</v>
      </c>
      <c r="AC163" s="178"/>
      <c r="AD163" s="178"/>
      <c r="AE163" s="45"/>
      <c r="AF163" s="38" t="n">
        <f aca="false">AF161-AF162</f>
        <v>3000</v>
      </c>
      <c r="AG163" s="38"/>
      <c r="AH163" s="163" t="n">
        <f aca="false">AH161-AH162</f>
        <v>-2000</v>
      </c>
      <c r="AI163" s="163"/>
    </row>
    <row r="164" customFormat="false" ht="17.35" hidden="false" customHeight="false" outlineLevel="0" collapsed="false">
      <c r="A164" s="55" t="s">
        <v>149</v>
      </c>
      <c r="B164" s="178"/>
      <c r="C164" s="178"/>
      <c r="D164" s="45"/>
      <c r="E164" s="38" t="n">
        <f aca="false">E163-G163</f>
        <v>0</v>
      </c>
      <c r="F164" s="38"/>
      <c r="G164" s="45"/>
      <c r="H164" s="20"/>
      <c r="J164" s="55" t="s">
        <v>149</v>
      </c>
      <c r="K164" s="178"/>
      <c r="L164" s="178"/>
      <c r="M164" s="45"/>
      <c r="N164" s="38" t="n">
        <f aca="false">N163-P163</f>
        <v>5000</v>
      </c>
      <c r="O164" s="38"/>
      <c r="P164" s="45"/>
      <c r="Q164" s="20"/>
      <c r="S164" s="55" t="s">
        <v>149</v>
      </c>
      <c r="T164" s="178"/>
      <c r="U164" s="178"/>
      <c r="V164" s="45"/>
      <c r="W164" s="38" t="n">
        <f aca="false">W163-Y163</f>
        <v>5000</v>
      </c>
      <c r="X164" s="38"/>
      <c r="Y164" s="45"/>
      <c r="Z164" s="20"/>
      <c r="AB164" s="55" t="s">
        <v>149</v>
      </c>
      <c r="AC164" s="178"/>
      <c r="AD164" s="178"/>
      <c r="AE164" s="45"/>
      <c r="AF164" s="38" t="n">
        <f aca="false">AF163-AH163</f>
        <v>5000</v>
      </c>
      <c r="AG164" s="38"/>
      <c r="AH164" s="45"/>
      <c r="AI164" s="20"/>
    </row>
    <row r="165" customFormat="false" ht="17.35" hidden="false" customHeight="false" outlineLevel="0" collapsed="false">
      <c r="A165" s="55"/>
      <c r="B165" s="178"/>
      <c r="C165" s="178"/>
      <c r="D165" s="45"/>
      <c r="E165" s="178"/>
      <c r="F165" s="45"/>
      <c r="G165" s="45"/>
      <c r="H165" s="20"/>
      <c r="J165" s="55"/>
      <c r="K165" s="178"/>
      <c r="L165" s="178"/>
      <c r="M165" s="45"/>
      <c r="N165" s="178"/>
      <c r="O165" s="45"/>
      <c r="P165" s="45"/>
      <c r="Q165" s="20"/>
      <c r="S165" s="55"/>
      <c r="T165" s="178"/>
      <c r="U165" s="178"/>
      <c r="V165" s="45"/>
      <c r="W165" s="178"/>
      <c r="X165" s="45"/>
      <c r="Y165" s="45"/>
      <c r="Z165" s="20"/>
      <c r="AB165" s="55"/>
      <c r="AC165" s="178"/>
      <c r="AD165" s="178"/>
      <c r="AE165" s="45"/>
      <c r="AF165" s="178"/>
      <c r="AG165" s="45"/>
      <c r="AH165" s="45"/>
      <c r="AI165" s="20"/>
    </row>
    <row r="166" customFormat="false" ht="17.35" hidden="false" customHeight="false" outlineLevel="0" collapsed="false">
      <c r="A166" s="48" t="s">
        <v>150</v>
      </c>
      <c r="B166" s="49"/>
      <c r="C166" s="49"/>
      <c r="D166" s="93"/>
      <c r="E166" s="49"/>
      <c r="F166" s="93"/>
      <c r="G166" s="164" t="n">
        <f aca="false">B120</f>
        <v>0</v>
      </c>
      <c r="H166" s="164"/>
      <c r="J166" s="48" t="s">
        <v>150</v>
      </c>
      <c r="K166" s="49"/>
      <c r="L166" s="49"/>
      <c r="M166" s="93"/>
      <c r="N166" s="49"/>
      <c r="O166" s="93"/>
      <c r="P166" s="164" t="n">
        <f aca="false">K120</f>
        <v>1000</v>
      </c>
      <c r="Q166" s="164"/>
      <c r="S166" s="48" t="s">
        <v>150</v>
      </c>
      <c r="T166" s="49"/>
      <c r="U166" s="49"/>
      <c r="V166" s="93"/>
      <c r="W166" s="49"/>
      <c r="X166" s="93"/>
      <c r="Y166" s="164" t="n">
        <f aca="false">T120</f>
        <v>1000</v>
      </c>
      <c r="Z166" s="164"/>
      <c r="AB166" s="48" t="s">
        <v>150</v>
      </c>
      <c r="AC166" s="49"/>
      <c r="AD166" s="49"/>
      <c r="AE166" s="93"/>
      <c r="AF166" s="49"/>
      <c r="AG166" s="93"/>
      <c r="AH166" s="164" t="n">
        <f aca="false">AC120</f>
        <v>1000</v>
      </c>
      <c r="AI166" s="164"/>
    </row>
    <row r="167" customFormat="false" ht="19.7" hidden="false" customHeight="false" outlineLevel="0" collapsed="false">
      <c r="A167" s="165" t="s">
        <v>151</v>
      </c>
      <c r="B167" s="178"/>
      <c r="C167" s="178"/>
      <c r="D167" s="45"/>
      <c r="E167" s="178"/>
      <c r="F167" s="45"/>
      <c r="G167" s="166" t="n">
        <f aca="false">H156-G163-G166</f>
        <v>58525</v>
      </c>
      <c r="H167" s="166"/>
      <c r="J167" s="165" t="s">
        <v>151</v>
      </c>
      <c r="K167" s="178"/>
      <c r="L167" s="178"/>
      <c r="M167" s="45"/>
      <c r="N167" s="178"/>
      <c r="O167" s="45"/>
      <c r="P167" s="166" t="n">
        <f aca="false">Q156-P163-P166</f>
        <v>37655</v>
      </c>
      <c r="Q167" s="166"/>
      <c r="S167" s="165" t="s">
        <v>151</v>
      </c>
      <c r="T167" s="178"/>
      <c r="U167" s="178"/>
      <c r="V167" s="45"/>
      <c r="W167" s="178"/>
      <c r="X167" s="45"/>
      <c r="Y167" s="166" t="n">
        <f aca="false">Z156-Y163-Y166</f>
        <v>45468.749</v>
      </c>
      <c r="Z167" s="166"/>
      <c r="AB167" s="165" t="s">
        <v>151</v>
      </c>
      <c r="AC167" s="178"/>
      <c r="AD167" s="178"/>
      <c r="AE167" s="45"/>
      <c r="AF167" s="178"/>
      <c r="AG167" s="45"/>
      <c r="AH167" s="166" t="n">
        <f aca="false">AI156-AH163-AH166</f>
        <v>45468.749</v>
      </c>
      <c r="AI167" s="166"/>
    </row>
    <row r="168" customFormat="false" ht="17.35" hidden="false" customHeight="false" outlineLevel="0" collapsed="false">
      <c r="A168" s="74" t="s">
        <v>152</v>
      </c>
      <c r="B168" s="75"/>
      <c r="C168" s="75"/>
      <c r="D168" s="116"/>
      <c r="E168" s="75"/>
      <c r="F168" s="116"/>
      <c r="G168" s="167" t="str">
        <f aca="false">B123</f>
        <v>239.99</v>
      </c>
      <c r="H168" s="167"/>
      <c r="J168" s="74" t="s">
        <v>152</v>
      </c>
      <c r="K168" s="75"/>
      <c r="L168" s="75"/>
      <c r="M168" s="116"/>
      <c r="N168" s="75"/>
      <c r="O168" s="116"/>
      <c r="P168" s="167" t="n">
        <f aca="false">K123</f>
        <v>239.99</v>
      </c>
      <c r="Q168" s="167"/>
      <c r="S168" s="74" t="s">
        <v>152</v>
      </c>
      <c r="T168" s="75"/>
      <c r="U168" s="75"/>
      <c r="V168" s="116"/>
      <c r="W168" s="75"/>
      <c r="X168" s="116"/>
      <c r="Y168" s="167" t="n">
        <f aca="false">T123</f>
        <v>199.99</v>
      </c>
      <c r="Z168" s="167"/>
      <c r="AB168" s="74" t="s">
        <v>152</v>
      </c>
      <c r="AC168" s="75"/>
      <c r="AD168" s="75"/>
      <c r="AE168" s="116"/>
      <c r="AF168" s="75"/>
      <c r="AG168" s="116"/>
      <c r="AH168" s="167" t="n">
        <f aca="false">AC123</f>
        <v>239.99</v>
      </c>
      <c r="AI168" s="167"/>
    </row>
    <row r="169" customFormat="false" ht="17.35" hidden="false" customHeight="false" outlineLevel="0" collapsed="false">
      <c r="A169" s="55"/>
      <c r="B169" s="178"/>
      <c r="C169" s="178"/>
      <c r="D169" s="178"/>
      <c r="E169" s="45"/>
      <c r="F169" s="45"/>
      <c r="G169" s="45"/>
      <c r="H169" s="20"/>
      <c r="J169" s="55"/>
      <c r="K169" s="178"/>
      <c r="L169" s="178"/>
      <c r="M169" s="178"/>
      <c r="N169" s="45"/>
      <c r="O169" s="45"/>
      <c r="P169" s="45"/>
      <c r="Q169" s="20"/>
      <c r="S169" s="55"/>
      <c r="T169" s="178"/>
      <c r="U169" s="178"/>
      <c r="V169" s="178"/>
      <c r="W169" s="45"/>
      <c r="X169" s="45"/>
      <c r="Y169" s="45"/>
      <c r="Z169" s="20"/>
      <c r="AB169" s="55"/>
      <c r="AC169" s="178"/>
      <c r="AD169" s="178"/>
      <c r="AE169" s="178"/>
      <c r="AF169" s="45"/>
      <c r="AG169" s="45"/>
      <c r="AH169" s="45"/>
      <c r="AI169" s="20"/>
    </row>
    <row r="170" customFormat="false" ht="17.35" hidden="false" customHeight="false" outlineLevel="0" collapsed="false">
      <c r="A170" s="55"/>
      <c r="B170" s="178"/>
      <c r="C170" s="178"/>
      <c r="D170" s="178"/>
      <c r="E170" s="45" t="n">
        <v>6000</v>
      </c>
      <c r="F170" s="45"/>
      <c r="G170" s="45"/>
      <c r="H170" s="20"/>
      <c r="J170" s="55"/>
      <c r="K170" s="178"/>
      <c r="L170" s="178"/>
      <c r="M170" s="178"/>
      <c r="N170" s="45"/>
      <c r="O170" s="45"/>
      <c r="P170" s="45"/>
      <c r="Q170" s="20"/>
      <c r="S170" s="55"/>
      <c r="T170" s="178"/>
      <c r="U170" s="178"/>
      <c r="V170" s="178"/>
      <c r="W170" s="45"/>
      <c r="X170" s="45"/>
      <c r="Y170" s="45"/>
      <c r="Z170" s="20"/>
      <c r="AB170" s="55"/>
      <c r="AC170" s="178"/>
      <c r="AD170" s="178"/>
      <c r="AE170" s="178"/>
      <c r="AF170" s="45"/>
      <c r="AG170" s="45"/>
      <c r="AH170" s="45"/>
      <c r="AI170" s="20"/>
    </row>
    <row r="171" customFormat="false" ht="22.05" hidden="false" customHeight="false" outlineLevel="0" collapsed="false">
      <c r="A171" s="58" t="s">
        <v>153</v>
      </c>
      <c r="B171" s="58"/>
      <c r="C171" s="58"/>
      <c r="D171" s="58"/>
      <c r="E171" s="58"/>
      <c r="F171" s="58"/>
      <c r="G171" s="58"/>
      <c r="H171" s="58"/>
      <c r="J171" s="58" t="s">
        <v>153</v>
      </c>
      <c r="K171" s="58"/>
      <c r="L171" s="58"/>
      <c r="M171" s="58"/>
      <c r="N171" s="58"/>
      <c r="O171" s="58"/>
      <c r="P171" s="58"/>
      <c r="Q171" s="58"/>
      <c r="S171" s="58" t="s">
        <v>153</v>
      </c>
      <c r="T171" s="58"/>
      <c r="U171" s="58"/>
      <c r="V171" s="58"/>
      <c r="W171" s="58"/>
      <c r="X171" s="58"/>
      <c r="Y171" s="58"/>
      <c r="Z171" s="58"/>
      <c r="AB171" s="58" t="s">
        <v>153</v>
      </c>
      <c r="AC171" s="58"/>
      <c r="AD171" s="58"/>
      <c r="AE171" s="58"/>
      <c r="AF171" s="58"/>
      <c r="AG171" s="58"/>
      <c r="AH171" s="58"/>
      <c r="AI171" s="58"/>
    </row>
    <row r="172" customFormat="false" ht="17.35" hidden="false" customHeight="false" outlineLevel="0" collapsed="false">
      <c r="A172" s="55"/>
      <c r="B172" s="25"/>
      <c r="C172" s="25"/>
      <c r="D172" s="25"/>
      <c r="E172" s="45"/>
      <c r="F172" s="45"/>
      <c r="G172" s="45"/>
      <c r="H172" s="20"/>
      <c r="J172" s="55"/>
      <c r="K172" s="178"/>
      <c r="L172" s="178"/>
      <c r="M172" s="178"/>
      <c r="N172" s="45"/>
      <c r="O172" s="45"/>
      <c r="P172" s="45"/>
      <c r="Q172" s="20"/>
      <c r="S172" s="55"/>
      <c r="T172" s="178"/>
      <c r="U172" s="178"/>
      <c r="V172" s="178"/>
      <c r="W172" s="45"/>
      <c r="X172" s="45"/>
      <c r="Y172" s="45"/>
      <c r="Z172" s="20"/>
      <c r="AB172" s="55"/>
      <c r="AC172" s="178"/>
      <c r="AD172" s="178"/>
      <c r="AE172" s="178"/>
      <c r="AF172" s="45"/>
      <c r="AG172" s="45"/>
      <c r="AH172" s="45"/>
      <c r="AI172" s="20"/>
    </row>
    <row r="173" customFormat="false" ht="17.35" hidden="false" customHeight="false" outlineLevel="0" collapsed="false">
      <c r="A173" s="55" t="s">
        <v>29</v>
      </c>
      <c r="B173" s="168" t="n">
        <v>0</v>
      </c>
      <c r="C173" s="168"/>
      <c r="D173" s="25"/>
      <c r="E173" s="45"/>
      <c r="F173" s="45"/>
      <c r="G173" s="45"/>
      <c r="H173" s="20"/>
      <c r="J173" s="55" t="s">
        <v>29</v>
      </c>
      <c r="K173" s="168" t="n">
        <v>0</v>
      </c>
      <c r="L173" s="168"/>
      <c r="M173" s="178"/>
      <c r="N173" s="45"/>
      <c r="O173" s="45"/>
      <c r="P173" s="45"/>
      <c r="Q173" s="20"/>
      <c r="S173" s="55" t="s">
        <v>29</v>
      </c>
      <c r="T173" s="168" t="n">
        <v>0</v>
      </c>
      <c r="U173" s="168"/>
      <c r="V173" s="178"/>
      <c r="W173" s="45"/>
      <c r="X173" s="45"/>
      <c r="Y173" s="45"/>
      <c r="Z173" s="20"/>
      <c r="AB173" s="55" t="s">
        <v>29</v>
      </c>
      <c r="AC173" s="168" t="n">
        <v>0</v>
      </c>
      <c r="AD173" s="168"/>
      <c r="AE173" s="178"/>
      <c r="AF173" s="45"/>
      <c r="AG173" s="45"/>
      <c r="AH173" s="45"/>
      <c r="AI173" s="20"/>
    </row>
    <row r="174" customFormat="false" ht="17.35" hidden="false" customHeight="false" outlineLevel="0" collapsed="false">
      <c r="A174" s="55"/>
      <c r="B174" s="25"/>
      <c r="C174" s="25"/>
      <c r="D174" s="25"/>
      <c r="E174" s="45"/>
      <c r="F174" s="45"/>
      <c r="G174" s="45"/>
      <c r="H174" s="20"/>
      <c r="J174" s="55"/>
      <c r="K174" s="178"/>
      <c r="L174" s="178"/>
      <c r="M174" s="178"/>
      <c r="N174" s="45"/>
      <c r="O174" s="45"/>
      <c r="P174" s="45"/>
      <c r="Q174" s="20"/>
      <c r="S174" s="55"/>
      <c r="T174" s="178"/>
      <c r="U174" s="178"/>
      <c r="V174" s="178"/>
      <c r="W174" s="45"/>
      <c r="X174" s="45"/>
      <c r="Y174" s="45"/>
      <c r="Z174" s="20"/>
      <c r="AB174" s="55"/>
      <c r="AC174" s="178"/>
      <c r="AD174" s="178"/>
      <c r="AE174" s="178"/>
      <c r="AF174" s="45"/>
      <c r="AG174" s="45"/>
      <c r="AH174" s="45"/>
      <c r="AI174" s="20"/>
    </row>
    <row r="175" customFormat="false" ht="17.35" hidden="false" customHeight="false" outlineLevel="0" collapsed="false">
      <c r="A175" s="169" t="s">
        <v>154</v>
      </c>
      <c r="B175" s="170" t="s">
        <v>155</v>
      </c>
      <c r="C175" s="170"/>
      <c r="D175" s="170"/>
      <c r="E175" s="170" t="s">
        <v>156</v>
      </c>
      <c r="F175" s="45"/>
      <c r="G175" s="45"/>
      <c r="H175" s="20"/>
      <c r="J175" s="169" t="s">
        <v>154</v>
      </c>
      <c r="K175" s="470" t="s">
        <v>155</v>
      </c>
      <c r="L175" s="470"/>
      <c r="M175" s="470"/>
      <c r="N175" s="470" t="s">
        <v>156</v>
      </c>
      <c r="O175" s="45"/>
      <c r="P175" s="45"/>
      <c r="Q175" s="20"/>
      <c r="S175" s="169" t="s">
        <v>154</v>
      </c>
      <c r="T175" s="470" t="s">
        <v>155</v>
      </c>
      <c r="U175" s="470"/>
      <c r="V175" s="470"/>
      <c r="W175" s="470" t="s">
        <v>156</v>
      </c>
      <c r="X175" s="45"/>
      <c r="Y175" s="45"/>
      <c r="Z175" s="20"/>
      <c r="AB175" s="169" t="s">
        <v>154</v>
      </c>
      <c r="AC175" s="470" t="s">
        <v>155</v>
      </c>
      <c r="AD175" s="470"/>
      <c r="AE175" s="470"/>
      <c r="AF175" s="470" t="s">
        <v>156</v>
      </c>
      <c r="AG175" s="45"/>
      <c r="AH175" s="45"/>
      <c r="AI175" s="20"/>
    </row>
    <row r="176" customFormat="false" ht="17.35" hidden="false" customHeight="false" outlineLevel="0" collapsed="false">
      <c r="A176" s="173" t="n">
        <f aca="false">B104</f>
        <v>1639.88541555755</v>
      </c>
      <c r="B176" s="172" t="n">
        <f aca="false">B103</f>
        <v>0</v>
      </c>
      <c r="C176" s="170"/>
      <c r="D176" s="170"/>
      <c r="E176" s="172" t="n">
        <f aca="false">B105</f>
        <v>1639.88541555755</v>
      </c>
      <c r="F176" s="45"/>
      <c r="G176" s="45"/>
      <c r="H176" s="20"/>
      <c r="J176" s="173" t="n">
        <f aca="false">K104</f>
        <v>1569.706327631</v>
      </c>
      <c r="K176" s="442" t="n">
        <f aca="false">K103</f>
        <v>0</v>
      </c>
      <c r="L176" s="470"/>
      <c r="M176" s="470"/>
      <c r="N176" s="442" t="n">
        <f aca="false">K105</f>
        <v>1569.706327631</v>
      </c>
      <c r="O176" s="45"/>
      <c r="P176" s="45"/>
      <c r="Q176" s="20"/>
      <c r="S176" s="173" t="n">
        <f aca="false">T104</f>
        <v>1674.61110912406</v>
      </c>
      <c r="T176" s="442" t="n">
        <f aca="false">T103</f>
        <v>0</v>
      </c>
      <c r="U176" s="470"/>
      <c r="V176" s="470"/>
      <c r="W176" s="442" t="n">
        <f aca="false">T105</f>
        <v>1674.61110912406</v>
      </c>
      <c r="X176" s="45"/>
      <c r="Y176" s="45"/>
      <c r="Z176" s="20"/>
      <c r="AB176" s="173" t="n">
        <f aca="false">AC104</f>
        <v>1674.61110912406</v>
      </c>
      <c r="AC176" s="442" t="n">
        <f aca="false">AC103</f>
        <v>0</v>
      </c>
      <c r="AD176" s="470"/>
      <c r="AE176" s="470"/>
      <c r="AF176" s="442" t="n">
        <f aca="false">AC105</f>
        <v>1674.61110912406</v>
      </c>
      <c r="AG176" s="45"/>
      <c r="AH176" s="45"/>
      <c r="AI176" s="20"/>
    </row>
    <row r="177" customFormat="false" ht="17.35" hidden="false" customHeight="false" outlineLevel="0" collapsed="false">
      <c r="A177" s="55"/>
      <c r="B177" s="25"/>
      <c r="C177" s="25"/>
      <c r="D177" s="25"/>
      <c r="E177" s="45"/>
      <c r="F177" s="45"/>
      <c r="G177" s="45"/>
      <c r="H177" s="20"/>
      <c r="J177" s="55"/>
      <c r="K177" s="178"/>
      <c r="L177" s="178"/>
      <c r="M177" s="178"/>
      <c r="N177" s="45"/>
      <c r="O177" s="45"/>
      <c r="P177" s="45"/>
      <c r="Q177" s="20"/>
      <c r="S177" s="55"/>
      <c r="T177" s="178"/>
      <c r="U177" s="178"/>
      <c r="V177" s="178"/>
      <c r="W177" s="45"/>
      <c r="X177" s="45"/>
      <c r="Y177" s="45"/>
      <c r="Z177" s="20"/>
      <c r="AB177" s="55"/>
      <c r="AC177" s="178"/>
      <c r="AD177" s="178"/>
      <c r="AE177" s="178"/>
      <c r="AF177" s="45"/>
      <c r="AG177" s="45"/>
      <c r="AH177" s="45"/>
      <c r="AI177" s="20"/>
    </row>
    <row r="178" customFormat="false" ht="17.35" hidden="false" customHeight="false" outlineLevel="0" collapsed="false">
      <c r="A178" s="55" t="s">
        <v>28</v>
      </c>
      <c r="B178" s="25" t="s">
        <v>33</v>
      </c>
      <c r="C178" s="25"/>
      <c r="D178" s="45"/>
      <c r="E178" s="25" t="s">
        <v>157</v>
      </c>
      <c r="F178" s="45"/>
      <c r="G178" s="45"/>
      <c r="H178" s="20"/>
      <c r="J178" s="55" t="s">
        <v>28</v>
      </c>
      <c r="K178" s="178" t="s">
        <v>33</v>
      </c>
      <c r="L178" s="178"/>
      <c r="M178" s="45"/>
      <c r="N178" s="178" t="s">
        <v>157</v>
      </c>
      <c r="O178" s="45"/>
      <c r="P178" s="45"/>
      <c r="Q178" s="20"/>
      <c r="S178" s="55" t="s">
        <v>28</v>
      </c>
      <c r="T178" s="178" t="s">
        <v>33</v>
      </c>
      <c r="U178" s="178"/>
      <c r="V178" s="45"/>
      <c r="W178" s="178" t="s">
        <v>157</v>
      </c>
      <c r="X178" s="45"/>
      <c r="Y178" s="45"/>
      <c r="Z178" s="20"/>
      <c r="AB178" s="55" t="s">
        <v>28</v>
      </c>
      <c r="AC178" s="178" t="s">
        <v>33</v>
      </c>
      <c r="AD178" s="178"/>
      <c r="AE178" s="45"/>
      <c r="AF178" s="178" t="s">
        <v>157</v>
      </c>
      <c r="AG178" s="45"/>
      <c r="AH178" s="45"/>
      <c r="AI178" s="20"/>
    </row>
    <row r="179" customFormat="false" ht="17.35" hidden="false" customHeight="false" outlineLevel="0" collapsed="false">
      <c r="A179" s="63" t="n">
        <f aca="false">B38</f>
        <v>0</v>
      </c>
      <c r="B179" s="176" t="n">
        <f aca="false">B39</f>
        <v>0</v>
      </c>
      <c r="C179" s="175"/>
      <c r="D179" s="45"/>
      <c r="E179" s="73" t="n">
        <v>6000</v>
      </c>
      <c r="F179" s="45"/>
      <c r="G179" s="45"/>
      <c r="H179" s="20"/>
      <c r="J179" s="63" t="str">
        <f aca="false">K29</f>
        <v>33</v>
      </c>
      <c r="K179" s="176" t="str">
        <f aca="false">K30</f>
        <v>5000</v>
      </c>
      <c r="L179" s="471"/>
      <c r="M179" s="45"/>
      <c r="N179" s="232" t="str">
        <f aca="false">IF(A120="YES", A40, 0)</f>
        <v>12</v>
      </c>
      <c r="O179" s="45"/>
      <c r="P179" s="45"/>
      <c r="Q179" s="20"/>
      <c r="S179" s="63" t="str">
        <f aca="false">K29</f>
        <v>33</v>
      </c>
      <c r="T179" s="176" t="str">
        <f aca="false">K30</f>
        <v>5000</v>
      </c>
      <c r="U179" s="471"/>
      <c r="V179" s="45"/>
      <c r="W179" s="232" t="str">
        <f aca="false">IF(A120="YES", A40, 0)</f>
        <v>12</v>
      </c>
      <c r="X179" s="45"/>
      <c r="Y179" s="45"/>
      <c r="Z179" s="20"/>
      <c r="AB179" s="63" t="str">
        <f aca="false">K29</f>
        <v>33</v>
      </c>
      <c r="AC179" s="176" t="str">
        <f aca="false">K30</f>
        <v>5000</v>
      </c>
      <c r="AD179" s="471"/>
      <c r="AE179" s="45"/>
      <c r="AF179" s="232" t="str">
        <f aca="false">IF(A120="YES", A40, 0)</f>
        <v>12</v>
      </c>
      <c r="AG179" s="45"/>
      <c r="AH179" s="45"/>
      <c r="AI179" s="20"/>
    </row>
    <row r="180" customFormat="false" ht="17.35" hidden="false" customHeight="false" outlineLevel="0" collapsed="false">
      <c r="A180" s="55"/>
      <c r="B180" s="25"/>
      <c r="C180" s="25"/>
      <c r="D180" s="45"/>
      <c r="E180" s="25"/>
      <c r="F180" s="45"/>
      <c r="G180" s="45"/>
      <c r="H180" s="20"/>
      <c r="J180" s="55"/>
      <c r="K180" s="178"/>
      <c r="L180" s="178"/>
      <c r="M180" s="45"/>
      <c r="N180" s="178"/>
      <c r="O180" s="45"/>
      <c r="P180" s="45"/>
      <c r="Q180" s="20"/>
      <c r="S180" s="55"/>
      <c r="T180" s="178"/>
      <c r="U180" s="178"/>
      <c r="V180" s="45"/>
      <c r="W180" s="178"/>
      <c r="X180" s="45"/>
      <c r="Y180" s="45"/>
      <c r="Z180" s="20"/>
      <c r="AB180" s="55"/>
      <c r="AC180" s="178"/>
      <c r="AD180" s="178"/>
      <c r="AE180" s="45"/>
      <c r="AF180" s="178"/>
      <c r="AG180" s="45"/>
      <c r="AH180" s="45"/>
      <c r="AI180" s="20"/>
    </row>
    <row r="181" customFormat="false" ht="17.35" hidden="false" customHeight="false" outlineLevel="0" collapsed="false">
      <c r="A181" s="55" t="s">
        <v>158</v>
      </c>
      <c r="B181" s="25" t="s">
        <v>159</v>
      </c>
      <c r="C181" s="25"/>
      <c r="D181" s="45"/>
      <c r="E181" s="25" t="s">
        <v>160</v>
      </c>
      <c r="F181" s="45"/>
      <c r="G181" s="45"/>
      <c r="H181" s="20"/>
      <c r="J181" s="55" t="s">
        <v>158</v>
      </c>
      <c r="K181" s="178" t="s">
        <v>159</v>
      </c>
      <c r="L181" s="178"/>
      <c r="M181" s="45"/>
      <c r="N181" s="178" t="s">
        <v>160</v>
      </c>
      <c r="O181" s="45"/>
      <c r="P181" s="45"/>
      <c r="Q181" s="20"/>
      <c r="S181" s="55" t="s">
        <v>158</v>
      </c>
      <c r="T181" s="178" t="s">
        <v>159</v>
      </c>
      <c r="U181" s="178"/>
      <c r="V181" s="45"/>
      <c r="W181" s="178" t="s">
        <v>160</v>
      </c>
      <c r="X181" s="45"/>
      <c r="Y181" s="45"/>
      <c r="Z181" s="20"/>
      <c r="AB181" s="55" t="s">
        <v>158</v>
      </c>
      <c r="AC181" s="178" t="s">
        <v>159</v>
      </c>
      <c r="AD181" s="178"/>
      <c r="AE181" s="45"/>
      <c r="AF181" s="178" t="s">
        <v>160</v>
      </c>
      <c r="AG181" s="45"/>
      <c r="AH181" s="45"/>
      <c r="AI181" s="20"/>
    </row>
    <row r="182" customFormat="false" ht="17.35" hidden="false" customHeight="false" outlineLevel="0" collapsed="false">
      <c r="A182" s="69" t="n">
        <f aca="false">H150-H146-H148-H149</f>
        <v>48237.5</v>
      </c>
      <c r="B182" s="37" t="n">
        <f aca="false">H146</f>
        <v>9647.5</v>
      </c>
      <c r="C182" s="67"/>
      <c r="D182" s="45"/>
      <c r="E182" s="73" t="n">
        <f aca="false">H148+H149</f>
        <v>640</v>
      </c>
      <c r="F182" s="45"/>
      <c r="G182" s="45"/>
      <c r="H182" s="20"/>
      <c r="J182" s="69" t="n">
        <f aca="false">Q150-Q146-Q148-Q149</f>
        <v>30012.5</v>
      </c>
      <c r="K182" s="201" t="n">
        <f aca="false">Q146</f>
        <v>6002.5</v>
      </c>
      <c r="L182" s="198"/>
      <c r="M182" s="45"/>
      <c r="N182" s="232" t="n">
        <f aca="false">Q148+Q149</f>
        <v>640</v>
      </c>
      <c r="O182" s="45"/>
      <c r="P182" s="45"/>
      <c r="Q182" s="20"/>
      <c r="S182" s="69" t="n">
        <f aca="false">Z150-Z146-Z148-Z149</f>
        <v>36523.9575</v>
      </c>
      <c r="T182" s="201" t="n">
        <f aca="false">Z146</f>
        <v>7304.7915</v>
      </c>
      <c r="U182" s="198"/>
      <c r="V182" s="45"/>
      <c r="W182" s="232" t="n">
        <f aca="false">Z148+Z149</f>
        <v>640</v>
      </c>
      <c r="X182" s="45"/>
      <c r="Y182" s="45"/>
      <c r="Z182" s="20"/>
      <c r="AB182" s="69" t="n">
        <f aca="false">AI150-AI146-AI148-AI149</f>
        <v>36523.9575</v>
      </c>
      <c r="AC182" s="201" t="n">
        <f aca="false">AI146</f>
        <v>7304.7915</v>
      </c>
      <c r="AD182" s="198"/>
      <c r="AE182" s="45"/>
      <c r="AF182" s="232" t="n">
        <f aca="false">AI148+AI149</f>
        <v>640</v>
      </c>
      <c r="AG182" s="45"/>
      <c r="AH182" s="45"/>
      <c r="AI182" s="20"/>
    </row>
    <row r="183" customFormat="false" ht="17.35" hidden="false" customHeight="false" outlineLevel="0" collapsed="false">
      <c r="A183" s="55"/>
      <c r="B183" s="25"/>
      <c r="C183" s="25"/>
      <c r="D183" s="45"/>
      <c r="E183" s="25"/>
      <c r="F183" s="45"/>
      <c r="G183" s="45"/>
      <c r="H183" s="20"/>
      <c r="J183" s="55"/>
      <c r="K183" s="178"/>
      <c r="L183" s="178"/>
      <c r="M183" s="45"/>
      <c r="N183" s="178"/>
      <c r="O183" s="45"/>
      <c r="P183" s="45"/>
      <c r="Q183" s="20"/>
      <c r="S183" s="55"/>
      <c r="T183" s="178"/>
      <c r="U183" s="178"/>
      <c r="V183" s="45"/>
      <c r="W183" s="178"/>
      <c r="X183" s="45"/>
      <c r="Y183" s="45"/>
      <c r="Z183" s="20"/>
      <c r="AB183" s="55"/>
      <c r="AC183" s="178"/>
      <c r="AD183" s="178"/>
      <c r="AE183" s="45"/>
      <c r="AF183" s="178"/>
      <c r="AG183" s="45"/>
      <c r="AH183" s="45"/>
      <c r="AI183" s="20"/>
    </row>
    <row r="184" customFormat="false" ht="17.35" hidden="false" customHeight="false" outlineLevel="0" collapsed="false">
      <c r="A184" s="55" t="s">
        <v>161</v>
      </c>
      <c r="B184" s="25" t="s">
        <v>108</v>
      </c>
      <c r="C184" s="25"/>
      <c r="D184" s="45"/>
      <c r="E184" s="25" t="s">
        <v>109</v>
      </c>
      <c r="F184" s="45"/>
      <c r="G184" s="45"/>
      <c r="H184" s="20"/>
      <c r="J184" s="55" t="s">
        <v>161</v>
      </c>
      <c r="K184" s="178" t="s">
        <v>108</v>
      </c>
      <c r="L184" s="178"/>
      <c r="M184" s="45"/>
      <c r="N184" s="178" t="s">
        <v>109</v>
      </c>
      <c r="O184" s="45"/>
      <c r="P184" s="45"/>
      <c r="Q184" s="20"/>
      <c r="S184" s="55" t="s">
        <v>161</v>
      </c>
      <c r="T184" s="178" t="s">
        <v>108</v>
      </c>
      <c r="U184" s="178"/>
      <c r="V184" s="45"/>
      <c r="W184" s="178" t="s">
        <v>109</v>
      </c>
      <c r="X184" s="45"/>
      <c r="Y184" s="45"/>
      <c r="Z184" s="20"/>
      <c r="AB184" s="55" t="s">
        <v>161</v>
      </c>
      <c r="AC184" s="178" t="s">
        <v>108</v>
      </c>
      <c r="AD184" s="178"/>
      <c r="AE184" s="45"/>
      <c r="AF184" s="178" t="s">
        <v>109</v>
      </c>
      <c r="AG184" s="45"/>
      <c r="AH184" s="45"/>
      <c r="AI184" s="20"/>
    </row>
    <row r="185" customFormat="false" ht="17.35" hidden="false" customHeight="false" outlineLevel="0" collapsed="false">
      <c r="A185" s="69" t="n">
        <f aca="false">H150</f>
        <v>58525</v>
      </c>
      <c r="B185" s="37" t="n">
        <f aca="false">B120</f>
        <v>0</v>
      </c>
      <c r="C185" s="37"/>
      <c r="D185" s="45"/>
      <c r="E185" s="37" t="n">
        <f aca="false">E120</f>
        <v>0</v>
      </c>
      <c r="F185" s="45"/>
      <c r="G185" s="45"/>
      <c r="H185" s="177"/>
      <c r="J185" s="69" t="n">
        <f aca="false">Q150</f>
        <v>36655</v>
      </c>
      <c r="K185" s="201" t="n">
        <f aca="false">K120</f>
        <v>1000</v>
      </c>
      <c r="L185" s="201"/>
      <c r="M185" s="45"/>
      <c r="N185" s="201" t="n">
        <f aca="false">N120</f>
        <v>0</v>
      </c>
      <c r="O185" s="45"/>
      <c r="P185" s="45"/>
      <c r="Q185" s="177"/>
      <c r="S185" s="69" t="n">
        <f aca="false">Z150</f>
        <v>44468.749</v>
      </c>
      <c r="T185" s="201" t="n">
        <f aca="false">T120</f>
        <v>1000</v>
      </c>
      <c r="U185" s="201"/>
      <c r="V185" s="45"/>
      <c r="W185" s="201" t="n">
        <f aca="false">W120</f>
        <v>0</v>
      </c>
      <c r="X185" s="45"/>
      <c r="Y185" s="45"/>
      <c r="Z185" s="177"/>
      <c r="AB185" s="69" t="n">
        <f aca="false">AI150</f>
        <v>44468.749</v>
      </c>
      <c r="AC185" s="201" t="n">
        <f aca="false">AC120</f>
        <v>1000</v>
      </c>
      <c r="AD185" s="201"/>
      <c r="AE185" s="45"/>
      <c r="AF185" s="201" t="n">
        <f aca="false">AF120</f>
        <v>0</v>
      </c>
      <c r="AG185" s="45"/>
      <c r="AH185" s="45"/>
      <c r="AI185" s="177"/>
    </row>
    <row r="186" customFormat="false" ht="17.35" hidden="false" customHeight="false" outlineLevel="0" collapsed="false">
      <c r="A186" s="55"/>
      <c r="B186" s="25"/>
      <c r="C186" s="25"/>
      <c r="D186" s="45"/>
      <c r="E186" s="25"/>
      <c r="F186" s="45"/>
      <c r="G186" s="45"/>
      <c r="H186" s="20"/>
      <c r="J186" s="55"/>
      <c r="K186" s="178"/>
      <c r="L186" s="178"/>
      <c r="M186" s="45"/>
      <c r="N186" s="178"/>
      <c r="O186" s="45"/>
      <c r="P186" s="45"/>
      <c r="Q186" s="20"/>
      <c r="S186" s="55"/>
      <c r="T186" s="178"/>
      <c r="U186" s="178"/>
      <c r="V186" s="45"/>
      <c r="W186" s="178"/>
      <c r="X186" s="45"/>
      <c r="Y186" s="45"/>
      <c r="Z186" s="20"/>
      <c r="AB186" s="55"/>
      <c r="AC186" s="178"/>
      <c r="AD186" s="178"/>
      <c r="AE186" s="45"/>
      <c r="AF186" s="178"/>
      <c r="AG186" s="45"/>
      <c r="AH186" s="45"/>
      <c r="AI186" s="20"/>
    </row>
    <row r="187" customFormat="false" ht="17.35" hidden="false" customHeight="false" outlineLevel="0" collapsed="false">
      <c r="A187" s="55" t="s">
        <v>110</v>
      </c>
      <c r="B187" s="25" t="s">
        <v>146</v>
      </c>
      <c r="C187" s="25"/>
      <c r="D187" s="45"/>
      <c r="E187" s="25" t="s">
        <v>151</v>
      </c>
      <c r="F187" s="45"/>
      <c r="G187" s="45"/>
      <c r="H187" s="20"/>
      <c r="J187" s="55" t="s">
        <v>110</v>
      </c>
      <c r="K187" s="178" t="s">
        <v>146</v>
      </c>
      <c r="L187" s="178"/>
      <c r="M187" s="45"/>
      <c r="N187" s="178" t="s">
        <v>151</v>
      </c>
      <c r="O187" s="45"/>
      <c r="P187" s="45"/>
      <c r="Q187" s="20"/>
      <c r="S187" s="55" t="s">
        <v>110</v>
      </c>
      <c r="T187" s="178" t="s">
        <v>146</v>
      </c>
      <c r="U187" s="178"/>
      <c r="V187" s="45"/>
      <c r="W187" s="178" t="s">
        <v>151</v>
      </c>
      <c r="X187" s="45"/>
      <c r="Y187" s="45"/>
      <c r="Z187" s="20"/>
      <c r="AB187" s="55" t="s">
        <v>110</v>
      </c>
      <c r="AC187" s="178" t="s">
        <v>146</v>
      </c>
      <c r="AD187" s="178"/>
      <c r="AE187" s="45"/>
      <c r="AF187" s="178" t="s">
        <v>151</v>
      </c>
      <c r="AG187" s="45"/>
      <c r="AH187" s="45"/>
      <c r="AI187" s="20"/>
    </row>
    <row r="188" customFormat="false" ht="17.35" hidden="false" customHeight="false" outlineLevel="0" collapsed="false">
      <c r="A188" s="70" t="n">
        <f aca="false">B185+E185</f>
        <v>0</v>
      </c>
      <c r="B188" s="37" t="n">
        <f aca="false">G163</f>
        <v>0</v>
      </c>
      <c r="C188" s="37"/>
      <c r="D188" s="45"/>
      <c r="E188" s="37" t="n">
        <f aca="false">A185-A188-B188</f>
        <v>58525</v>
      </c>
      <c r="F188" s="45"/>
      <c r="G188" s="45"/>
      <c r="H188" s="177"/>
      <c r="J188" s="70" t="n">
        <f aca="false">K185+N185</f>
        <v>1000</v>
      </c>
      <c r="K188" s="201" t="n">
        <f aca="false">P163</f>
        <v>-2000</v>
      </c>
      <c r="L188" s="201"/>
      <c r="M188" s="45"/>
      <c r="N188" s="201" t="n">
        <f aca="false">J185-J188-K188</f>
        <v>37655</v>
      </c>
      <c r="O188" s="45"/>
      <c r="P188" s="45"/>
      <c r="Q188" s="177"/>
      <c r="S188" s="70" t="n">
        <f aca="false">T185+W185</f>
        <v>1000</v>
      </c>
      <c r="T188" s="201" t="n">
        <f aca="false">Y163</f>
        <v>-2000</v>
      </c>
      <c r="U188" s="201"/>
      <c r="V188" s="45"/>
      <c r="W188" s="201" t="n">
        <f aca="false">S185-S188-T188</f>
        <v>45468.749</v>
      </c>
      <c r="X188" s="45"/>
      <c r="Y188" s="45"/>
      <c r="Z188" s="177"/>
      <c r="AB188" s="70" t="n">
        <f aca="false">AC185+AF185</f>
        <v>1000</v>
      </c>
      <c r="AC188" s="201" t="n">
        <f aca="false">AH163</f>
        <v>-2000</v>
      </c>
      <c r="AD188" s="201"/>
      <c r="AE188" s="45"/>
      <c r="AF188" s="201" t="n">
        <f aca="false">AB185-AB188-AC188</f>
        <v>45468.749</v>
      </c>
      <c r="AG188" s="45"/>
      <c r="AH188" s="45"/>
      <c r="AI188" s="177"/>
    </row>
    <row r="189" customFormat="false" ht="17.35" hidden="false" customHeight="false" outlineLevel="0" collapsed="false">
      <c r="A189" s="55"/>
      <c r="B189" s="25"/>
      <c r="C189" s="25"/>
      <c r="D189" s="45"/>
      <c r="E189" s="25"/>
      <c r="F189" s="45"/>
      <c r="G189" s="45"/>
      <c r="H189" s="20"/>
      <c r="J189" s="55"/>
      <c r="K189" s="178"/>
      <c r="L189" s="178"/>
      <c r="M189" s="45"/>
      <c r="N189" s="178"/>
      <c r="O189" s="45"/>
      <c r="P189" s="45"/>
      <c r="Q189" s="20"/>
      <c r="S189" s="55"/>
      <c r="T189" s="178"/>
      <c r="U189" s="178"/>
      <c r="V189" s="45"/>
      <c r="W189" s="178"/>
      <c r="X189" s="45"/>
      <c r="Y189" s="45"/>
      <c r="Z189" s="20"/>
      <c r="AB189" s="55"/>
      <c r="AC189" s="178"/>
      <c r="AD189" s="178"/>
      <c r="AE189" s="45"/>
      <c r="AF189" s="178"/>
      <c r="AG189" s="45"/>
      <c r="AH189" s="45"/>
      <c r="AI189" s="20"/>
    </row>
    <row r="190" customFormat="false" ht="17.35" hidden="false" customHeight="false" outlineLevel="0" collapsed="false">
      <c r="A190" s="55" t="s">
        <v>162</v>
      </c>
      <c r="B190" s="25" t="s">
        <v>152</v>
      </c>
      <c r="C190" s="25"/>
      <c r="D190" s="45"/>
      <c r="E190" s="25" t="s">
        <v>163</v>
      </c>
      <c r="F190" s="45"/>
      <c r="G190" s="45"/>
      <c r="H190" s="20"/>
      <c r="J190" s="55" t="s">
        <v>162</v>
      </c>
      <c r="K190" s="178" t="s">
        <v>152</v>
      </c>
      <c r="L190" s="178"/>
      <c r="M190" s="45"/>
      <c r="N190" s="178" t="s">
        <v>163</v>
      </c>
      <c r="O190" s="45"/>
      <c r="P190" s="45"/>
      <c r="Q190" s="20"/>
      <c r="S190" s="55" t="s">
        <v>162</v>
      </c>
      <c r="T190" s="178" t="s">
        <v>152</v>
      </c>
      <c r="U190" s="178"/>
      <c r="V190" s="45"/>
      <c r="W190" s="178" t="s">
        <v>163</v>
      </c>
      <c r="X190" s="45"/>
      <c r="Y190" s="45"/>
      <c r="Z190" s="20"/>
      <c r="AB190" s="55" t="s">
        <v>162</v>
      </c>
      <c r="AC190" s="178" t="s">
        <v>152</v>
      </c>
      <c r="AD190" s="178"/>
      <c r="AE190" s="45"/>
      <c r="AF190" s="178" t="s">
        <v>163</v>
      </c>
      <c r="AG190" s="45"/>
      <c r="AH190" s="45"/>
      <c r="AI190" s="20"/>
    </row>
    <row r="191" customFormat="false" ht="17.35" hidden="false" customHeight="false" outlineLevel="0" collapsed="false">
      <c r="A191" s="70" t="n">
        <f aca="false">(A176*B68)+E194-E188-A194</f>
        <v>-48.666702158509</v>
      </c>
      <c r="B191" s="37" t="str">
        <f aca="false">B123</f>
        <v>239.99</v>
      </c>
      <c r="C191" s="37"/>
      <c r="D191" s="45"/>
      <c r="E191" s="37" t="n">
        <f aca="false">E188+A191+B191+A194</f>
        <v>58726.3232978415</v>
      </c>
      <c r="F191" s="45"/>
      <c r="G191" s="45"/>
      <c r="H191" s="177"/>
      <c r="J191" s="70" t="n">
        <f aca="false">(J176*K68)+N194-N188-J194</f>
        <v>12587.602484192</v>
      </c>
      <c r="K191" s="201" t="n">
        <f aca="false">K123</f>
        <v>239.99</v>
      </c>
      <c r="L191" s="201"/>
      <c r="M191" s="45"/>
      <c r="N191" s="201" t="n">
        <f aca="false">N188+J191+K191+J194</f>
        <v>50502.592484192</v>
      </c>
      <c r="O191" s="45"/>
      <c r="P191" s="45"/>
      <c r="Q191" s="177"/>
      <c r="S191" s="70" t="n">
        <f aca="false">(S176*T68)+W194-W188-S194</f>
        <v>8130.80649196992</v>
      </c>
      <c r="T191" s="201" t="n">
        <f aca="false">T123</f>
        <v>199.99</v>
      </c>
      <c r="U191" s="201"/>
      <c r="V191" s="45"/>
      <c r="W191" s="201" t="n">
        <f aca="false">W188+S191+T191+S194</f>
        <v>53809.5454919699</v>
      </c>
      <c r="X191" s="45"/>
      <c r="Y191" s="45"/>
      <c r="Z191" s="177"/>
      <c r="AB191" s="70" t="n">
        <f aca="false">(AB176*AC68)+AF194-AF188-AB194</f>
        <v>8130.80649196992</v>
      </c>
      <c r="AC191" s="201" t="n">
        <f aca="false">AC123</f>
        <v>239.99</v>
      </c>
      <c r="AD191" s="201"/>
      <c r="AE191" s="45"/>
      <c r="AF191" s="201" t="n">
        <f aca="false">AF188+AB191+AC191+AB194</f>
        <v>53849.5454919699</v>
      </c>
      <c r="AG191" s="45"/>
      <c r="AH191" s="45"/>
      <c r="AI191" s="177"/>
    </row>
    <row r="192" customFormat="false" ht="17.35" hidden="false" customHeight="false" outlineLevel="0" collapsed="false">
      <c r="A192" s="55"/>
      <c r="B192" s="25"/>
      <c r="C192" s="25"/>
      <c r="D192" s="45"/>
      <c r="E192" s="25"/>
      <c r="F192" s="45"/>
      <c r="G192" s="45"/>
      <c r="H192" s="20"/>
      <c r="J192" s="55"/>
      <c r="K192" s="178"/>
      <c r="L192" s="178"/>
      <c r="M192" s="45"/>
      <c r="N192" s="178"/>
      <c r="O192" s="45"/>
      <c r="P192" s="45"/>
      <c r="Q192" s="20"/>
      <c r="S192" s="55"/>
      <c r="T192" s="178"/>
      <c r="U192" s="178"/>
      <c r="V192" s="45"/>
      <c r="W192" s="178"/>
      <c r="X192" s="45"/>
      <c r="Y192" s="45"/>
      <c r="Z192" s="20"/>
      <c r="AB192" s="55"/>
      <c r="AC192" s="178"/>
      <c r="AD192" s="178"/>
      <c r="AE192" s="45"/>
      <c r="AF192" s="178"/>
      <c r="AG192" s="45"/>
      <c r="AH192" s="45"/>
      <c r="AI192" s="20"/>
    </row>
    <row r="193" customFormat="false" ht="17.35" hidden="false" customHeight="false" outlineLevel="0" collapsed="false">
      <c r="A193" s="55" t="s">
        <v>164</v>
      </c>
      <c r="B193" s="25" t="s">
        <v>165</v>
      </c>
      <c r="C193" s="25"/>
      <c r="D193" s="45"/>
      <c r="E193" s="25" t="s">
        <v>166</v>
      </c>
      <c r="F193" s="45"/>
      <c r="G193" s="45"/>
      <c r="H193" s="20"/>
      <c r="J193" s="55" t="s">
        <v>164</v>
      </c>
      <c r="K193" s="178" t="s">
        <v>165</v>
      </c>
      <c r="L193" s="178"/>
      <c r="M193" s="45"/>
      <c r="N193" s="178" t="s">
        <v>166</v>
      </c>
      <c r="O193" s="45"/>
      <c r="P193" s="45"/>
      <c r="Q193" s="20"/>
      <c r="S193" s="55" t="s">
        <v>164</v>
      </c>
      <c r="T193" s="178" t="s">
        <v>165</v>
      </c>
      <c r="U193" s="178"/>
      <c r="V193" s="45"/>
      <c r="W193" s="178" t="s">
        <v>166</v>
      </c>
      <c r="X193" s="45"/>
      <c r="Y193" s="45"/>
      <c r="Z193" s="20"/>
      <c r="AB193" s="55" t="s">
        <v>164</v>
      </c>
      <c r="AC193" s="178" t="s">
        <v>165</v>
      </c>
      <c r="AD193" s="178"/>
      <c r="AE193" s="45"/>
      <c r="AF193" s="178" t="s">
        <v>166</v>
      </c>
      <c r="AG193" s="45"/>
      <c r="AH193" s="45"/>
      <c r="AI193" s="20"/>
    </row>
    <row r="194" customFormat="false" ht="17.35" hidden="false" customHeight="false" outlineLevel="0" collapsed="false">
      <c r="A194" s="70" t="n">
        <f aca="false">B69</f>
        <v>10</v>
      </c>
      <c r="B194" s="37" t="n">
        <f aca="false">A188+B191</f>
        <v>239.99</v>
      </c>
      <c r="C194" s="37"/>
      <c r="D194" s="45"/>
      <c r="E194" s="37" t="n">
        <f aca="false">E179+A194</f>
        <v>6010</v>
      </c>
      <c r="F194" s="45"/>
      <c r="G194" s="45"/>
      <c r="H194" s="177"/>
      <c r="J194" s="70" t="n">
        <f aca="false">K69</f>
        <v>20</v>
      </c>
      <c r="K194" s="201" t="n">
        <f aca="false">J188+K191</f>
        <v>1239.99</v>
      </c>
      <c r="L194" s="201"/>
      <c r="M194" s="45"/>
      <c r="N194" s="201" t="n">
        <f aca="false">N179+J194</f>
        <v>32</v>
      </c>
      <c r="O194" s="45"/>
      <c r="P194" s="45"/>
      <c r="Q194" s="177"/>
      <c r="S194" s="70" t="n">
        <f aca="false">T69</f>
        <v>10</v>
      </c>
      <c r="T194" s="201" t="n">
        <f aca="false">S188+T191</f>
        <v>1199.99</v>
      </c>
      <c r="U194" s="201"/>
      <c r="V194" s="45"/>
      <c r="W194" s="201" t="n">
        <f aca="false">W179+S194</f>
        <v>22</v>
      </c>
      <c r="X194" s="45"/>
      <c r="Y194" s="45"/>
      <c r="Z194" s="177"/>
      <c r="AB194" s="70" t="n">
        <f aca="false">AC69</f>
        <v>10</v>
      </c>
      <c r="AC194" s="201" t="n">
        <f aca="false">AB188+AC191</f>
        <v>1239.99</v>
      </c>
      <c r="AD194" s="201"/>
      <c r="AE194" s="45"/>
      <c r="AF194" s="201" t="n">
        <f aca="false">AF179+AB194</f>
        <v>22</v>
      </c>
      <c r="AG194" s="45"/>
      <c r="AH194" s="45"/>
      <c r="AI194" s="177"/>
    </row>
    <row r="195" customFormat="false" ht="17.35" hidden="false" customHeight="false" outlineLevel="0" collapsed="false">
      <c r="A195" s="55"/>
      <c r="B195" s="25"/>
      <c r="C195" s="25"/>
      <c r="D195" s="25"/>
      <c r="E195" s="45"/>
      <c r="F195" s="45"/>
      <c r="G195" s="45"/>
      <c r="H195" s="20"/>
      <c r="J195" s="55"/>
      <c r="K195" s="178"/>
      <c r="L195" s="178"/>
      <c r="M195" s="178"/>
      <c r="N195" s="45"/>
      <c r="O195" s="45"/>
      <c r="P195" s="45"/>
      <c r="Q195" s="20"/>
      <c r="S195" s="55"/>
      <c r="T195" s="178"/>
      <c r="U195" s="178"/>
      <c r="V195" s="178"/>
      <c r="W195" s="45"/>
      <c r="X195" s="178"/>
      <c r="Y195" s="178"/>
      <c r="Z195" s="20"/>
      <c r="AB195" s="55"/>
      <c r="AC195" s="178"/>
      <c r="AD195" s="178"/>
      <c r="AE195" s="178"/>
      <c r="AF195" s="45"/>
      <c r="AG195" s="45"/>
      <c r="AH195" s="45"/>
      <c r="AI195" s="20"/>
    </row>
    <row r="196" customFormat="false" ht="17.35" hidden="false" customHeight="false" outlineLevel="0" collapsed="false">
      <c r="A196" s="55" t="s">
        <v>167</v>
      </c>
      <c r="B196" s="25" t="s">
        <v>168</v>
      </c>
      <c r="C196" s="25"/>
      <c r="D196" s="25"/>
      <c r="E196" s="38" t="s">
        <v>169</v>
      </c>
      <c r="F196" s="45"/>
      <c r="G196" s="45"/>
      <c r="H196" s="20"/>
      <c r="J196" s="55" t="s">
        <v>167</v>
      </c>
      <c r="K196" s="178" t="s">
        <v>168</v>
      </c>
      <c r="L196" s="178"/>
      <c r="M196" s="178"/>
      <c r="N196" s="200" t="s">
        <v>169</v>
      </c>
      <c r="O196" s="45"/>
      <c r="P196" s="45"/>
      <c r="Q196" s="20"/>
      <c r="S196" s="55" t="s">
        <v>167</v>
      </c>
      <c r="T196" s="178" t="s">
        <v>168</v>
      </c>
      <c r="U196" s="178"/>
      <c r="V196" s="178"/>
      <c r="W196" s="200" t="s">
        <v>169</v>
      </c>
      <c r="X196" s="178"/>
      <c r="Y196" s="178"/>
      <c r="Z196" s="20"/>
      <c r="AB196" s="55" t="s">
        <v>167</v>
      </c>
      <c r="AC196" s="178" t="s">
        <v>168</v>
      </c>
      <c r="AD196" s="178"/>
      <c r="AE196" s="178"/>
      <c r="AF196" s="200" t="s">
        <v>169</v>
      </c>
      <c r="AG196" s="178"/>
      <c r="AH196" s="178"/>
      <c r="AI196" s="20"/>
    </row>
    <row r="197" customFormat="false" ht="17.35" hidden="false" customHeight="false" outlineLevel="0" collapsed="false">
      <c r="A197" s="70" t="n">
        <f aca="false">J18*0.000002*100*1.2</f>
        <v>13.8924</v>
      </c>
      <c r="B197" s="37" t="n">
        <f aca="false">(G167*B76)/1.2</f>
        <v>457.2265625</v>
      </c>
      <c r="C197" s="25"/>
      <c r="D197" s="25"/>
      <c r="E197" s="37" t="n">
        <f aca="false">IF(E114="YES",(K55*A117*0.1), 0)</f>
        <v>0</v>
      </c>
      <c r="F197" s="45"/>
      <c r="G197" s="45"/>
      <c r="H197" s="20"/>
      <c r="J197" s="70" t="n">
        <f aca="false">IF(N114="YES", H15*0.000002, 0)</f>
        <v>0.11705</v>
      </c>
      <c r="K197" s="201" t="n">
        <f aca="false">(P167*K76)/1.2</f>
        <v>2255.37760416667</v>
      </c>
      <c r="L197" s="178"/>
      <c r="M197" s="178"/>
      <c r="N197" s="201" t="n">
        <f aca="false">(E40*J117)*0.1</f>
        <v>0</v>
      </c>
      <c r="O197" s="45"/>
      <c r="P197" s="45"/>
      <c r="Q197" s="20"/>
      <c r="S197" s="70" t="n">
        <f aca="false">IF(W114="YES", Z15*0.000002, 0)</f>
        <v>0</v>
      </c>
      <c r="T197" s="201" t="n">
        <f aca="false">(Y167*T76)/1.2</f>
        <v>355.2246015625</v>
      </c>
      <c r="U197" s="178"/>
      <c r="V197" s="178"/>
      <c r="W197" s="201" t="n">
        <f aca="false">(E40*S117)*0.1</f>
        <v>0</v>
      </c>
      <c r="X197" s="178"/>
      <c r="Y197" s="178"/>
      <c r="Z197" s="20"/>
      <c r="AB197" s="70" t="n">
        <f aca="false">IF(AF114="YES", AI15*0.000002, 0)</f>
        <v>0</v>
      </c>
      <c r="AC197" s="201" t="n">
        <f aca="false">(AH167*AC76)/1.2</f>
        <v>355.2246015625</v>
      </c>
      <c r="AD197" s="178"/>
      <c r="AE197" s="178"/>
      <c r="AF197" s="201" t="n">
        <f aca="false">(E40*AB117)*0.1</f>
        <v>0</v>
      </c>
      <c r="AG197" s="178"/>
      <c r="AH197" s="178"/>
      <c r="AI197" s="20"/>
    </row>
    <row r="198" customFormat="false" ht="17.35" hidden="false" customHeight="false" outlineLevel="0" collapsed="false">
      <c r="A198" s="70"/>
      <c r="B198" s="37"/>
      <c r="C198" s="25"/>
      <c r="D198" s="25"/>
      <c r="E198" s="45"/>
      <c r="F198" s="45"/>
      <c r="G198" s="45"/>
      <c r="H198" s="20"/>
      <c r="J198" s="70"/>
      <c r="K198" s="201"/>
      <c r="L198" s="178"/>
      <c r="M198" s="178"/>
      <c r="N198" s="45"/>
      <c r="O198" s="45"/>
      <c r="P198" s="45"/>
      <c r="Q198" s="20"/>
      <c r="S198" s="70"/>
      <c r="T198" s="201"/>
      <c r="U198" s="178"/>
      <c r="V198" s="178"/>
      <c r="W198" s="45"/>
      <c r="X198" s="178"/>
      <c r="Y198" s="178"/>
      <c r="Z198" s="20"/>
      <c r="AB198" s="70"/>
      <c r="AC198" s="201"/>
      <c r="AD198" s="178"/>
      <c r="AE198" s="178"/>
      <c r="AF198" s="45"/>
      <c r="AG198" s="178"/>
      <c r="AH198" s="178"/>
      <c r="AI198" s="20"/>
    </row>
    <row r="199" customFormat="false" ht="17.35" hidden="false" customHeight="false" outlineLevel="0" collapsed="false">
      <c r="A199" s="78" t="s">
        <v>170</v>
      </c>
      <c r="B199" s="38" t="s">
        <v>171</v>
      </c>
      <c r="C199" s="25"/>
      <c r="D199" s="25"/>
      <c r="E199" s="38" t="s">
        <v>172</v>
      </c>
      <c r="F199" s="45"/>
      <c r="G199" s="45"/>
      <c r="H199" s="20"/>
      <c r="J199" s="78" t="s">
        <v>170</v>
      </c>
      <c r="K199" s="200" t="s">
        <v>171</v>
      </c>
      <c r="L199" s="178"/>
      <c r="M199" s="178"/>
      <c r="N199" s="200" t="s">
        <v>172</v>
      </c>
      <c r="O199" s="45"/>
      <c r="P199" s="45"/>
      <c r="Q199" s="20"/>
      <c r="S199" s="78" t="s">
        <v>170</v>
      </c>
      <c r="T199" s="200" t="s">
        <v>171</v>
      </c>
      <c r="U199" s="178"/>
      <c r="V199" s="178"/>
      <c r="W199" s="200" t="s">
        <v>172</v>
      </c>
      <c r="X199" s="178"/>
      <c r="Y199" s="178"/>
      <c r="Z199" s="20"/>
      <c r="AB199" s="78" t="s">
        <v>170</v>
      </c>
      <c r="AC199" s="200" t="s">
        <v>171</v>
      </c>
      <c r="AD199" s="178"/>
      <c r="AE199" s="178"/>
      <c r="AF199" s="200" t="s">
        <v>172</v>
      </c>
      <c r="AG199" s="178"/>
      <c r="AH199" s="178"/>
      <c r="AI199" s="20"/>
    </row>
    <row r="200" customFormat="false" ht="17.35" hidden="false" customHeight="false" outlineLevel="0" collapsed="false">
      <c r="A200" s="70" t="n">
        <f aca="false">(B191/1.2)-100</f>
        <v>99.9916666666667</v>
      </c>
      <c r="B200" s="37" t="n">
        <f aca="false">B197+E197+A200</f>
        <v>557.218229166667</v>
      </c>
      <c r="C200" s="25"/>
      <c r="D200" s="25"/>
      <c r="E200" s="37" t="n">
        <f aca="false">H157</f>
        <v>0</v>
      </c>
      <c r="F200" s="45"/>
      <c r="G200" s="45"/>
      <c r="H200" s="20"/>
      <c r="J200" s="70" t="n">
        <f aca="false">K194-100</f>
        <v>1139.99</v>
      </c>
      <c r="K200" s="201" t="n">
        <f aca="false">K197+N197+J200</f>
        <v>3395.36760416667</v>
      </c>
      <c r="L200" s="178"/>
      <c r="M200" s="178"/>
      <c r="N200" s="201" t="n">
        <f aca="false">Q157</f>
        <v>-21870</v>
      </c>
      <c r="O200" s="45"/>
      <c r="P200" s="45"/>
      <c r="Q200" s="20"/>
      <c r="S200" s="70" t="n">
        <f aca="false">T194-100</f>
        <v>1099.99</v>
      </c>
      <c r="T200" s="201" t="n">
        <f aca="false">T197+W197+S200</f>
        <v>1455.2146015625</v>
      </c>
      <c r="U200" s="178"/>
      <c r="V200" s="178"/>
      <c r="W200" s="201" t="n">
        <f aca="false">Z157</f>
        <v>-14056.251</v>
      </c>
      <c r="X200" s="178"/>
      <c r="Y200" s="178"/>
      <c r="Z200" s="20"/>
      <c r="AB200" s="70" t="n">
        <f aca="false">AC194-100</f>
        <v>1139.99</v>
      </c>
      <c r="AC200" s="201" t="n">
        <f aca="false">AC197+AF197+AB200</f>
        <v>1495.2146015625</v>
      </c>
      <c r="AD200" s="178"/>
      <c r="AE200" s="178"/>
      <c r="AF200" s="201" t="n">
        <f aca="false">AI157</f>
        <v>-14056.251</v>
      </c>
      <c r="AG200" s="178"/>
      <c r="AH200" s="178"/>
      <c r="AI200" s="20"/>
    </row>
    <row r="201" customFormat="false" ht="17.35" hidden="false" customHeight="false" outlineLevel="0" collapsed="false">
      <c r="A201" s="55"/>
      <c r="B201" s="25"/>
      <c r="C201" s="25"/>
      <c r="D201" s="25"/>
      <c r="E201" s="45"/>
      <c r="F201" s="45"/>
      <c r="G201" s="45"/>
      <c r="H201" s="20"/>
      <c r="J201" s="55"/>
      <c r="K201" s="178"/>
      <c r="L201" s="178"/>
      <c r="M201" s="178"/>
      <c r="N201" s="45"/>
      <c r="O201" s="45"/>
      <c r="P201" s="45"/>
      <c r="Q201" s="20"/>
      <c r="S201" s="55"/>
      <c r="T201" s="178"/>
      <c r="U201" s="178"/>
      <c r="V201" s="178"/>
      <c r="W201" s="45"/>
      <c r="X201" s="45"/>
      <c r="Y201" s="45"/>
      <c r="Z201" s="20"/>
      <c r="AB201" s="55"/>
      <c r="AC201" s="178"/>
      <c r="AD201" s="178"/>
      <c r="AE201" s="178"/>
      <c r="AF201" s="45"/>
      <c r="AG201" s="45"/>
      <c r="AH201" s="45"/>
      <c r="AI201" s="20"/>
    </row>
    <row r="202" customFormat="false" ht="17.35" hidden="false" customHeight="false" outlineLevel="0" collapsed="false">
      <c r="A202" s="83" t="s">
        <v>173</v>
      </c>
      <c r="B202" s="25"/>
      <c r="C202" s="25"/>
      <c r="D202" s="84"/>
      <c r="E202" s="84"/>
      <c r="F202" s="84"/>
      <c r="G202" s="84"/>
      <c r="H202" s="85"/>
      <c r="J202" s="83" t="s">
        <v>173</v>
      </c>
      <c r="K202" s="178"/>
      <c r="L202" s="178"/>
      <c r="M202" s="84"/>
      <c r="N202" s="84"/>
      <c r="O202" s="84"/>
      <c r="P202" s="84"/>
      <c r="Q202" s="85"/>
      <c r="S202" s="83" t="s">
        <v>173</v>
      </c>
      <c r="T202" s="178"/>
      <c r="U202" s="178"/>
      <c r="V202" s="84"/>
      <c r="W202" s="84"/>
      <c r="X202" s="84"/>
      <c r="Y202" s="84"/>
      <c r="Z202" s="85"/>
      <c r="AB202" s="83" t="s">
        <v>173</v>
      </c>
      <c r="AC202" s="178"/>
      <c r="AD202" s="178"/>
      <c r="AE202" s="84"/>
      <c r="AF202" s="84"/>
      <c r="AG202" s="84"/>
      <c r="AH202" s="84"/>
      <c r="AI202" s="85"/>
    </row>
    <row r="203" customFormat="false" ht="17.35" hidden="false" customHeight="false" outlineLevel="0" collapsed="false">
      <c r="A203" s="55"/>
      <c r="B203" s="87"/>
      <c r="C203" s="87"/>
      <c r="D203" s="25"/>
      <c r="E203" s="45"/>
      <c r="F203" s="45"/>
      <c r="G203" s="45"/>
      <c r="H203" s="20"/>
      <c r="J203" s="55"/>
      <c r="K203" s="87"/>
      <c r="L203" s="87"/>
      <c r="M203" s="178"/>
      <c r="N203" s="45"/>
      <c r="O203" s="45"/>
      <c r="P203" s="45"/>
      <c r="Q203" s="20"/>
      <c r="S203" s="55"/>
      <c r="T203" s="87"/>
      <c r="U203" s="87"/>
      <c r="V203" s="178"/>
      <c r="W203" s="45"/>
      <c r="X203" s="45"/>
      <c r="Y203" s="45"/>
      <c r="Z203" s="20"/>
      <c r="AB203" s="55"/>
      <c r="AC203" s="87"/>
      <c r="AD203" s="87"/>
      <c r="AE203" s="178"/>
      <c r="AF203" s="45"/>
      <c r="AG203" s="45"/>
      <c r="AH203" s="45"/>
      <c r="AI203" s="20"/>
    </row>
    <row r="204" customFormat="false" ht="19.7" hidden="false" customHeight="false" outlineLevel="0" collapsed="false">
      <c r="A204" s="88" t="s">
        <v>28</v>
      </c>
      <c r="B204" s="89" t="s">
        <v>33</v>
      </c>
      <c r="C204" s="89"/>
      <c r="D204" s="89"/>
      <c r="E204" s="45"/>
      <c r="F204" s="45"/>
      <c r="G204" s="45"/>
      <c r="H204" s="20"/>
      <c r="J204" s="88" t="s">
        <v>28</v>
      </c>
      <c r="K204" s="472" t="s">
        <v>33</v>
      </c>
      <c r="L204" s="472"/>
      <c r="M204" s="472"/>
      <c r="N204" s="45"/>
      <c r="O204" s="45"/>
      <c r="P204" s="45"/>
      <c r="Q204" s="20"/>
      <c r="S204" s="88" t="s">
        <v>28</v>
      </c>
      <c r="T204" s="89" t="s">
        <v>33</v>
      </c>
      <c r="U204" s="89"/>
      <c r="V204" s="89"/>
      <c r="W204" s="45"/>
      <c r="X204" s="45"/>
      <c r="Y204" s="45"/>
      <c r="Z204" s="20"/>
      <c r="AB204" s="88" t="s">
        <v>28</v>
      </c>
      <c r="AC204" s="89" t="s">
        <v>33</v>
      </c>
      <c r="AD204" s="89"/>
      <c r="AE204" s="89"/>
      <c r="AF204" s="45"/>
      <c r="AG204" s="45"/>
      <c r="AH204" s="45"/>
      <c r="AI204" s="20"/>
    </row>
    <row r="205" customFormat="false" ht="19.5" hidden="false" customHeight="true" outlineLevel="0" collapsed="false">
      <c r="A205" s="88"/>
      <c r="B205" s="90" t="str">
        <f aca="false">K30</f>
        <v>5000</v>
      </c>
      <c r="C205" s="90"/>
      <c r="D205" s="90"/>
      <c r="E205" s="45"/>
      <c r="F205" s="45"/>
      <c r="G205" s="45"/>
      <c r="H205" s="20"/>
      <c r="J205" s="88"/>
      <c r="K205" s="473" t="str">
        <f aca="false">K30</f>
        <v>5000</v>
      </c>
      <c r="L205" s="473"/>
      <c r="M205" s="473"/>
      <c r="N205" s="45"/>
      <c r="O205" s="45"/>
      <c r="P205" s="45"/>
      <c r="Q205" s="20"/>
      <c r="S205" s="88"/>
      <c r="T205" s="90" t="str">
        <f aca="false">K30</f>
        <v>5000</v>
      </c>
      <c r="U205" s="90"/>
      <c r="V205" s="90"/>
      <c r="W205" s="45"/>
      <c r="X205" s="45"/>
      <c r="Y205" s="45"/>
      <c r="Z205" s="20"/>
      <c r="AB205" s="88"/>
      <c r="AC205" s="90" t="str">
        <f aca="false">K30</f>
        <v>5000</v>
      </c>
      <c r="AD205" s="90"/>
      <c r="AE205" s="90"/>
      <c r="AF205" s="45"/>
      <c r="AG205" s="45"/>
      <c r="AH205" s="45"/>
      <c r="AI205" s="20"/>
    </row>
    <row r="206" customFormat="false" ht="17.35" hidden="false" customHeight="false" outlineLevel="0" collapsed="false">
      <c r="A206" s="91" t="str">
        <f aca="false">K29</f>
        <v>33</v>
      </c>
      <c r="B206" s="92" t="n">
        <f aca="false">B105</f>
        <v>1639.88541555755</v>
      </c>
      <c r="C206" s="92"/>
      <c r="D206" s="92"/>
      <c r="E206" s="45"/>
      <c r="F206" s="45"/>
      <c r="G206" s="45"/>
      <c r="H206" s="20"/>
      <c r="J206" s="91" t="str">
        <f aca="false">K29</f>
        <v>33</v>
      </c>
      <c r="K206" s="92" t="n">
        <f aca="false">K105</f>
        <v>1569.706327631</v>
      </c>
      <c r="L206" s="92"/>
      <c r="M206" s="92"/>
      <c r="N206" s="45"/>
      <c r="O206" s="45"/>
      <c r="P206" s="45"/>
      <c r="Q206" s="20"/>
      <c r="S206" s="91" t="str">
        <f aca="false">K29</f>
        <v>33</v>
      </c>
      <c r="T206" s="92" t="n">
        <f aca="false">T105</f>
        <v>1674.61110912406</v>
      </c>
      <c r="U206" s="92"/>
      <c r="V206" s="92"/>
      <c r="W206" s="45"/>
      <c r="X206" s="45"/>
      <c r="Y206" s="45"/>
      <c r="Z206" s="20"/>
      <c r="AB206" s="91" t="str">
        <f aca="false">K29</f>
        <v>33</v>
      </c>
      <c r="AC206" s="92" t="n">
        <f aca="false">AC105</f>
        <v>1674.61110912406</v>
      </c>
      <c r="AD206" s="92"/>
      <c r="AE206" s="92"/>
      <c r="AF206" s="45"/>
      <c r="AG206" s="45"/>
      <c r="AH206" s="45"/>
      <c r="AI206" s="20"/>
    </row>
    <row r="207" customFormat="false" ht="17.35" hidden="false" customHeight="false" outlineLevel="0" collapsed="false">
      <c r="A207" s="55"/>
      <c r="B207" s="25"/>
      <c r="C207" s="25"/>
      <c r="D207" s="25"/>
      <c r="E207" s="45"/>
      <c r="F207" s="45"/>
      <c r="G207" s="45"/>
      <c r="H207" s="20"/>
      <c r="J207" s="55"/>
      <c r="K207" s="178"/>
      <c r="L207" s="178"/>
      <c r="M207" s="178"/>
      <c r="N207" s="45"/>
      <c r="O207" s="45"/>
      <c r="P207" s="45"/>
      <c r="Q207" s="20"/>
      <c r="S207" s="55"/>
      <c r="T207" s="178"/>
      <c r="U207" s="178"/>
      <c r="V207" s="178"/>
      <c r="W207" s="45"/>
      <c r="X207" s="45"/>
      <c r="Y207" s="45"/>
      <c r="Z207" s="20"/>
      <c r="AB207" s="55"/>
      <c r="AC207" s="178"/>
      <c r="AD207" s="178"/>
      <c r="AE207" s="178"/>
      <c r="AF207" s="45"/>
      <c r="AG207" s="45"/>
      <c r="AH207" s="45"/>
      <c r="AI207" s="20"/>
    </row>
    <row r="208" customFormat="false" ht="17.35" hidden="false" customHeight="false" outlineLevel="0" collapsed="false">
      <c r="A208" s="55"/>
      <c r="B208" s="25"/>
      <c r="C208" s="25"/>
      <c r="D208" s="25"/>
      <c r="E208" s="45"/>
      <c r="F208" s="45"/>
      <c r="G208" s="45"/>
      <c r="H208" s="20"/>
      <c r="J208" s="55"/>
      <c r="K208" s="178"/>
      <c r="L208" s="178"/>
      <c r="M208" s="178"/>
      <c r="N208" s="45"/>
      <c r="O208" s="45"/>
      <c r="P208" s="45"/>
      <c r="Q208" s="20"/>
      <c r="S208" s="55"/>
      <c r="T208" s="178"/>
      <c r="U208" s="178"/>
      <c r="V208" s="178"/>
      <c r="W208" s="45"/>
      <c r="X208" s="45"/>
      <c r="Y208" s="45"/>
      <c r="Z208" s="20"/>
      <c r="AB208" s="55"/>
      <c r="AC208" s="178"/>
      <c r="AD208" s="178"/>
      <c r="AE208" s="178"/>
      <c r="AF208" s="45"/>
      <c r="AG208" s="45"/>
      <c r="AH208" s="45"/>
      <c r="AI208" s="20"/>
    </row>
    <row r="209" customFormat="false" ht="17.35" hidden="false" customHeight="false" outlineLevel="0" collapsed="false">
      <c r="A209" s="55"/>
      <c r="B209" s="25"/>
      <c r="C209" s="25"/>
      <c r="D209" s="25"/>
      <c r="E209" s="45"/>
      <c r="F209" s="45"/>
      <c r="G209" s="45"/>
      <c r="H209" s="20"/>
      <c r="J209" s="55"/>
      <c r="K209" s="178"/>
      <c r="L209" s="178"/>
      <c r="M209" s="178"/>
      <c r="N209" s="45"/>
      <c r="O209" s="45"/>
      <c r="P209" s="45"/>
      <c r="Q209" s="20"/>
      <c r="S209" s="55"/>
      <c r="T209" s="178"/>
      <c r="U209" s="178"/>
      <c r="V209" s="178"/>
      <c r="W209" s="45"/>
      <c r="X209" s="45"/>
      <c r="Y209" s="45"/>
      <c r="Z209" s="20"/>
      <c r="AB209" s="55"/>
      <c r="AC209" s="178"/>
      <c r="AD209" s="178"/>
      <c r="AE209" s="178"/>
      <c r="AF209" s="45"/>
      <c r="AG209" s="45"/>
      <c r="AH209" s="45"/>
      <c r="AI209" s="20"/>
    </row>
    <row r="210" customFormat="false" ht="17.35" hidden="false" customHeight="false" outlineLevel="0" collapsed="false">
      <c r="A210" s="55"/>
      <c r="B210" s="25"/>
      <c r="C210" s="25"/>
      <c r="D210" s="25"/>
      <c r="E210" s="45"/>
      <c r="F210" s="45"/>
      <c r="G210" s="45"/>
      <c r="H210" s="20"/>
      <c r="J210" s="55"/>
      <c r="K210" s="178"/>
      <c r="L210" s="178"/>
      <c r="M210" s="178"/>
      <c r="N210" s="45"/>
      <c r="O210" s="45"/>
      <c r="P210" s="45"/>
      <c r="Q210" s="20"/>
      <c r="S210" s="55"/>
      <c r="T210" s="178"/>
      <c r="U210" s="178"/>
      <c r="V210" s="178"/>
      <c r="W210" s="45"/>
      <c r="X210" s="45"/>
      <c r="Y210" s="45"/>
      <c r="Z210" s="20"/>
      <c r="AB210" s="55"/>
      <c r="AC210" s="178"/>
      <c r="AD210" s="178"/>
      <c r="AE210" s="178"/>
      <c r="AF210" s="45"/>
      <c r="AG210" s="45"/>
      <c r="AH210" s="45"/>
      <c r="AI210" s="20"/>
    </row>
    <row r="211" customFormat="false" ht="17.35" hidden="false" customHeight="false" outlineLevel="0" collapsed="false">
      <c r="A211" s="74"/>
      <c r="B211" s="75"/>
      <c r="C211" s="75"/>
      <c r="D211" s="75"/>
      <c r="E211" s="75"/>
      <c r="F211" s="75"/>
      <c r="G211" s="75"/>
      <c r="H211" s="82"/>
      <c r="J211" s="74"/>
      <c r="K211" s="75"/>
      <c r="L211" s="75"/>
      <c r="M211" s="75"/>
      <c r="N211" s="75"/>
      <c r="O211" s="75"/>
      <c r="P211" s="75"/>
      <c r="Q211" s="82"/>
      <c r="S211" s="74"/>
      <c r="T211" s="75"/>
      <c r="U211" s="75"/>
      <c r="V211" s="75"/>
      <c r="W211" s="75"/>
      <c r="X211" s="75"/>
      <c r="Y211" s="75"/>
      <c r="Z211" s="82"/>
      <c r="AB211" s="74"/>
      <c r="AC211" s="75"/>
      <c r="AD211" s="75"/>
      <c r="AE211" s="75"/>
      <c r="AF211" s="75"/>
      <c r="AG211" s="75"/>
      <c r="AH211" s="75"/>
      <c r="AI211" s="82"/>
    </row>
    <row r="215" customFormat="false" ht="22.05" hidden="false" customHeight="false" outlineLevel="0" collapsed="false">
      <c r="A215" s="179" t="s">
        <v>153</v>
      </c>
      <c r="B215" s="179"/>
      <c r="C215" s="179"/>
      <c r="D215" s="179"/>
      <c r="E215" s="179"/>
      <c r="F215" s="179"/>
      <c r="G215" s="179"/>
      <c r="H215" s="179"/>
    </row>
    <row r="216" customFormat="false" ht="17.35" hidden="false" customHeight="false" outlineLevel="0" collapsed="false">
      <c r="A216" s="55"/>
      <c r="B216" s="25"/>
      <c r="C216" s="25"/>
      <c r="D216" s="25"/>
      <c r="E216" s="94"/>
      <c r="F216" s="94"/>
      <c r="G216" s="94"/>
      <c r="H216" s="20"/>
    </row>
    <row r="217" customFormat="false" ht="17.35" hidden="false" customHeight="false" outlineLevel="0" collapsed="false">
      <c r="A217" s="180" t="s">
        <v>98</v>
      </c>
      <c r="B217" s="181" t="s">
        <v>174</v>
      </c>
      <c r="C217" s="181"/>
      <c r="D217" s="181"/>
      <c r="E217" s="181" t="s">
        <v>175</v>
      </c>
      <c r="F217" s="182"/>
      <c r="G217" s="94"/>
      <c r="H217" s="20"/>
    </row>
    <row r="218" customFormat="false" ht="17.35" hidden="false" customHeight="false" outlineLevel="0" collapsed="false">
      <c r="A218" s="183" t="s">
        <v>176</v>
      </c>
      <c r="B218" s="170" t="str">
        <f aca="false">A206</f>
        <v>33</v>
      </c>
      <c r="C218" s="170"/>
      <c r="D218" s="170"/>
      <c r="E218" s="170" t="str">
        <f aca="false">B205</f>
        <v>5000</v>
      </c>
      <c r="F218" s="182"/>
      <c r="G218" s="94"/>
      <c r="H218" s="20"/>
    </row>
    <row r="219" customFormat="false" ht="17.35" hidden="false" customHeight="false" outlineLevel="0" collapsed="false">
      <c r="A219" s="55"/>
      <c r="B219" s="25"/>
      <c r="C219" s="25"/>
      <c r="D219" s="25"/>
      <c r="E219" s="94"/>
      <c r="F219" s="94"/>
      <c r="G219" s="94"/>
      <c r="H219" s="20"/>
    </row>
    <row r="220" customFormat="false" ht="17.35" hidden="false" customHeight="false" outlineLevel="0" collapsed="false">
      <c r="A220" s="180" t="s">
        <v>154</v>
      </c>
      <c r="B220" s="181" t="s">
        <v>155</v>
      </c>
      <c r="C220" s="181"/>
      <c r="D220" s="181"/>
      <c r="E220" s="181" t="s">
        <v>156</v>
      </c>
      <c r="F220" s="94"/>
      <c r="G220" s="94"/>
      <c r="H220" s="20"/>
    </row>
    <row r="221" customFormat="false" ht="17.35" hidden="false" customHeight="false" outlineLevel="0" collapsed="false">
      <c r="A221" s="173" t="n">
        <f aca="false">A176</f>
        <v>1639.88541555755</v>
      </c>
      <c r="B221" s="172" t="n">
        <f aca="false">B176</f>
        <v>0</v>
      </c>
      <c r="C221" s="170"/>
      <c r="D221" s="170"/>
      <c r="E221" s="172" t="n">
        <f aca="false">E176</f>
        <v>1639.88541555755</v>
      </c>
      <c r="F221" s="94"/>
      <c r="G221" s="94"/>
      <c r="H221" s="20"/>
    </row>
    <row r="222" customFormat="false" ht="17.35" hidden="false" customHeight="false" outlineLevel="0" collapsed="false">
      <c r="A222" s="55"/>
      <c r="B222" s="25"/>
      <c r="C222" s="25"/>
      <c r="D222" s="25"/>
      <c r="E222" s="94"/>
      <c r="F222" s="94"/>
      <c r="G222" s="94"/>
      <c r="H222" s="20"/>
    </row>
    <row r="223" customFormat="false" ht="17.35" hidden="false" customHeight="false" outlineLevel="0" collapsed="false">
      <c r="A223" s="55" t="s">
        <v>158</v>
      </c>
      <c r="B223" s="25" t="s">
        <v>159</v>
      </c>
      <c r="C223" s="25"/>
      <c r="D223" s="94"/>
      <c r="E223" s="25" t="s">
        <v>160</v>
      </c>
      <c r="F223" s="94"/>
      <c r="G223" s="94"/>
      <c r="H223" s="20"/>
    </row>
    <row r="224" customFormat="false" ht="17.35" hidden="false" customHeight="false" outlineLevel="0" collapsed="false">
      <c r="A224" s="69" t="n">
        <f aca="false">A182</f>
        <v>48237.5</v>
      </c>
      <c r="B224" s="37" t="n">
        <f aca="false">B182</f>
        <v>9647.5</v>
      </c>
      <c r="C224" s="67"/>
      <c r="D224" s="94"/>
      <c r="E224" s="73" t="n">
        <f aca="false">E182</f>
        <v>640</v>
      </c>
      <c r="F224" s="94"/>
      <c r="G224" s="94"/>
      <c r="H224" s="20"/>
    </row>
    <row r="225" customFormat="false" ht="17.35" hidden="false" customHeight="false" outlineLevel="0" collapsed="false">
      <c r="A225" s="55"/>
      <c r="B225" s="25"/>
      <c r="C225" s="25"/>
      <c r="D225" s="94"/>
      <c r="E225" s="25"/>
      <c r="F225" s="94"/>
      <c r="G225" s="94"/>
      <c r="H225" s="20"/>
    </row>
    <row r="226" customFormat="false" ht="17.35" hidden="false" customHeight="false" outlineLevel="0" collapsed="false">
      <c r="A226" s="55" t="s">
        <v>161</v>
      </c>
      <c r="B226" s="25" t="s">
        <v>108</v>
      </c>
      <c r="C226" s="25"/>
      <c r="D226" s="94"/>
      <c r="E226" s="25" t="s">
        <v>109</v>
      </c>
      <c r="F226" s="94"/>
      <c r="G226" s="94"/>
      <c r="H226" s="20"/>
    </row>
    <row r="227" customFormat="false" ht="17.35" hidden="false" customHeight="false" outlineLevel="0" collapsed="false">
      <c r="A227" s="69" t="n">
        <f aca="false">A185</f>
        <v>58525</v>
      </c>
      <c r="B227" s="37" t="n">
        <f aca="false">B185</f>
        <v>0</v>
      </c>
      <c r="C227" s="37"/>
      <c r="D227" s="94"/>
      <c r="E227" s="37" t="n">
        <f aca="false">E185</f>
        <v>0</v>
      </c>
      <c r="F227" s="94"/>
      <c r="G227" s="94"/>
      <c r="H227" s="177"/>
    </row>
    <row r="228" customFormat="false" ht="17.35" hidden="false" customHeight="false" outlineLevel="0" collapsed="false">
      <c r="A228" s="55"/>
      <c r="B228" s="25"/>
      <c r="C228" s="25"/>
      <c r="D228" s="94"/>
      <c r="E228" s="25"/>
      <c r="F228" s="94"/>
      <c r="G228" s="94"/>
      <c r="H228" s="20"/>
    </row>
    <row r="229" customFormat="false" ht="17.35" hidden="false" customHeight="false" outlineLevel="0" collapsed="false">
      <c r="A229" s="55" t="s">
        <v>110</v>
      </c>
      <c r="B229" s="25" t="s">
        <v>146</v>
      </c>
      <c r="C229" s="25"/>
      <c r="D229" s="94"/>
      <c r="E229" s="25" t="s">
        <v>151</v>
      </c>
      <c r="F229" s="94"/>
      <c r="G229" s="94"/>
      <c r="H229" s="20"/>
    </row>
    <row r="230" customFormat="false" ht="17.35" hidden="false" customHeight="false" outlineLevel="0" collapsed="false">
      <c r="A230" s="70" t="n">
        <f aca="false">A188</f>
        <v>0</v>
      </c>
      <c r="B230" s="37" t="n">
        <f aca="false">B188</f>
        <v>0</v>
      </c>
      <c r="C230" s="37"/>
      <c r="D230" s="94"/>
      <c r="E230" s="37" t="n">
        <f aca="false">E188</f>
        <v>58525</v>
      </c>
      <c r="F230" s="94"/>
      <c r="G230" s="94"/>
      <c r="H230" s="177"/>
    </row>
    <row r="231" customFormat="false" ht="17.35" hidden="false" customHeight="false" outlineLevel="0" collapsed="false">
      <c r="A231" s="55"/>
      <c r="B231" s="25"/>
      <c r="C231" s="25"/>
      <c r="D231" s="94"/>
      <c r="E231" s="25"/>
      <c r="F231" s="94"/>
      <c r="G231" s="94"/>
      <c r="H231" s="20"/>
    </row>
    <row r="232" customFormat="false" ht="17.35" hidden="false" customHeight="false" outlineLevel="0" collapsed="false">
      <c r="A232" s="55" t="s">
        <v>162</v>
      </c>
      <c r="B232" s="25" t="s">
        <v>152</v>
      </c>
      <c r="C232" s="25"/>
      <c r="D232" s="94"/>
      <c r="E232" s="25" t="s">
        <v>163</v>
      </c>
      <c r="F232" s="94"/>
      <c r="G232" s="94"/>
      <c r="H232" s="20"/>
    </row>
    <row r="233" customFormat="false" ht="17.35" hidden="false" customHeight="false" outlineLevel="0" collapsed="false">
      <c r="A233" s="70" t="n">
        <f aca="false">A191</f>
        <v>-48.666702158509</v>
      </c>
      <c r="B233" s="37" t="str">
        <f aca="false">B191</f>
        <v>239.99</v>
      </c>
      <c r="C233" s="37"/>
      <c r="D233" s="94"/>
      <c r="E233" s="37" t="n">
        <f aca="false">E191</f>
        <v>58726.3232978415</v>
      </c>
      <c r="F233" s="94"/>
      <c r="G233" s="94"/>
      <c r="H233" s="177"/>
    </row>
    <row r="234" customFormat="false" ht="17.35" hidden="false" customHeight="false" outlineLevel="0" collapsed="false">
      <c r="A234" s="55"/>
      <c r="B234" s="25"/>
      <c r="C234" s="25"/>
      <c r="D234" s="94"/>
      <c r="E234" s="25"/>
      <c r="F234" s="94"/>
      <c r="G234" s="94"/>
      <c r="H234" s="20"/>
    </row>
    <row r="235" customFormat="false" ht="17.35" hidden="false" customHeight="false" outlineLevel="0" collapsed="false">
      <c r="A235" s="55" t="s">
        <v>164</v>
      </c>
      <c r="B235" s="25" t="s">
        <v>165</v>
      </c>
      <c r="C235" s="25"/>
      <c r="D235" s="94"/>
      <c r="E235" s="25" t="s">
        <v>177</v>
      </c>
      <c r="F235" s="94"/>
      <c r="G235" s="94"/>
      <c r="H235" s="20"/>
    </row>
    <row r="236" customFormat="false" ht="17.35" hidden="false" customHeight="false" outlineLevel="0" collapsed="false">
      <c r="A236" s="70" t="n">
        <f aca="false">A194</f>
        <v>10</v>
      </c>
      <c r="B236" s="37" t="n">
        <f aca="false">B194</f>
        <v>239.99</v>
      </c>
      <c r="C236" s="37"/>
      <c r="D236" s="94"/>
      <c r="E236" s="37" t="n">
        <f aca="false">B68</f>
        <v>32</v>
      </c>
      <c r="F236" s="94"/>
      <c r="G236" s="94"/>
      <c r="H236" s="177"/>
    </row>
    <row r="237" customFormat="false" ht="17.35" hidden="false" customHeight="false" outlineLevel="0" collapsed="false">
      <c r="A237" s="55"/>
      <c r="B237" s="25"/>
      <c r="C237" s="25"/>
      <c r="D237" s="25"/>
      <c r="E237" s="94"/>
      <c r="F237" s="94"/>
      <c r="G237" s="94"/>
      <c r="H237" s="20"/>
    </row>
    <row r="238" customFormat="false" ht="17.35" hidden="false" customHeight="false" outlineLevel="0" collapsed="false">
      <c r="A238" s="55" t="s">
        <v>154</v>
      </c>
      <c r="B238" s="25" t="s">
        <v>155</v>
      </c>
      <c r="C238" s="25"/>
      <c r="D238" s="25"/>
      <c r="E238" s="25" t="s">
        <v>156</v>
      </c>
      <c r="F238" s="94"/>
      <c r="G238" s="94"/>
      <c r="H238" s="20"/>
    </row>
    <row r="239" customFormat="false" ht="17.35" hidden="false" customHeight="false" outlineLevel="0" collapsed="false">
      <c r="A239" s="70" t="n">
        <f aca="false">A176</f>
        <v>1639.88541555755</v>
      </c>
      <c r="B239" s="37" t="n">
        <f aca="false">B176</f>
        <v>0</v>
      </c>
      <c r="C239" s="67"/>
      <c r="D239" s="67"/>
      <c r="E239" s="37" t="n">
        <f aca="false">E176</f>
        <v>1639.88541555755</v>
      </c>
      <c r="F239" s="94"/>
      <c r="G239" s="94"/>
      <c r="H239" s="20"/>
    </row>
    <row r="240" customFormat="false" ht="17.35" hidden="false" customHeight="false" outlineLevel="0" collapsed="false">
      <c r="A240" s="55"/>
      <c r="B240" s="25"/>
      <c r="C240" s="25"/>
      <c r="D240" s="25"/>
      <c r="E240" s="94"/>
      <c r="F240" s="94"/>
      <c r="G240" s="94"/>
      <c r="H240" s="20"/>
    </row>
    <row r="241" customFormat="false" ht="17.35" hidden="false" customHeight="false" outlineLevel="0" collapsed="false">
      <c r="A241" s="55" t="s">
        <v>178</v>
      </c>
      <c r="B241" s="25" t="s">
        <v>179</v>
      </c>
      <c r="C241" s="25"/>
      <c r="D241" s="25"/>
      <c r="E241" s="25" t="s">
        <v>180</v>
      </c>
      <c r="F241" s="94"/>
      <c r="G241" s="94"/>
      <c r="H241" s="20"/>
    </row>
    <row r="242" customFormat="false" ht="17.35" hidden="false" customHeight="false" outlineLevel="0" collapsed="false">
      <c r="A242" s="70" t="n">
        <f aca="false">E179</f>
        <v>6000</v>
      </c>
      <c r="B242" s="37" t="n">
        <f aca="false">E194</f>
        <v>6010</v>
      </c>
      <c r="C242" s="25"/>
      <c r="D242" s="25"/>
      <c r="E242" s="37" t="n">
        <f aca="false">J18*0.000006*100*1.2</f>
        <v>41.6772</v>
      </c>
      <c r="F242" s="94"/>
      <c r="G242" s="94"/>
      <c r="H242" s="20"/>
    </row>
    <row r="243" customFormat="false" ht="17.35" hidden="false" customHeight="false" outlineLevel="0" collapsed="false">
      <c r="A243" s="70"/>
      <c r="B243" s="37"/>
      <c r="C243" s="25"/>
      <c r="D243" s="25"/>
      <c r="E243" s="37"/>
      <c r="F243" s="94"/>
      <c r="G243" s="94"/>
      <c r="H243" s="20"/>
    </row>
    <row r="244" customFormat="false" ht="17.35" hidden="false" customHeight="false" outlineLevel="0" collapsed="false">
      <c r="A244" s="78" t="s">
        <v>181</v>
      </c>
      <c r="B244" s="38" t="s">
        <v>182</v>
      </c>
      <c r="C244" s="25"/>
      <c r="D244" s="25"/>
      <c r="E244" s="38" t="s">
        <v>102</v>
      </c>
      <c r="F244" s="94"/>
      <c r="G244" s="94"/>
      <c r="H244" s="20"/>
    </row>
    <row r="245" customFormat="false" ht="17.35" hidden="false" customHeight="false" outlineLevel="0" collapsed="false">
      <c r="A245" s="70" t="n">
        <f aca="false">A197</f>
        <v>13.8924</v>
      </c>
      <c r="B245" s="37" t="n">
        <f aca="false">E242+A245</f>
        <v>55.5696</v>
      </c>
      <c r="C245" s="25"/>
      <c r="D245" s="25"/>
      <c r="E245" s="37"/>
      <c r="F245" s="94"/>
      <c r="G245" s="94"/>
      <c r="H245" s="20"/>
    </row>
    <row r="246" customFormat="false" ht="17.35" hidden="false" customHeight="false" outlineLevel="0" collapsed="false">
      <c r="A246" s="70"/>
      <c r="B246" s="37"/>
      <c r="C246" s="25"/>
      <c r="D246" s="25"/>
      <c r="E246" s="37"/>
      <c r="F246" s="94"/>
      <c r="G246" s="94"/>
      <c r="H246" s="20"/>
    </row>
    <row r="247" customFormat="false" ht="22.05" hidden="false" customHeight="false" outlineLevel="0" collapsed="false">
      <c r="A247" s="184" t="s">
        <v>183</v>
      </c>
      <c r="B247" s="184"/>
      <c r="C247" s="184"/>
      <c r="D247" s="184"/>
      <c r="E247" s="184"/>
      <c r="F247" s="184"/>
      <c r="G247" s="184"/>
      <c r="H247" s="184"/>
    </row>
    <row r="248" customFormat="false" ht="17.35" hidden="false" customHeight="false" outlineLevel="0" collapsed="false">
      <c r="A248" s="55" t="s">
        <v>184</v>
      </c>
      <c r="B248" s="25" t="s">
        <v>168</v>
      </c>
      <c r="C248" s="25"/>
      <c r="D248" s="25"/>
      <c r="E248" s="38" t="s">
        <v>169</v>
      </c>
      <c r="F248" s="94"/>
      <c r="G248" s="94"/>
      <c r="H248" s="20"/>
    </row>
    <row r="249" customFormat="false" ht="17.35" hidden="false" customHeight="false" outlineLevel="0" collapsed="false">
      <c r="A249" s="70" t="n">
        <f aca="false">H157</f>
        <v>0</v>
      </c>
      <c r="B249" s="37" t="n">
        <f aca="false">B197</f>
        <v>457.2265625</v>
      </c>
      <c r="C249" s="25"/>
      <c r="D249" s="25"/>
      <c r="E249" s="37" t="n">
        <f aca="false">E197</f>
        <v>0</v>
      </c>
      <c r="F249" s="94"/>
      <c r="G249" s="94"/>
      <c r="H249" s="20"/>
    </row>
    <row r="250" customFormat="false" ht="17.35" hidden="false" customHeight="false" outlineLevel="0" collapsed="false">
      <c r="A250" s="70"/>
      <c r="B250" s="37"/>
      <c r="C250" s="25"/>
      <c r="D250" s="25"/>
      <c r="E250" s="94"/>
      <c r="F250" s="94"/>
      <c r="G250" s="94"/>
      <c r="H250" s="20"/>
    </row>
    <row r="251" customFormat="false" ht="17.35" hidden="false" customHeight="false" outlineLevel="0" collapsed="false">
      <c r="A251" s="78" t="s">
        <v>170</v>
      </c>
      <c r="B251" s="38" t="s">
        <v>171</v>
      </c>
      <c r="C251" s="25"/>
      <c r="D251" s="25"/>
      <c r="E251" s="38"/>
      <c r="F251" s="94"/>
      <c r="G251" s="94"/>
      <c r="H251" s="20"/>
    </row>
    <row r="252" customFormat="false" ht="17.35" hidden="false" customHeight="false" outlineLevel="0" collapsed="false">
      <c r="A252" s="70" t="n">
        <f aca="false">A200</f>
        <v>99.9916666666667</v>
      </c>
      <c r="B252" s="37" t="n">
        <f aca="false">B249+E249+A252+A249</f>
        <v>557.218229166667</v>
      </c>
      <c r="C252" s="25"/>
      <c r="D252" s="25"/>
      <c r="E252" s="37"/>
      <c r="F252" s="94"/>
      <c r="G252" s="94"/>
      <c r="H252" s="20"/>
    </row>
    <row r="253" customFormat="false" ht="17.35" hidden="false" customHeight="false" outlineLevel="0" collapsed="false">
      <c r="A253" s="55"/>
      <c r="B253" s="25"/>
      <c r="C253" s="25"/>
      <c r="D253" s="25"/>
      <c r="E253" s="94"/>
      <c r="F253" s="94"/>
      <c r="G253" s="94"/>
      <c r="H253" s="20"/>
    </row>
    <row r="254" customFormat="false" ht="17.35" hidden="false" customHeight="false" outlineLevel="0" collapsed="false">
      <c r="A254" s="74"/>
      <c r="B254" s="75"/>
      <c r="C254" s="75"/>
      <c r="D254" s="75"/>
      <c r="E254" s="75"/>
      <c r="F254" s="75"/>
      <c r="G254" s="75"/>
      <c r="H254" s="82"/>
    </row>
    <row r="260" customFormat="false" ht="22.05" hidden="false" customHeight="false" outlineLevel="0" collapsed="false">
      <c r="A260" s="179" t="s">
        <v>185</v>
      </c>
      <c r="B260" s="179"/>
      <c r="C260" s="179"/>
      <c r="D260" s="179"/>
      <c r="E260" s="179"/>
      <c r="F260" s="179"/>
      <c r="G260" s="179"/>
      <c r="H260" s="179"/>
    </row>
    <row r="261" customFormat="false" ht="17.35" hidden="false" customHeight="false" outlineLevel="0" collapsed="false">
      <c r="A261" s="55"/>
      <c r="B261" s="178"/>
      <c r="C261" s="178"/>
      <c r="D261" s="178"/>
      <c r="E261" s="45"/>
      <c r="F261" s="45"/>
      <c r="G261" s="45"/>
      <c r="H261" s="20"/>
    </row>
    <row r="262" customFormat="false" ht="17.35" hidden="false" customHeight="false" outlineLevel="0" collapsed="false">
      <c r="A262" s="180" t="s">
        <v>186</v>
      </c>
      <c r="B262" s="185" t="n">
        <f aca="false">B72</f>
        <v>0.065</v>
      </c>
      <c r="C262" s="186"/>
      <c r="D262" s="187" t="s">
        <v>187</v>
      </c>
      <c r="E262" s="187"/>
      <c r="F262" s="185" t="n">
        <f aca="false">B92</f>
        <v>0.137</v>
      </c>
      <c r="G262" s="45"/>
      <c r="H262" s="20"/>
    </row>
    <row r="263" customFormat="false" ht="17.35" hidden="false" customHeight="false" outlineLevel="0" collapsed="false">
      <c r="A263" s="180" t="s">
        <v>188</v>
      </c>
      <c r="B263" s="188"/>
      <c r="C263" s="186"/>
      <c r="D263" s="187" t="s">
        <v>189</v>
      </c>
      <c r="E263" s="187"/>
      <c r="F263" s="188" t="n">
        <f aca="false">F270+F276+F278+B279+B280</f>
        <v>548.671875</v>
      </c>
      <c r="G263" s="45"/>
      <c r="H263" s="20"/>
    </row>
    <row r="264" customFormat="false" ht="17.35" hidden="false" customHeight="false" outlineLevel="0" collapsed="false">
      <c r="A264" s="180" t="s">
        <v>190</v>
      </c>
      <c r="B264" s="188" t="n">
        <f aca="false">F271+B272</f>
        <v>99.9916666666667</v>
      </c>
      <c r="C264" s="186"/>
      <c r="D264" s="187" t="s">
        <v>191</v>
      </c>
      <c r="E264" s="187"/>
      <c r="F264" s="188" t="n">
        <f aca="false">(B263-F263)+B264</f>
        <v>-448.680208333333</v>
      </c>
      <c r="G264" s="45"/>
      <c r="H264" s="20"/>
    </row>
    <row r="265" customFormat="false" ht="17.35" hidden="false" customHeight="false" outlineLevel="0" collapsed="false">
      <c r="A265" s="189"/>
      <c r="B265" s="187"/>
      <c r="C265" s="190"/>
      <c r="D265" s="190"/>
      <c r="E265" s="190"/>
      <c r="F265" s="190"/>
      <c r="G265" s="191"/>
      <c r="H265" s="192"/>
    </row>
    <row r="266" customFormat="false" ht="17.35" hidden="false" customHeight="false" outlineLevel="0" collapsed="false">
      <c r="A266" s="55" t="s">
        <v>186</v>
      </c>
      <c r="B266" s="193" t="n">
        <f aca="false">B262</f>
        <v>0.065</v>
      </c>
      <c r="C266" s="186"/>
      <c r="D266" s="186"/>
      <c r="E266" s="186"/>
      <c r="F266" s="186"/>
      <c r="G266" s="45"/>
      <c r="H266" s="20"/>
    </row>
    <row r="267" customFormat="false" ht="17.35" hidden="false" customHeight="false" outlineLevel="0" collapsed="false">
      <c r="A267" s="194"/>
      <c r="B267" s="195"/>
      <c r="C267" s="196"/>
      <c r="D267" s="196"/>
      <c r="E267" s="191"/>
      <c r="F267" s="191"/>
      <c r="G267" s="191"/>
      <c r="H267" s="192"/>
    </row>
    <row r="268" customFormat="false" ht="17.35" hidden="false" customHeight="false" outlineLevel="0" collapsed="false">
      <c r="A268" s="55" t="s">
        <v>192</v>
      </c>
      <c r="B268" s="193" t="n">
        <f aca="false">B73</f>
        <v>0.072</v>
      </c>
      <c r="C268" s="178"/>
      <c r="D268" s="38" t="s">
        <v>193</v>
      </c>
      <c r="E268" s="38"/>
      <c r="F268" s="193" t="n">
        <v>0</v>
      </c>
      <c r="G268" s="45"/>
      <c r="H268" s="20"/>
    </row>
    <row r="269" customFormat="false" ht="17.35" hidden="false" customHeight="false" outlineLevel="0" collapsed="false">
      <c r="A269" s="123" t="s">
        <v>187</v>
      </c>
      <c r="B269" s="197" t="n">
        <f aca="false">B92</f>
        <v>0.137</v>
      </c>
      <c r="C269" s="198"/>
      <c r="D269" s="38" t="s">
        <v>188</v>
      </c>
      <c r="E269" s="38"/>
      <c r="F269" s="199" t="n">
        <f aca="false">(B98*B68)-(C98*B68)</f>
        <v>52476.3332978415</v>
      </c>
      <c r="G269" s="45"/>
      <c r="H269" s="20"/>
    </row>
    <row r="270" customFormat="false" ht="17.35" hidden="false" customHeight="false" outlineLevel="0" collapsed="false">
      <c r="A270" s="55" t="s">
        <v>194</v>
      </c>
      <c r="B270" s="197" t="n">
        <f aca="false">B76</f>
        <v>0.009375</v>
      </c>
      <c r="C270" s="178"/>
      <c r="D270" s="38" t="s">
        <v>194</v>
      </c>
      <c r="E270" s="38"/>
      <c r="F270" s="152" t="n">
        <f aca="false">B77</f>
        <v>548.671875</v>
      </c>
      <c r="G270" s="45"/>
      <c r="H270" s="20"/>
    </row>
    <row r="271" customFormat="false" ht="17.35" hidden="false" customHeight="false" outlineLevel="0" collapsed="false">
      <c r="A271" s="55" t="s">
        <v>195</v>
      </c>
      <c r="B271" s="193" t="n">
        <f aca="false">A117</f>
        <v>0.2</v>
      </c>
      <c r="C271" s="178"/>
      <c r="D271" s="38" t="s">
        <v>195</v>
      </c>
      <c r="E271" s="38"/>
      <c r="F271" s="199" t="n">
        <f aca="false">E249*10</f>
        <v>0</v>
      </c>
      <c r="G271" s="45"/>
      <c r="H271" s="20"/>
    </row>
    <row r="272" customFormat="false" ht="17.35" hidden="false" customHeight="false" outlineLevel="0" collapsed="false">
      <c r="A272" s="55" t="s">
        <v>196</v>
      </c>
      <c r="B272" s="199" t="n">
        <f aca="false">A252</f>
        <v>99.9916666666667</v>
      </c>
      <c r="C272" s="178"/>
      <c r="D272" s="200" t="s">
        <v>191</v>
      </c>
      <c r="E272" s="200"/>
      <c r="F272" s="199" t="n">
        <f aca="false">(B263-F263)+B264</f>
        <v>-448.680208333333</v>
      </c>
      <c r="G272" s="45"/>
      <c r="H272" s="20"/>
    </row>
    <row r="273" customFormat="false" ht="17.35" hidden="false" customHeight="false" outlineLevel="0" collapsed="false">
      <c r="A273" s="70"/>
      <c r="B273" s="201"/>
      <c r="C273" s="178"/>
      <c r="D273" s="178"/>
      <c r="E273" s="201"/>
      <c r="F273" s="45"/>
      <c r="G273" s="45"/>
      <c r="H273" s="20"/>
    </row>
    <row r="274" customFormat="false" ht="22.05" hidden="false" customHeight="false" outlineLevel="0" collapsed="false">
      <c r="A274" s="184" t="s">
        <v>197</v>
      </c>
      <c r="B274" s="184"/>
      <c r="C274" s="184"/>
      <c r="D274" s="184"/>
      <c r="E274" s="184"/>
      <c r="F274" s="184"/>
      <c r="G274" s="184"/>
      <c r="H274" s="184"/>
    </row>
    <row r="275" customFormat="false" ht="17.35" hidden="false" customHeight="false" outlineLevel="0" collapsed="false">
      <c r="A275" s="55" t="s">
        <v>198</v>
      </c>
      <c r="B275" s="152" t="n">
        <v>0</v>
      </c>
      <c r="C275" s="178"/>
      <c r="D275" s="202" t="s">
        <v>199</v>
      </c>
      <c r="E275" s="202"/>
      <c r="F275" s="152" t="n">
        <v>0</v>
      </c>
      <c r="G275" s="45"/>
      <c r="H275" s="20"/>
    </row>
    <row r="276" customFormat="false" ht="17.35" hidden="false" customHeight="false" outlineLevel="0" collapsed="false">
      <c r="A276" s="70"/>
      <c r="B276" s="199"/>
      <c r="C276" s="178"/>
      <c r="D276" s="38" t="s">
        <v>200</v>
      </c>
      <c r="E276" s="38"/>
      <c r="F276" s="199" t="n">
        <f aca="false">B275+F275*B218</f>
        <v>0</v>
      </c>
      <c r="G276" s="45"/>
      <c r="H276" s="20"/>
    </row>
    <row r="277" customFormat="false" ht="17.35" hidden="false" customHeight="false" outlineLevel="0" collapsed="false">
      <c r="A277" s="78" t="s">
        <v>201</v>
      </c>
      <c r="B277" s="203" t="s">
        <v>4</v>
      </c>
      <c r="C277" s="178"/>
      <c r="D277" s="38" t="s">
        <v>202</v>
      </c>
      <c r="E277" s="38"/>
      <c r="F277" s="203" t="n">
        <f aca="false">B79</f>
        <v>0</v>
      </c>
      <c r="G277" s="45"/>
      <c r="H277" s="20"/>
    </row>
    <row r="278" customFormat="false" ht="17.35" hidden="false" customHeight="false" outlineLevel="0" collapsed="false">
      <c r="A278" s="78"/>
      <c r="B278" s="204"/>
      <c r="C278" s="178"/>
      <c r="D278" s="38" t="s">
        <v>203</v>
      </c>
      <c r="E278" s="38"/>
      <c r="F278" s="199" t="n">
        <f aca="false">B100</f>
        <v>0</v>
      </c>
      <c r="G278" s="45"/>
      <c r="H278" s="20"/>
    </row>
    <row r="279" customFormat="false" ht="17.35" hidden="false" customHeight="false" outlineLevel="0" collapsed="false">
      <c r="A279" s="78" t="s">
        <v>204</v>
      </c>
      <c r="B279" s="152" t="n">
        <v>0</v>
      </c>
      <c r="C279" s="178"/>
      <c r="D279" s="178"/>
      <c r="E279" s="201"/>
      <c r="F279" s="45"/>
      <c r="G279" s="45"/>
      <c r="H279" s="20"/>
    </row>
    <row r="280" customFormat="false" ht="17.35" hidden="false" customHeight="false" outlineLevel="0" collapsed="false">
      <c r="A280" s="55" t="s">
        <v>205</v>
      </c>
      <c r="B280" s="152" t="n">
        <v>0</v>
      </c>
      <c r="C280" s="178"/>
      <c r="D280" s="178"/>
      <c r="E280" s="45"/>
      <c r="F280" s="45"/>
      <c r="G280" s="45"/>
      <c r="H280" s="20"/>
    </row>
    <row r="281" customFormat="false" ht="17.35" hidden="false" customHeight="false" outlineLevel="0" collapsed="false">
      <c r="A281" s="74"/>
      <c r="B281" s="75"/>
      <c r="C281" s="75"/>
      <c r="D281" s="75"/>
      <c r="E281" s="75"/>
      <c r="F281" s="75"/>
      <c r="G281" s="75"/>
      <c r="H281" s="82"/>
    </row>
  </sheetData>
  <mergeCells count="29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  <mergeCell ref="A215:H215"/>
    <mergeCell ref="A247:H247"/>
    <mergeCell ref="A260:H260"/>
    <mergeCell ref="D262:E262"/>
    <mergeCell ref="D263:E263"/>
    <mergeCell ref="D264:E264"/>
    <mergeCell ref="D268:E268"/>
    <mergeCell ref="D269:E269"/>
    <mergeCell ref="D270:E270"/>
    <mergeCell ref="D271:E271"/>
    <mergeCell ref="A274:H274"/>
    <mergeCell ref="D275:E275"/>
    <mergeCell ref="D276:E276"/>
    <mergeCell ref="D277:E277"/>
    <mergeCell ref="D278:E278"/>
  </mergeCells>
  <dataValidations count="4">
    <dataValidation allowBlank="true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operator="between" showDropDown="false" showErrorMessage="true" showInputMessage="true" sqref="B114 K114 T114 AC114" type="list">
      <formula1>$Y$136:$Y$145</formula1>
      <formula2>0</formula2>
    </dataValidation>
    <dataValidation allowBlank="true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2"/>
  <sheetViews>
    <sheetView showFormulas="false" showGridLines="true" showRowColHeaders="true" showZeros="true" rightToLeft="false" tabSelected="false" showOutlineSymbols="true" defaultGridColor="true" view="normal" topLeftCell="A55" colorId="64" zoomScale="75" zoomScaleNormal="75" zoomScalePageLayoutView="100" workbookViewId="0">
      <selection pane="topLeft" activeCell="B63" activeCellId="0" sqref="B63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3" t="s">
        <v>0</v>
      </c>
      <c r="B1" s="3"/>
      <c r="C1" s="3"/>
      <c r="D1" s="3"/>
      <c r="E1" s="3"/>
      <c r="F1" s="3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8.75" hidden="false" customHeight="true" outlineLevel="0" collapsed="false">
      <c r="A2" s="5" t="s">
        <v>1</v>
      </c>
      <c r="B2" s="6" t="n">
        <f aca="false">B9+B11</f>
        <v>23958.33</v>
      </c>
      <c r="C2" s="5" t="s">
        <v>2</v>
      </c>
      <c r="D2" s="6" t="n">
        <f aca="false">C9</f>
        <v>4791.666</v>
      </c>
      <c r="E2" s="5" t="s">
        <v>3</v>
      </c>
      <c r="F2" s="7" t="n">
        <f aca="false">B13</f>
        <v>0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8.75" hidden="false" customHeight="true" outlineLevel="0" collapsed="false">
      <c r="A3" s="10"/>
      <c r="B3" s="11"/>
      <c r="C3" s="11"/>
      <c r="D3" s="11"/>
      <c r="E3" s="11"/>
      <c r="F3" s="12" t="s">
        <v>4</v>
      </c>
      <c r="G3" s="19" t="n">
        <v>25000</v>
      </c>
      <c r="H3" s="19"/>
      <c r="I3" s="19" t="s">
        <v>9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8.75" hidden="false" customHeight="true" outlineLevel="0" collapsed="false">
      <c r="A4" s="5" t="s">
        <v>5</v>
      </c>
      <c r="B4" s="6" t="n">
        <f aca="false">B15+C15</f>
        <v>28749.996</v>
      </c>
      <c r="C4" s="15"/>
      <c r="D4" s="15"/>
      <c r="E4" s="15"/>
      <c r="F4" s="16" t="s">
        <v>4</v>
      </c>
      <c r="G4" s="19"/>
      <c r="H4" s="19"/>
      <c r="I4" s="19" t="s">
        <v>10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8.75" hidden="false" customHeight="true" outlineLevel="0" collapsed="false">
      <c r="A5" s="19"/>
      <c r="B5" s="19"/>
      <c r="C5" s="19"/>
      <c r="D5" s="19"/>
      <c r="E5" s="19"/>
      <c r="F5" s="19" t="s">
        <v>4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8.75" hidden="false" customHeight="true" outlineLevel="0" collapsed="false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8.75" hidden="false" customHeight="true" outlineLevel="0" collapsed="false">
      <c r="A7" s="22" t="s">
        <v>6</v>
      </c>
      <c r="B7" s="22" t="s">
        <v>7</v>
      </c>
      <c r="C7" s="22" t="s">
        <v>2</v>
      </c>
      <c r="D7" s="23"/>
      <c r="E7" s="23"/>
      <c r="F7" s="19"/>
      <c r="G7" s="368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7.35" hidden="false" customHeight="false" outlineLevel="0" collapsed="false">
      <c r="A8" s="24"/>
      <c r="B8" s="19"/>
      <c r="C8" s="19"/>
      <c r="D8" s="23"/>
      <c r="E8" s="23"/>
      <c r="F8" s="19"/>
      <c r="G8" s="369" t="e">
        <f aca="false">G9*100/B3</f>
        <v>#DIV/0!</v>
      </c>
      <c r="H8" s="19"/>
      <c r="I8" s="26" t="s">
        <v>3</v>
      </c>
      <c r="J8" s="27" t="n">
        <f aca="false">E13+E14</f>
        <v>0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8.75" hidden="false" customHeight="true" outlineLevel="0" collapsed="false">
      <c r="A9" s="22" t="s">
        <v>8</v>
      </c>
      <c r="B9" s="28" t="n">
        <v>23958.33</v>
      </c>
      <c r="C9" s="27" t="n">
        <f aca="false">B9*0.2</f>
        <v>4791.666</v>
      </c>
      <c r="D9" s="23"/>
      <c r="E9" s="23"/>
      <c r="F9" s="19"/>
      <c r="G9" s="368" t="n">
        <f aca="false">E9-G11</f>
        <v>-152558.333333333</v>
      </c>
      <c r="H9" s="19"/>
      <c r="I9" s="27"/>
      <c r="J9" s="27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8.75" hidden="false" customHeight="true" outlineLevel="0" collapsed="false">
      <c r="A10" s="31"/>
      <c r="B10" s="19"/>
      <c r="C10" s="19"/>
      <c r="D10" s="23"/>
      <c r="E10" s="23"/>
      <c r="F10" s="19"/>
      <c r="G10" s="368"/>
      <c r="H10" s="19"/>
      <c r="I10" s="32" t="s">
        <v>1</v>
      </c>
      <c r="J10" s="27" t="n">
        <f aca="false">E15-E11-J8</f>
        <v>0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8.75" hidden="false" customHeight="true" outlineLevel="0" collapsed="false">
      <c r="A11" s="22" t="s">
        <v>11</v>
      </c>
      <c r="B11" s="28" t="n">
        <v>0</v>
      </c>
      <c r="C11" s="28" t="n">
        <f aca="false">B11*0.2</f>
        <v>0</v>
      </c>
      <c r="D11" s="23"/>
      <c r="E11" s="23"/>
      <c r="F11" s="19"/>
      <c r="G11" s="368" t="n">
        <f aca="false">G13/1.2</f>
        <v>152558.333333333</v>
      </c>
      <c r="H11" s="19"/>
      <c r="I11" s="27"/>
      <c r="J11" s="27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8.75" hidden="false" customHeight="true" outlineLevel="0" collapsed="false">
      <c r="A12" s="31"/>
      <c r="B12" s="19"/>
      <c r="C12" s="19"/>
      <c r="D12" s="23"/>
      <c r="E12" s="23"/>
      <c r="F12" s="19"/>
      <c r="G12" s="19"/>
      <c r="H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8.75" hidden="false" customHeight="true" outlineLevel="0" collapsed="false">
      <c r="A13" s="22" t="s">
        <v>12</v>
      </c>
      <c r="B13" s="28" t="n">
        <v>0</v>
      </c>
      <c r="C13" s="27"/>
      <c r="D13" s="23"/>
      <c r="E13" s="23"/>
      <c r="F13" s="19"/>
      <c r="G13" s="368" t="n">
        <f aca="false">G15-E14-E13-E12</f>
        <v>183070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8.75" hidden="false" customHeight="true" outlineLevel="0" collapsed="false">
      <c r="A14" s="31"/>
      <c r="B14" s="19"/>
      <c r="C14" s="19"/>
      <c r="D14" s="23"/>
      <c r="E14" s="23"/>
      <c r="F14" s="19"/>
      <c r="G14" s="19" t="s">
        <v>13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8.75" hidden="false" customHeight="true" outlineLevel="0" collapsed="false">
      <c r="A15" s="22" t="s">
        <v>14</v>
      </c>
      <c r="B15" s="27" t="n">
        <f aca="false">SUM(B9:B13)</f>
        <v>23958.33</v>
      </c>
      <c r="C15" s="27" t="n">
        <f aca="false">SUM(C9:C13)</f>
        <v>4791.666</v>
      </c>
      <c r="D15" s="23"/>
      <c r="E15" s="23"/>
      <c r="F15" s="19"/>
      <c r="G15" s="205" t="n">
        <v>183070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8.75" hidden="false" customHeight="true" outlineLevel="0" collapsed="false">
      <c r="A16" s="35"/>
      <c r="B16" s="35"/>
      <c r="C16" s="35"/>
      <c r="D16" s="23"/>
      <c r="E16" s="23"/>
      <c r="F16" s="19"/>
      <c r="G16" s="370" t="n">
        <f aca="false">(B3+C3+E10)*1.2</f>
        <v>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6" t="s">
        <v>15</v>
      </c>
      <c r="Z16" s="19"/>
    </row>
    <row r="17" customFormat="false" ht="18.75" hidden="false" customHeight="true" outlineLevel="0" collapsed="false">
      <c r="A17" s="35"/>
      <c r="B17" s="35"/>
      <c r="C17" s="35"/>
      <c r="D17" s="23"/>
      <c r="E17" s="23"/>
      <c r="F17" s="19"/>
      <c r="G17" s="19" t="s">
        <v>16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6" t="s">
        <v>17</v>
      </c>
      <c r="Z17" s="19"/>
    </row>
    <row r="18" customFormat="false" ht="18.75" hidden="false" customHeight="true" outlineLevel="0" collapsed="false">
      <c r="A18" s="35"/>
      <c r="B18" s="35"/>
      <c r="C18" s="35"/>
      <c r="D18" s="23"/>
      <c r="E18" s="23"/>
      <c r="F18" s="19"/>
      <c r="G18" s="205" t="n">
        <f aca="false">(B3+C3+D3+E3+E10)*1.2</f>
        <v>0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6" t="s">
        <v>18</v>
      </c>
      <c r="Z18" s="19"/>
    </row>
    <row r="19" customFormat="false" ht="18.75" hidden="false" customHeight="true" outlineLevel="0" collapsed="false">
      <c r="A19" s="40" t="s">
        <v>19</v>
      </c>
      <c r="B19" s="40"/>
      <c r="C19" s="40"/>
      <c r="D19" s="40"/>
      <c r="E19" s="27" t="n">
        <f aca="false">B4</f>
        <v>28749.996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 t="s">
        <v>9</v>
      </c>
    </row>
    <row r="20" customFormat="false" ht="18.75" hidden="false" customHeight="true" outlineLevel="0" collapsed="false">
      <c r="A20" s="41"/>
      <c r="B20" s="19"/>
      <c r="C20" s="19"/>
      <c r="D20" s="19"/>
      <c r="E20" s="42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 t="s">
        <v>10</v>
      </c>
    </row>
    <row r="21" customFormat="false" ht="22.05" hidden="false" customHeight="true" outlineLevel="0" collapsed="false">
      <c r="A21" s="40" t="s">
        <v>20</v>
      </c>
      <c r="B21" s="40"/>
      <c r="C21" s="40"/>
      <c r="D21" s="40"/>
      <c r="E21" s="27" t="n">
        <f aca="false">B15</f>
        <v>23958.33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8.75" hidden="false" customHeight="true" outlineLevel="0" collapsed="false">
      <c r="A22" s="207"/>
      <c r="B22" s="207"/>
      <c r="C22" s="207"/>
      <c r="D22" s="207"/>
      <c r="E22" s="207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8.75" hidden="false" customHeight="true" outlineLevel="0" collapsed="false">
      <c r="A23" s="207"/>
      <c r="B23" s="207"/>
      <c r="C23" s="207"/>
      <c r="D23" s="207"/>
      <c r="E23" s="207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45.75" hidden="false" customHeight="true" outlineLevel="0" collapsed="false">
      <c r="A24" s="208" t="s">
        <v>21</v>
      </c>
      <c r="B24" s="208"/>
      <c r="C24" s="208"/>
      <c r="D24" s="208"/>
      <c r="E24" s="20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8.75" hidden="false" customHeight="true" outlineLevel="0" collapsed="false">
      <c r="A25" s="209"/>
      <c r="B25" s="207"/>
      <c r="C25" s="207"/>
      <c r="D25" s="207"/>
      <c r="E25" s="21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8.75" hidden="false" customHeight="true" outlineLevel="0" collapsed="false">
      <c r="A26" s="214" t="s">
        <v>22</v>
      </c>
      <c r="B26" s="216" t="s">
        <v>9</v>
      </c>
      <c r="C26" s="207"/>
      <c r="D26" s="207"/>
      <c r="E26" s="210"/>
      <c r="F26" s="19"/>
      <c r="G26" s="212" t="s">
        <v>23</v>
      </c>
      <c r="H26" s="212" t="s">
        <v>24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8.75" hidden="false" customHeight="true" outlineLevel="0" collapsed="false">
      <c r="A27" s="209"/>
      <c r="B27" s="207"/>
      <c r="C27" s="207"/>
      <c r="D27" s="207"/>
      <c r="E27" s="210"/>
      <c r="F27" s="19"/>
      <c r="G27" s="213" t="s">
        <v>25</v>
      </c>
      <c r="H27" s="213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8.75" hidden="false" customHeight="true" outlineLevel="0" collapsed="false">
      <c r="A28" s="211" t="s">
        <v>153</v>
      </c>
      <c r="B28" s="211"/>
      <c r="C28" s="211"/>
      <c r="D28" s="211"/>
      <c r="E28" s="211"/>
      <c r="F28" s="19"/>
      <c r="G28" s="213" t="s">
        <v>27</v>
      </c>
      <c r="H28" s="213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8.75" hidden="false" customHeight="true" outlineLevel="0" collapsed="false">
      <c r="A29" s="209"/>
      <c r="B29" s="207"/>
      <c r="C29" s="207"/>
      <c r="D29" s="207"/>
      <c r="E29" s="210"/>
      <c r="F29" s="19"/>
      <c r="G29" s="212" t="s">
        <v>214</v>
      </c>
      <c r="H29" s="371" t="n">
        <v>35</v>
      </c>
      <c r="I29" s="367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8.75" hidden="false" customHeight="true" outlineLevel="0" collapsed="false">
      <c r="A30" s="209" t="s">
        <v>29</v>
      </c>
      <c r="B30" s="168" t="s">
        <v>30</v>
      </c>
      <c r="C30" s="168"/>
      <c r="D30" s="207"/>
      <c r="E30" s="210"/>
      <c r="F30" s="19"/>
      <c r="G30" s="212" t="s">
        <v>31</v>
      </c>
      <c r="H30" s="371" t="n">
        <v>35000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8.75" hidden="false" customHeight="true" outlineLevel="0" collapsed="false">
      <c r="A31" s="209"/>
      <c r="B31" s="207"/>
      <c r="C31" s="207"/>
      <c r="D31" s="207"/>
      <c r="E31" s="210"/>
      <c r="F31" s="19"/>
      <c r="G31" s="212" t="s">
        <v>32</v>
      </c>
      <c r="H31" s="62" t="n">
        <v>0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8.75" hidden="false" customHeight="true" outlineLevel="0" collapsed="false">
      <c r="A32" s="209" t="s">
        <v>28</v>
      </c>
      <c r="B32" s="207" t="s">
        <v>33</v>
      </c>
      <c r="C32" s="207"/>
      <c r="D32" s="372" t="s">
        <v>34</v>
      </c>
      <c r="E32" s="210"/>
      <c r="F32" s="19"/>
      <c r="G32" s="212" t="s">
        <v>35</v>
      </c>
      <c r="I32" s="62" t="n">
        <v>0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31.6" hidden="false" customHeight="true" outlineLevel="0" collapsed="false">
      <c r="A33" s="222" t="n">
        <f aca="false">A52</f>
        <v>35</v>
      </c>
      <c r="B33" s="174" t="n">
        <v>10000</v>
      </c>
      <c r="C33" s="223"/>
      <c r="D33" s="373" t="n">
        <f aca="false">H48</f>
        <v>753.306610758122</v>
      </c>
      <c r="E33" s="210"/>
      <c r="F33" s="19"/>
      <c r="G33" s="213" t="s">
        <v>36</v>
      </c>
      <c r="H33" s="374" t="n">
        <f aca="false">E21-E11</f>
        <v>23958.33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8.75" hidden="false" customHeight="true" outlineLevel="0" collapsed="false">
      <c r="A34" s="209"/>
      <c r="B34" s="207"/>
      <c r="C34" s="207"/>
      <c r="D34" s="207"/>
      <c r="E34" s="210"/>
      <c r="F34" s="19"/>
      <c r="G34" s="19" t="s">
        <v>316</v>
      </c>
      <c r="H34" s="19" t="n">
        <f aca="false">H29</f>
        <v>35</v>
      </c>
      <c r="I34" s="19" t="n">
        <v>43957.29</v>
      </c>
      <c r="J34" s="19" t="n">
        <v>841.24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8.75" hidden="false" customHeight="true" outlineLevel="0" collapsed="false">
      <c r="A35" s="209" t="s">
        <v>37</v>
      </c>
      <c r="B35" s="207" t="s">
        <v>38</v>
      </c>
      <c r="C35" s="207"/>
      <c r="D35" s="207" t="s">
        <v>39</v>
      </c>
      <c r="E35" s="210"/>
      <c r="F35" s="19"/>
      <c r="G35" s="225" t="s">
        <v>40</v>
      </c>
      <c r="H35" s="226" t="n">
        <v>0.065</v>
      </c>
      <c r="I35" s="19" t="n">
        <v>46215.83</v>
      </c>
      <c r="J35" s="19" t="n">
        <v>909.69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8.75" hidden="false" customHeight="true" outlineLevel="0" collapsed="false">
      <c r="A36" s="69" t="n">
        <f aca="false">H47</f>
        <v>753.306610758122</v>
      </c>
      <c r="B36" s="37" t="n">
        <f aca="false">IF(B26="YES", H42, "")</f>
        <v>0</v>
      </c>
      <c r="C36" s="215"/>
      <c r="D36" s="232" t="n">
        <f aca="false">H31</f>
        <v>0</v>
      </c>
      <c r="E36" s="210"/>
      <c r="F36" s="19"/>
      <c r="G36" s="19"/>
      <c r="H36" s="19"/>
      <c r="I36" s="19" t="n">
        <f aca="false">I35-I34</f>
        <v>2258.54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8.75" hidden="false" customHeight="true" outlineLevel="0" collapsed="false">
      <c r="A37" s="70"/>
      <c r="B37" s="37"/>
      <c r="C37" s="215"/>
      <c r="D37" s="37"/>
      <c r="E37" s="210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8.75" hidden="false" customHeight="true" outlineLevel="0" collapsed="false">
      <c r="A38" s="209"/>
      <c r="B38" s="207"/>
      <c r="C38" s="207"/>
      <c r="D38" s="207"/>
      <c r="E38" s="210"/>
      <c r="F38" s="19"/>
      <c r="G38" s="237" t="s">
        <v>42</v>
      </c>
      <c r="H38" s="237"/>
      <c r="I38" s="22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8.75" hidden="false" customHeight="true" outlineLevel="0" collapsed="false">
      <c r="A39" s="209" t="s">
        <v>43</v>
      </c>
      <c r="B39" s="207" t="s">
        <v>44</v>
      </c>
      <c r="C39" s="207"/>
      <c r="D39" s="207" t="s">
        <v>45</v>
      </c>
      <c r="E39" s="210"/>
      <c r="F39" s="19"/>
      <c r="G39" s="19" t="s">
        <v>46</v>
      </c>
      <c r="H39" s="228" t="n">
        <f aca="false">H33</f>
        <v>23958.33</v>
      </c>
      <c r="I39" s="228" t="n">
        <f aca="false">(I48*H46)+H44</f>
        <v>44525.9095313712</v>
      </c>
      <c r="J39" s="22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8.75" hidden="false" customHeight="true" outlineLevel="0" collapsed="false">
      <c r="A40" s="72" t="n">
        <f aca="false">D36*A45/100</f>
        <v>0</v>
      </c>
      <c r="B40" s="72" t="n">
        <f aca="false">IF(B26="YES",H42,"0")</f>
        <v>0</v>
      </c>
      <c r="C40" s="72"/>
      <c r="D40" s="232" t="n">
        <f aca="false">I32</f>
        <v>0</v>
      </c>
      <c r="E40" s="210"/>
      <c r="F40" s="19"/>
      <c r="G40" s="19" t="s">
        <v>47</v>
      </c>
      <c r="H40" s="228" t="n">
        <f aca="false">A40/1.2</f>
        <v>0</v>
      </c>
      <c r="I40" s="228" t="n">
        <f aca="false">H39-I39</f>
        <v>-20567.5795313712</v>
      </c>
      <c r="J40" s="19" t="n">
        <v>0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8.75" hidden="false" customHeight="true" outlineLevel="0" collapsed="false">
      <c r="A41" s="209"/>
      <c r="B41" s="207"/>
      <c r="C41" s="207"/>
      <c r="D41" s="207"/>
      <c r="E41" s="210"/>
      <c r="F41" s="19"/>
      <c r="G41" s="19" t="s">
        <v>48</v>
      </c>
      <c r="H41" s="235" t="n">
        <f aca="false">H35/12</f>
        <v>0.00541666666666667</v>
      </c>
      <c r="I41" s="22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8.75" hidden="false" customHeight="true" outlineLevel="0" collapsed="false">
      <c r="A42" s="209"/>
      <c r="B42" s="207"/>
      <c r="C42" s="207"/>
      <c r="D42" s="207"/>
      <c r="E42" s="210"/>
      <c r="F42" s="19"/>
      <c r="G42" s="19" t="s">
        <v>49</v>
      </c>
      <c r="H42" s="228" t="n">
        <f aca="false">(I32/H34)*(C45/100)</f>
        <v>0</v>
      </c>
      <c r="I42" s="22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8.75" hidden="false" customHeight="true" outlineLevel="0" collapsed="false">
      <c r="A43" s="255"/>
      <c r="B43" s="256"/>
      <c r="C43" s="256"/>
      <c r="D43" s="256"/>
      <c r="E43" s="257"/>
      <c r="F43" s="19"/>
      <c r="G43" s="19" t="s">
        <v>50</v>
      </c>
      <c r="H43" s="19"/>
      <c r="I43" s="22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8.75" hidden="false" customHeight="true" outlineLevel="0" collapsed="false">
      <c r="A44" s="375" t="s">
        <v>51</v>
      </c>
      <c r="B44" s="207"/>
      <c r="C44" s="339" t="s">
        <v>52</v>
      </c>
      <c r="D44" s="339"/>
      <c r="E44" s="210"/>
      <c r="F44" s="19"/>
      <c r="G44" s="19" t="s">
        <v>317</v>
      </c>
      <c r="H44" s="228" t="n">
        <f aca="false">(H40/(1+H41)^(H34+1))</f>
        <v>0</v>
      </c>
      <c r="I44" s="228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8.75" hidden="false" customHeight="true" outlineLevel="0" collapsed="false">
      <c r="A45" s="376" t="n">
        <v>100</v>
      </c>
      <c r="B45" s="207"/>
      <c r="C45" s="377" t="n">
        <v>100</v>
      </c>
      <c r="D45" s="377"/>
      <c r="E45" s="210"/>
      <c r="F45" s="19"/>
      <c r="G45" s="19" t="s">
        <v>318</v>
      </c>
      <c r="H45" s="228" t="n">
        <f aca="false">(H39-H44)</f>
        <v>23958.33</v>
      </c>
      <c r="I45" s="22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8.75" hidden="false" customHeight="true" outlineLevel="0" collapsed="false">
      <c r="A46" s="252"/>
      <c r="B46" s="253"/>
      <c r="C46" s="253"/>
      <c r="D46" s="253"/>
      <c r="E46" s="254"/>
      <c r="F46" s="19"/>
      <c r="G46" s="19" t="s">
        <v>319</v>
      </c>
      <c r="H46" s="228" t="n">
        <f aca="false">((1-(1/((1+H41)^H34)))/H41)</f>
        <v>31.8042210938366</v>
      </c>
      <c r="I46" s="22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8.75" hidden="false" customHeight="true" outlineLevel="0" collapsed="false">
      <c r="A47" s="209"/>
      <c r="B47" s="207"/>
      <c r="C47" s="207"/>
      <c r="D47" s="207"/>
      <c r="E47" s="210"/>
      <c r="F47" s="19"/>
      <c r="G47" s="19" t="s">
        <v>56</v>
      </c>
      <c r="H47" s="228" t="n">
        <f aca="false">H45/H46</f>
        <v>753.306610758122</v>
      </c>
      <c r="I47" s="22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8.75" hidden="false" customHeight="true" outlineLevel="0" collapsed="false">
      <c r="A48" s="243" t="s">
        <v>57</v>
      </c>
      <c r="B48" s="207"/>
      <c r="C48" s="207"/>
      <c r="D48" s="244"/>
      <c r="E48" s="245"/>
      <c r="F48" s="19"/>
      <c r="G48" s="378" t="s">
        <v>58</v>
      </c>
      <c r="H48" s="228" t="n">
        <f aca="false">IF(B26="YES", H47+H42, H47)</f>
        <v>753.306610758122</v>
      </c>
      <c r="I48" s="228" t="n">
        <f aca="false">I49-H42</f>
        <v>1400</v>
      </c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8.75" hidden="false" customHeight="true" outlineLevel="0" collapsed="false">
      <c r="A49" s="209"/>
      <c r="B49" s="246"/>
      <c r="C49" s="246"/>
      <c r="D49" s="207"/>
      <c r="E49" s="210"/>
      <c r="F49" s="19"/>
      <c r="G49" s="19" t="s">
        <v>59</v>
      </c>
      <c r="H49" s="247"/>
      <c r="I49" s="228" t="n">
        <v>1400</v>
      </c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8.75" hidden="false" customHeight="true" outlineLevel="0" collapsed="false">
      <c r="A50" s="248" t="s">
        <v>28</v>
      </c>
      <c r="B50" s="249" t="s">
        <v>33</v>
      </c>
      <c r="C50" s="249"/>
      <c r="D50" s="207"/>
      <c r="E50" s="210"/>
      <c r="F50" s="19"/>
      <c r="G50" s="19"/>
      <c r="H50" s="19"/>
      <c r="I50" s="22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8.75" hidden="false" customHeight="true" outlineLevel="0" collapsed="false">
      <c r="A51" s="248"/>
      <c r="B51" s="250" t="n">
        <f aca="false">H30</f>
        <v>35000</v>
      </c>
      <c r="C51" s="250"/>
      <c r="D51" s="207"/>
      <c r="E51" s="210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8.75" hidden="false" customHeight="true" outlineLevel="0" collapsed="false">
      <c r="A52" s="251" t="n">
        <f aca="false">H29</f>
        <v>35</v>
      </c>
      <c r="B52" s="92" t="n">
        <f aca="false">H48</f>
        <v>753.306610758122</v>
      </c>
      <c r="C52" s="92"/>
      <c r="D52" s="207"/>
      <c r="E52" s="210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8.75" hidden="false" customHeight="true" outlineLevel="0" collapsed="false">
      <c r="A53" s="209"/>
      <c r="B53" s="207"/>
      <c r="C53" s="207"/>
      <c r="D53" s="207"/>
      <c r="E53" s="210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8.75" hidden="false" customHeight="true" outlineLevel="0" collapsed="false">
      <c r="A54" s="252"/>
      <c r="B54" s="253"/>
      <c r="C54" s="253"/>
      <c r="D54" s="253"/>
      <c r="E54" s="254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8.75" hidden="false" customHeight="true" outlineLevel="0" collapsed="false">
      <c r="A55" s="207"/>
      <c r="B55" s="207"/>
      <c r="C55" s="207"/>
      <c r="D55" s="207"/>
      <c r="E55" s="207"/>
      <c r="F55" s="19"/>
      <c r="G55" s="207"/>
      <c r="H55" s="207"/>
      <c r="I55" s="207"/>
      <c r="J55" s="207"/>
      <c r="K55" s="207"/>
      <c r="L55" s="19"/>
      <c r="M55" s="207"/>
      <c r="N55" s="207"/>
      <c r="O55" s="207"/>
      <c r="P55" s="207"/>
      <c r="Q55" s="207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8.75" hidden="false" customHeight="true" outlineLevel="0" collapsed="false">
      <c r="A56" s="255"/>
      <c r="B56" s="256"/>
      <c r="C56" s="256"/>
      <c r="D56" s="256"/>
      <c r="E56" s="257"/>
      <c r="F56" s="19"/>
      <c r="G56" s="255"/>
      <c r="H56" s="256"/>
      <c r="I56" s="256"/>
      <c r="J56" s="256"/>
      <c r="K56" s="257"/>
      <c r="L56" s="19"/>
      <c r="M56" s="255"/>
      <c r="N56" s="256"/>
      <c r="O56" s="256"/>
      <c r="P56" s="256"/>
      <c r="Q56" s="257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8.75" hidden="false" customHeight="true" outlineLevel="0" collapsed="false">
      <c r="A57" s="209" t="s">
        <v>46</v>
      </c>
      <c r="B57" s="207" t="n">
        <f aca="false">IF(B99=Y97,1,IF(B99=Y98,1,IF(B99=Y99,3,IF(B99=Y100,6,IF(B99=Y101,9,IF(B99=Y102,12,IF(B99=Y103,3,IF(B99=Y104,6,IF(B99=Y105,9,0)))))))))</f>
        <v>1</v>
      </c>
      <c r="C57" s="207"/>
      <c r="D57" s="207"/>
      <c r="E57" s="210"/>
      <c r="F57" s="19"/>
      <c r="G57" s="209" t="s">
        <v>46</v>
      </c>
      <c r="H57" s="207" t="n">
        <f aca="false">IF(H99=Y97,1,IF(H99=Y98,1,IF(H99=Y99,3,IF(H99=Y100,6,IF(H99=Y101,9,IF(H99=Y102,12,IF(H99=Y103,3,IF(H99=Y104,6,IF(H99=Y105,9,0)))))))))</f>
        <v>6</v>
      </c>
      <c r="I57" s="207"/>
      <c r="J57" s="207"/>
      <c r="K57" s="210"/>
      <c r="L57" s="19"/>
      <c r="M57" s="209" t="s">
        <v>46</v>
      </c>
      <c r="N57" s="207" t="n">
        <f aca="false">IF(N99=Y97,1,IF(N99=Y98,1,IF(N99=Y99,3,IF(N99=Y100,6,IF(N99=Y101,9,IF(N99=Y102,12,IF(N99=Y103,3,IF(N99=Y104,6,IF(N99=Y105,9,0)))))))))</f>
        <v>6</v>
      </c>
      <c r="O57" s="207"/>
      <c r="P57" s="207"/>
      <c r="Q57" s="210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8.75" hidden="false" customHeight="true" outlineLevel="0" collapsed="false">
      <c r="A58" s="209" t="s">
        <v>60</v>
      </c>
      <c r="B58" s="207" t="n">
        <f aca="false">IF(B99=Y97,H29-B57,IF(B99=Y98,H29-B57,IF(B99=Y99,H29-1,IF(B99=Y100,H29-1,IF(B99=Y101,H29-1,IF(B99=Y102,H29-1,IF(B99=Y103,H29-B57,IF(B99=Y104,H29-B57,IF(B99=Y105,H29-B57,0)))))))))</f>
        <v>34</v>
      </c>
      <c r="C58" s="207"/>
      <c r="D58" s="207"/>
      <c r="E58" s="210"/>
      <c r="F58" s="19"/>
      <c r="G58" s="209" t="s">
        <v>60</v>
      </c>
      <c r="H58" s="207" t="n">
        <f aca="false">IF(H99=Y97,H29-H57,IF(H99=Y98,H29-H57,IF(H99=Y99,H29-1,IF(H99=Y100,H29-1,IF(H99=Y101,H29-1,IF(H99=Y102,H29-1,IF(H99=Y103,H29-H57,IF(H99=Y104,H29-H57,IF(H99=Y105,H29-H57,0)))))))))</f>
        <v>34</v>
      </c>
      <c r="I58" s="207"/>
      <c r="J58" s="207"/>
      <c r="K58" s="210"/>
      <c r="L58" s="19"/>
      <c r="M58" s="209" t="s">
        <v>60</v>
      </c>
      <c r="N58" s="207" t="n">
        <f aca="false">IF(N99=Y97,H29-N57,IF(N99=Y98,H29-N57,IF(N99=Y99,H29-1,IF(N99=Y100,H29-1,IF(N99=Y101,H29-1,IF(N99=Y102,H29-1,IF(N99=Y103,H29-N57,IF(N99=Y104,H29-N57,IF(N99=Y105,H29-N57,0)))))))))</f>
        <v>34</v>
      </c>
      <c r="O58" s="207"/>
      <c r="P58" s="207"/>
      <c r="Q58" s="210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8.75" hidden="false" customHeight="true" outlineLevel="0" collapsed="false">
      <c r="A59" s="209"/>
      <c r="B59" s="207"/>
      <c r="C59" s="207"/>
      <c r="D59" s="207"/>
      <c r="E59" s="210"/>
      <c r="F59" s="19"/>
      <c r="G59" s="209"/>
      <c r="H59" s="207"/>
      <c r="I59" s="207"/>
      <c r="J59" s="207"/>
      <c r="K59" s="210"/>
      <c r="L59" s="19"/>
      <c r="M59" s="209"/>
      <c r="N59" s="207"/>
      <c r="O59" s="207"/>
      <c r="P59" s="207"/>
      <c r="Q59" s="210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8.75" hidden="false" customHeight="true" outlineLevel="0" collapsed="false">
      <c r="A60" s="209" t="s">
        <v>320</v>
      </c>
      <c r="B60" s="207" t="n">
        <f aca="false">E19</f>
        <v>28749.996</v>
      </c>
      <c r="C60" s="207"/>
      <c r="D60" s="207"/>
      <c r="E60" s="210"/>
      <c r="F60" s="19"/>
      <c r="G60" s="209"/>
      <c r="H60" s="207"/>
      <c r="I60" s="207"/>
      <c r="J60" s="207"/>
      <c r="K60" s="210"/>
      <c r="L60" s="19"/>
      <c r="M60" s="209"/>
      <c r="N60" s="207"/>
      <c r="O60" s="207"/>
      <c r="P60" s="207"/>
      <c r="Q60" s="210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8.75" hidden="false" customHeight="true" outlineLevel="0" collapsed="false">
      <c r="A61" s="209" t="s">
        <v>16</v>
      </c>
      <c r="B61" s="79" t="n">
        <v>37404</v>
      </c>
      <c r="C61" s="207"/>
      <c r="D61" s="207"/>
      <c r="E61" s="210"/>
      <c r="F61" s="19"/>
      <c r="G61" s="209" t="s">
        <v>16</v>
      </c>
      <c r="H61" s="79" t="n">
        <f aca="false">G18</f>
        <v>0</v>
      </c>
      <c r="I61" s="207"/>
      <c r="J61" s="207"/>
      <c r="K61" s="210"/>
      <c r="L61" s="19"/>
      <c r="M61" s="209" t="s">
        <v>16</v>
      </c>
      <c r="N61" s="79" t="n">
        <f aca="false">G18</f>
        <v>0</v>
      </c>
      <c r="O61" s="207"/>
      <c r="P61" s="207"/>
      <c r="Q61" s="210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8.75" hidden="false" customHeight="true" outlineLevel="0" collapsed="false">
      <c r="A62" s="258" t="s">
        <v>241</v>
      </c>
      <c r="B62" s="259" t="n">
        <v>0.07</v>
      </c>
      <c r="C62" s="207"/>
      <c r="D62" s="207"/>
      <c r="E62" s="210"/>
      <c r="F62" s="19"/>
      <c r="G62" s="258" t="s">
        <v>241</v>
      </c>
      <c r="H62" s="259" t="n">
        <v>0.07</v>
      </c>
      <c r="I62" s="207"/>
      <c r="J62" s="207"/>
      <c r="K62" s="210"/>
      <c r="L62" s="19"/>
      <c r="M62" s="258" t="s">
        <v>241</v>
      </c>
      <c r="N62" s="259" t="n">
        <v>0.07</v>
      </c>
      <c r="O62" s="207"/>
      <c r="P62" s="207"/>
      <c r="Q62" s="210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8.75" hidden="false" customHeight="true" outlineLevel="0" collapsed="false">
      <c r="A63" s="209" t="s">
        <v>242</v>
      </c>
      <c r="B63" s="260" t="n">
        <f aca="false">B62+(B62*0.25*((H29/12)-1))</f>
        <v>0.103541666666667</v>
      </c>
      <c r="C63" s="207"/>
      <c r="D63" s="207"/>
      <c r="E63" s="210"/>
      <c r="F63" s="19"/>
      <c r="G63" s="209" t="s">
        <v>242</v>
      </c>
      <c r="H63" s="260" t="n">
        <f aca="false">H62+(H62*0.25*(H29/12-1))</f>
        <v>0.103541666666667</v>
      </c>
      <c r="I63" s="207"/>
      <c r="J63" s="207"/>
      <c r="K63" s="210"/>
      <c r="L63" s="19"/>
      <c r="M63" s="209" t="s">
        <v>242</v>
      </c>
      <c r="N63" s="260" t="n">
        <f aca="false">N62+(N62*0.25*(H29/12-1))</f>
        <v>0.103541666666667</v>
      </c>
      <c r="O63" s="207"/>
      <c r="P63" s="207"/>
      <c r="Q63" s="210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8.75" hidden="false" customHeight="true" outlineLevel="0" collapsed="false">
      <c r="A64" s="252" t="s">
        <v>65</v>
      </c>
      <c r="B64" s="139" t="n">
        <f aca="false">B60*B63</f>
        <v>2976.8225025</v>
      </c>
      <c r="C64" s="379" t="n">
        <v>10000</v>
      </c>
      <c r="D64" s="79" t="n">
        <f aca="false">B64</f>
        <v>2976.8225025</v>
      </c>
      <c r="E64" s="380" t="n">
        <f aca="false">D64/(B58+B57)</f>
        <v>85.0520715</v>
      </c>
      <c r="F64" s="19"/>
      <c r="G64" s="252" t="s">
        <v>65</v>
      </c>
      <c r="H64" s="139" t="n">
        <f aca="false">H61*H63</f>
        <v>0</v>
      </c>
      <c r="I64" s="207"/>
      <c r="J64" s="79" t="n">
        <f aca="false">H64-G145</f>
        <v>0</v>
      </c>
      <c r="K64" s="210"/>
      <c r="L64" s="19"/>
      <c r="M64" s="252" t="s">
        <v>65</v>
      </c>
      <c r="N64" s="139" t="n">
        <f aca="false">N61*N63</f>
        <v>0</v>
      </c>
      <c r="O64" s="207"/>
      <c r="P64" s="79" t="n">
        <f aca="false">N64-M145</f>
        <v>0</v>
      </c>
      <c r="Q64" s="210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8.75" hidden="false" customHeight="true" outlineLevel="0" collapsed="false">
      <c r="A65" s="258" t="s">
        <v>66</v>
      </c>
      <c r="B65" s="259" t="n">
        <v>0.01</v>
      </c>
      <c r="C65" s="207"/>
      <c r="D65" s="79"/>
      <c r="E65" s="210"/>
      <c r="F65" s="19"/>
      <c r="G65" s="258" t="s">
        <v>66</v>
      </c>
      <c r="H65" s="259" t="n">
        <v>0.01</v>
      </c>
      <c r="I65" s="207"/>
      <c r="J65" s="207"/>
      <c r="K65" s="210"/>
      <c r="L65" s="19"/>
      <c r="M65" s="258" t="s">
        <v>66</v>
      </c>
      <c r="N65" s="259" t="n">
        <v>0.01</v>
      </c>
      <c r="O65" s="207"/>
      <c r="P65" s="207"/>
      <c r="Q65" s="210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8.75" hidden="false" customHeight="true" outlineLevel="0" collapsed="false">
      <c r="A66" s="209" t="s">
        <v>67</v>
      </c>
      <c r="B66" s="260" t="n">
        <f aca="false">B65+(B65*0.5*(H29/12-1))</f>
        <v>0.0195833333333333</v>
      </c>
      <c r="C66" s="381" t="s">
        <v>194</v>
      </c>
      <c r="D66" s="207"/>
      <c r="E66" s="210"/>
      <c r="F66" s="19"/>
      <c r="G66" s="209" t="s">
        <v>67</v>
      </c>
      <c r="H66" s="260" t="n">
        <f aca="false">H65+(H65*0.5*(H29/12-1))</f>
        <v>0.0195833333333333</v>
      </c>
      <c r="I66" s="207"/>
      <c r="J66" s="207"/>
      <c r="K66" s="210"/>
      <c r="L66" s="19"/>
      <c r="M66" s="209" t="s">
        <v>67</v>
      </c>
      <c r="N66" s="260" t="n">
        <f aca="false">N65+(N65*0.5*(H29/12-1))</f>
        <v>0.0195833333333333</v>
      </c>
      <c r="O66" s="207"/>
      <c r="P66" s="207"/>
      <c r="Q66" s="210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8.75" hidden="false" customHeight="true" outlineLevel="0" collapsed="false">
      <c r="A67" s="252" t="s">
        <v>68</v>
      </c>
      <c r="B67" s="139" t="n">
        <f aca="false">(B61*B66)</f>
        <v>732.495</v>
      </c>
      <c r="C67" s="382" t="s">
        <v>194</v>
      </c>
      <c r="D67" s="383"/>
      <c r="E67" s="210"/>
      <c r="F67" s="19"/>
      <c r="G67" s="252" t="s">
        <v>68</v>
      </c>
      <c r="H67" s="139" t="n">
        <f aca="false">(H61*H66)/1.2</f>
        <v>0</v>
      </c>
      <c r="I67" s="207"/>
      <c r="J67" s="79"/>
      <c r="K67" s="210"/>
      <c r="L67" s="19"/>
      <c r="M67" s="252" t="s">
        <v>68</v>
      </c>
      <c r="N67" s="139" t="n">
        <f aca="false">(N61*N66)/1.2</f>
        <v>0</v>
      </c>
      <c r="O67" s="207"/>
      <c r="P67" s="79"/>
      <c r="Q67" s="210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8.75" hidden="false" customHeight="true" outlineLevel="0" collapsed="false">
      <c r="A68" s="258" t="s">
        <v>69</v>
      </c>
      <c r="B68" s="259" t="n">
        <v>0.0075</v>
      </c>
      <c r="C68" s="384"/>
      <c r="D68" s="79"/>
      <c r="E68" s="210"/>
      <c r="F68" s="19"/>
      <c r="G68" s="258" t="s">
        <v>69</v>
      </c>
      <c r="H68" s="259" t="n">
        <v>0.0075</v>
      </c>
      <c r="I68" s="207"/>
      <c r="J68" s="207"/>
      <c r="K68" s="210"/>
      <c r="L68" s="19"/>
      <c r="M68" s="258" t="s">
        <v>69</v>
      </c>
      <c r="N68" s="259" t="n">
        <v>0.0075</v>
      </c>
      <c r="O68" s="207"/>
      <c r="P68" s="207"/>
      <c r="Q68" s="210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8.75" hidden="false" customHeight="true" outlineLevel="0" collapsed="false">
      <c r="A69" s="261" t="s">
        <v>70</v>
      </c>
      <c r="B69" s="262" t="n">
        <v>0.12</v>
      </c>
      <c r="C69" s="207"/>
      <c r="D69" s="207"/>
      <c r="E69" s="210"/>
      <c r="F69" s="19"/>
      <c r="G69" s="261" t="s">
        <v>70</v>
      </c>
      <c r="H69" s="262" t="n">
        <v>0.12</v>
      </c>
      <c r="I69" s="207"/>
      <c r="J69" s="207"/>
      <c r="K69" s="210"/>
      <c r="L69" s="19"/>
      <c r="M69" s="261" t="s">
        <v>70</v>
      </c>
      <c r="N69" s="262" t="n">
        <v>0.12</v>
      </c>
      <c r="O69" s="207"/>
      <c r="P69" s="207"/>
      <c r="Q69" s="210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18.75" hidden="false" customHeight="true" outlineLevel="0" collapsed="false">
      <c r="A70" s="252" t="s">
        <v>71</v>
      </c>
      <c r="B70" s="263" t="n">
        <f aca="false">B68*(1+B69)</f>
        <v>0.0084</v>
      </c>
      <c r="C70" s="207"/>
      <c r="D70" s="207"/>
      <c r="E70" s="210"/>
      <c r="F70" s="19"/>
      <c r="G70" s="252" t="s">
        <v>71</v>
      </c>
      <c r="H70" s="263" t="n">
        <f aca="false">H68*(1+H69)</f>
        <v>0.0084</v>
      </c>
      <c r="I70" s="207"/>
      <c r="J70" s="207"/>
      <c r="K70" s="210"/>
      <c r="L70" s="19"/>
      <c r="M70" s="252" t="s">
        <v>71</v>
      </c>
      <c r="N70" s="385" t="n">
        <f aca="false">N68*(1+N69)</f>
        <v>0.0084</v>
      </c>
      <c r="O70" s="207"/>
      <c r="P70" s="207"/>
      <c r="Q70" s="210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18.75" hidden="false" customHeight="true" outlineLevel="0" collapsed="false">
      <c r="A71" s="258" t="s">
        <v>72</v>
      </c>
      <c r="B71" s="264" t="n">
        <v>200</v>
      </c>
      <c r="C71" s="207"/>
      <c r="D71" s="207"/>
      <c r="E71" s="210"/>
      <c r="F71" s="19"/>
      <c r="G71" s="258" t="s">
        <v>72</v>
      </c>
      <c r="H71" s="264" t="n">
        <v>160</v>
      </c>
      <c r="I71" s="207"/>
      <c r="J71" s="207"/>
      <c r="K71" s="210"/>
      <c r="L71" s="19"/>
      <c r="M71" s="258" t="s">
        <v>72</v>
      </c>
      <c r="N71" s="264" t="n">
        <v>160</v>
      </c>
      <c r="O71" s="207"/>
      <c r="P71" s="207"/>
      <c r="Q71" s="210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8.75" hidden="false" customHeight="true" outlineLevel="0" collapsed="false">
      <c r="A72" s="261" t="s">
        <v>73</v>
      </c>
      <c r="B72" s="265" t="n">
        <v>5</v>
      </c>
      <c r="C72" s="207"/>
      <c r="D72" s="207"/>
      <c r="E72" s="210"/>
      <c r="F72" s="19"/>
      <c r="G72" s="261" t="s">
        <v>73</v>
      </c>
      <c r="H72" s="265" t="n">
        <v>4.5</v>
      </c>
      <c r="I72" s="207"/>
      <c r="J72" s="207"/>
      <c r="K72" s="210"/>
      <c r="L72" s="19"/>
      <c r="M72" s="261" t="s">
        <v>73</v>
      </c>
      <c r="N72" s="265" t="n">
        <v>4.5</v>
      </c>
      <c r="O72" s="207"/>
      <c r="P72" s="207"/>
      <c r="Q72" s="210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8.75" hidden="false" customHeight="true" outlineLevel="0" collapsed="false">
      <c r="A73" s="252" t="s">
        <v>74</v>
      </c>
      <c r="B73" s="139" t="n">
        <f aca="false">B72*H29</f>
        <v>175</v>
      </c>
      <c r="C73" s="207"/>
      <c r="D73" s="386" t="n">
        <f aca="false">B73+B71</f>
        <v>375</v>
      </c>
      <c r="E73" s="210" t="s">
        <v>200</v>
      </c>
      <c r="F73" s="19"/>
      <c r="G73" s="252" t="s">
        <v>74</v>
      </c>
      <c r="H73" s="139" t="n">
        <f aca="false">H72*H29</f>
        <v>157.5</v>
      </c>
      <c r="I73" s="207"/>
      <c r="J73" s="79" t="n">
        <f aca="false">H73+H71</f>
        <v>317.5</v>
      </c>
      <c r="K73" s="210"/>
      <c r="L73" s="19"/>
      <c r="M73" s="252" t="s">
        <v>74</v>
      </c>
      <c r="N73" s="139" t="n">
        <f aca="false">N72*H29</f>
        <v>157.5</v>
      </c>
      <c r="O73" s="207"/>
      <c r="P73" s="79" t="n">
        <f aca="false">N73+N71</f>
        <v>317.5</v>
      </c>
      <c r="Q73" s="210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8.75" hidden="false" customHeight="true" outlineLevel="0" collapsed="false">
      <c r="A74" s="258" t="s">
        <v>243</v>
      </c>
      <c r="B74" s="264" t="n">
        <v>155</v>
      </c>
      <c r="C74" s="207"/>
      <c r="D74" s="207"/>
      <c r="E74" s="210"/>
      <c r="F74" s="19"/>
      <c r="G74" s="258" t="s">
        <v>243</v>
      </c>
      <c r="H74" s="264" t="n">
        <v>165</v>
      </c>
      <c r="I74" s="207"/>
      <c r="J74" s="207"/>
      <c r="K74" s="210"/>
      <c r="L74" s="19"/>
      <c r="M74" s="267" t="s">
        <v>243</v>
      </c>
      <c r="N74" s="268" t="n">
        <v>0</v>
      </c>
      <c r="O74" s="207"/>
      <c r="P74" s="207"/>
      <c r="Q74" s="210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8.75" hidden="false" customHeight="true" outlineLevel="0" collapsed="false">
      <c r="A75" s="261" t="s">
        <v>244</v>
      </c>
      <c r="B75" s="265" t="n">
        <v>0</v>
      </c>
      <c r="C75" s="207"/>
      <c r="D75" s="207"/>
      <c r="E75" s="210"/>
      <c r="F75" s="19"/>
      <c r="G75" s="261" t="s">
        <v>244</v>
      </c>
      <c r="H75" s="265" t="n">
        <v>0</v>
      </c>
      <c r="I75" s="207"/>
      <c r="J75" s="207"/>
      <c r="K75" s="210"/>
      <c r="L75" s="19"/>
      <c r="M75" s="269" t="s">
        <v>244</v>
      </c>
      <c r="N75" s="270" t="n">
        <v>0</v>
      </c>
      <c r="O75" s="207"/>
      <c r="P75" s="207"/>
      <c r="Q75" s="210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8.75" hidden="false" customHeight="true" outlineLevel="0" collapsed="false">
      <c r="A76" s="252" t="s">
        <v>245</v>
      </c>
      <c r="B76" s="139" t="n">
        <f aca="false">((B74+B75)/12)*(H29+1)</f>
        <v>465</v>
      </c>
      <c r="C76" s="207"/>
      <c r="D76" s="79" t="n">
        <f aca="false">B76</f>
        <v>465</v>
      </c>
      <c r="E76" s="210"/>
      <c r="F76" s="19"/>
      <c r="G76" s="252" t="s">
        <v>245</v>
      </c>
      <c r="H76" s="139" t="n">
        <f aca="false">((H74+H75)/12)*(H29-11)</f>
        <v>330</v>
      </c>
      <c r="I76" s="207"/>
      <c r="J76" s="79" t="n">
        <f aca="false">H76</f>
        <v>330</v>
      </c>
      <c r="K76" s="210"/>
      <c r="L76" s="19"/>
      <c r="M76" s="271" t="s">
        <v>245</v>
      </c>
      <c r="N76" s="272" t="n">
        <f aca="false">((N74+N75)/12)*(H29-11)</f>
        <v>0</v>
      </c>
      <c r="O76" s="207"/>
      <c r="P76" s="79" t="n">
        <f aca="false">N76</f>
        <v>0</v>
      </c>
      <c r="Q76" s="210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8.75" hidden="false" customHeight="true" outlineLevel="0" collapsed="false">
      <c r="A77" s="255" t="s">
        <v>246</v>
      </c>
      <c r="B77" s="137" t="n">
        <f aca="false">B102/(1-0.1)</f>
        <v>0</v>
      </c>
      <c r="C77" s="387"/>
      <c r="D77" s="79" t="n">
        <f aca="false">B77</f>
        <v>0</v>
      </c>
      <c r="E77" s="380" t="n">
        <f aca="false">D77/(B58+B57)</f>
        <v>0</v>
      </c>
      <c r="F77" s="19"/>
      <c r="G77" s="258" t="s">
        <v>246</v>
      </c>
      <c r="H77" s="264" t="n">
        <v>0</v>
      </c>
      <c r="I77" s="207"/>
      <c r="J77" s="79" t="n">
        <f aca="false">H77</f>
        <v>0</v>
      </c>
      <c r="K77" s="210"/>
      <c r="L77" s="19"/>
      <c r="M77" s="258" t="s">
        <v>246</v>
      </c>
      <c r="N77" s="264" t="n">
        <v>0</v>
      </c>
      <c r="O77" s="207"/>
      <c r="P77" s="79" t="n">
        <f aca="false">N77</f>
        <v>0</v>
      </c>
      <c r="Q77" s="210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8.75" hidden="false" customHeight="true" outlineLevel="0" collapsed="false">
      <c r="A78" s="209" t="s">
        <v>248</v>
      </c>
      <c r="B78" s="273" t="n">
        <f aca="false">D102/(1-0.1)</f>
        <v>0</v>
      </c>
      <c r="C78" s="387"/>
      <c r="D78" s="79" t="n">
        <f aca="false">B78</f>
        <v>0</v>
      </c>
      <c r="E78" s="380"/>
      <c r="F78" s="19"/>
      <c r="G78" s="209" t="s">
        <v>248</v>
      </c>
      <c r="H78" s="273" t="n">
        <v>0</v>
      </c>
      <c r="I78" s="207"/>
      <c r="J78" s="79" t="n">
        <f aca="false">H78</f>
        <v>0</v>
      </c>
      <c r="K78" s="210"/>
      <c r="L78" s="19"/>
      <c r="M78" s="209" t="s">
        <v>248</v>
      </c>
      <c r="N78" s="273" t="n">
        <v>0</v>
      </c>
      <c r="O78" s="207"/>
      <c r="P78" s="79" t="n">
        <f aca="false">N78</f>
        <v>0</v>
      </c>
      <c r="Q78" s="210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8.75" hidden="false" customHeight="true" outlineLevel="0" collapsed="false">
      <c r="A79" s="261" t="s">
        <v>75</v>
      </c>
      <c r="B79" s="265" t="n">
        <v>200</v>
      </c>
      <c r="C79" s="387"/>
      <c r="D79" s="79" t="n">
        <f aca="false">B79</f>
        <v>200</v>
      </c>
      <c r="E79" s="380"/>
      <c r="F79" s="19"/>
      <c r="G79" s="261" t="s">
        <v>75</v>
      </c>
      <c r="H79" s="265" t="n">
        <v>200</v>
      </c>
      <c r="I79" s="207"/>
      <c r="J79" s="79" t="n">
        <f aca="false">H79</f>
        <v>200</v>
      </c>
      <c r="K79" s="210"/>
      <c r="L79" s="19"/>
      <c r="M79" s="261" t="s">
        <v>75</v>
      </c>
      <c r="N79" s="265" t="n">
        <v>200</v>
      </c>
      <c r="O79" s="207"/>
      <c r="P79" s="79" t="n">
        <f aca="false">N79</f>
        <v>200</v>
      </c>
      <c r="Q79" s="210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8.75" hidden="false" customHeight="true" outlineLevel="0" collapsed="false">
      <c r="A80" s="274" t="s">
        <v>76</v>
      </c>
      <c r="B80" s="275" t="n">
        <v>200</v>
      </c>
      <c r="C80" s="387"/>
      <c r="D80" s="79" t="n">
        <f aca="false">B80</f>
        <v>200</v>
      </c>
      <c r="E80" s="380" t="n">
        <f aca="false">(D73+D76+D79+D80)/(B58+B57)</f>
        <v>35.4285714285714</v>
      </c>
      <c r="F80" s="19"/>
      <c r="G80" s="274" t="s">
        <v>76</v>
      </c>
      <c r="H80" s="275" t="n">
        <v>200</v>
      </c>
      <c r="I80" s="207"/>
      <c r="J80" s="79" t="n">
        <f aca="false">H80</f>
        <v>200</v>
      </c>
      <c r="K80" s="210"/>
      <c r="L80" s="19"/>
      <c r="M80" s="274" t="s">
        <v>76</v>
      </c>
      <c r="N80" s="275" t="n">
        <v>200</v>
      </c>
      <c r="O80" s="207"/>
      <c r="P80" s="79" t="n">
        <f aca="false">N80</f>
        <v>200</v>
      </c>
      <c r="Q80" s="210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18.75" hidden="false" customHeight="true" outlineLevel="0" collapsed="false">
      <c r="A81" s="276" t="s">
        <v>77</v>
      </c>
      <c r="B81" s="277" t="n">
        <f aca="false">SUM(D64:D80)</f>
        <v>4216.8225025</v>
      </c>
      <c r="C81" s="387"/>
      <c r="D81" s="388"/>
      <c r="E81" s="380"/>
      <c r="F81" s="19"/>
      <c r="G81" s="276" t="s">
        <v>77</v>
      </c>
      <c r="H81" s="277" t="n">
        <f aca="false">SUM(J64:J80)</f>
        <v>1047.5</v>
      </c>
      <c r="I81" s="207"/>
      <c r="J81" s="207"/>
      <c r="K81" s="210"/>
      <c r="L81" s="19"/>
      <c r="M81" s="276" t="s">
        <v>77</v>
      </c>
      <c r="N81" s="277" t="n">
        <f aca="false">SUM(P64:P80)</f>
        <v>717.5</v>
      </c>
      <c r="O81" s="207"/>
      <c r="P81" s="207"/>
      <c r="Q81" s="210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18.75" hidden="false" customHeight="true" outlineLevel="0" collapsed="false">
      <c r="A82" s="209" t="s">
        <v>78</v>
      </c>
      <c r="B82" s="273" t="n">
        <f aca="false">B81/H29</f>
        <v>120.480642928571</v>
      </c>
      <c r="C82" s="387"/>
      <c r="D82" s="207"/>
      <c r="E82" s="380"/>
      <c r="F82" s="19"/>
      <c r="G82" s="209" t="s">
        <v>78</v>
      </c>
      <c r="H82" s="273" t="n">
        <f aca="false">H81/H29</f>
        <v>29.9285714285714</v>
      </c>
      <c r="I82" s="207"/>
      <c r="J82" s="207"/>
      <c r="K82" s="210"/>
      <c r="L82" s="19"/>
      <c r="M82" s="209" t="s">
        <v>78</v>
      </c>
      <c r="N82" s="273" t="n">
        <f aca="false">N81/H29</f>
        <v>20.5</v>
      </c>
      <c r="O82" s="207"/>
      <c r="P82" s="207"/>
      <c r="Q82" s="210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8.75" hidden="false" customHeight="true" outlineLevel="0" collapsed="false">
      <c r="A83" s="278" t="s">
        <v>79</v>
      </c>
      <c r="B83" s="279" t="n">
        <f aca="false">H47</f>
        <v>753.306610758122</v>
      </c>
      <c r="C83" s="387"/>
      <c r="D83" s="207"/>
      <c r="E83" s="380" t="n">
        <f aca="false">B83+E80+E77+E64</f>
        <v>873.787253686694</v>
      </c>
      <c r="F83" s="19"/>
      <c r="G83" s="278" t="s">
        <v>79</v>
      </c>
      <c r="H83" s="279" t="n">
        <f aca="false">H47</f>
        <v>753.306610758122</v>
      </c>
      <c r="I83" s="207"/>
      <c r="J83" s="207"/>
      <c r="K83" s="210"/>
      <c r="L83" s="19"/>
      <c r="M83" s="278" t="s">
        <v>79</v>
      </c>
      <c r="N83" s="279" t="n">
        <f aca="false">H47</f>
        <v>753.306610758122</v>
      </c>
      <c r="O83" s="207"/>
      <c r="P83" s="207"/>
      <c r="Q83" s="210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18.75" hidden="false" customHeight="true" outlineLevel="0" collapsed="false">
      <c r="A84" s="209"/>
      <c r="B84" s="79"/>
      <c r="C84" s="387"/>
      <c r="D84" s="387"/>
      <c r="E84" s="380"/>
      <c r="F84" s="19"/>
      <c r="G84" s="209"/>
      <c r="H84" s="79"/>
      <c r="I84" s="207"/>
      <c r="J84" s="207"/>
      <c r="K84" s="210"/>
      <c r="L84" s="19"/>
      <c r="M84" s="209"/>
      <c r="N84" s="79"/>
      <c r="O84" s="207"/>
      <c r="P84" s="207"/>
      <c r="Q84" s="210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8.75" hidden="false" customHeight="true" outlineLevel="0" collapsed="false">
      <c r="A85" s="255" t="s">
        <v>88</v>
      </c>
      <c r="B85" s="137" t="n">
        <f aca="false">((B83*H29)+B81)</f>
        <v>30582.5538790343</v>
      </c>
      <c r="C85" s="387"/>
      <c r="D85" s="387"/>
      <c r="E85" s="380" t="n">
        <f aca="false">B85/(B58+B57)</f>
        <v>873.787253686694</v>
      </c>
      <c r="F85" s="19"/>
      <c r="G85" s="255" t="s">
        <v>88</v>
      </c>
      <c r="H85" s="137" t="n">
        <f aca="false">((H83*H29)+H81)*1.2</f>
        <v>32895.8776518411</v>
      </c>
      <c r="I85" s="207"/>
      <c r="J85" s="207"/>
      <c r="K85" s="210"/>
      <c r="L85" s="19"/>
      <c r="M85" s="255" t="s">
        <v>88</v>
      </c>
      <c r="N85" s="137" t="n">
        <f aca="false">((N83*H29)+N81)</f>
        <v>27083.2313765343</v>
      </c>
      <c r="O85" s="207"/>
      <c r="P85" s="207"/>
      <c r="Q85" s="210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8.75" hidden="false" customHeight="true" outlineLevel="0" collapsed="false">
      <c r="A86" s="209" t="s">
        <v>89</v>
      </c>
      <c r="B86" s="273" t="n">
        <f aca="false">(((B83*H29)+B81)/(1-B70))*B70</f>
        <v>259.069637539217</v>
      </c>
      <c r="C86" s="387" t="s">
        <v>203</v>
      </c>
      <c r="D86" s="207"/>
      <c r="E86" s="380" t="n">
        <f aca="false">B86/(B58+B57)</f>
        <v>7.40198964397764</v>
      </c>
      <c r="F86" s="19"/>
      <c r="G86" s="209" t="s">
        <v>89</v>
      </c>
      <c r="H86" s="273" t="n">
        <f aca="false">((((H83*H29)+H81))/(1-H70))*H70</f>
        <v>232.2218067395</v>
      </c>
      <c r="I86" s="207"/>
      <c r="J86" s="207"/>
      <c r="K86" s="210"/>
      <c r="L86" s="19"/>
      <c r="M86" s="209" t="s">
        <v>89</v>
      </c>
      <c r="N86" s="273" t="n">
        <f aca="false">(N85/(1-N70))*N70</f>
        <v>229.426324690286</v>
      </c>
      <c r="O86" s="207"/>
      <c r="P86" s="207"/>
      <c r="Q86" s="210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8.75" hidden="false" customHeight="true" outlineLevel="0" collapsed="false">
      <c r="A87" s="252" t="s">
        <v>90</v>
      </c>
      <c r="B87" s="139" t="n">
        <f aca="false">IF(B110="YES",((B85+B86)-E114),((B85+B86)))</f>
        <v>30841.6235165735</v>
      </c>
      <c r="C87" s="387"/>
      <c r="D87" s="389"/>
      <c r="E87" s="380" t="n">
        <f aca="false">E86+E85</f>
        <v>881.189243330672</v>
      </c>
      <c r="F87" s="19"/>
      <c r="G87" s="252" t="s">
        <v>90</v>
      </c>
      <c r="H87" s="139" t="n">
        <f aca="false">IF(H110="YES",((H85+H86)-K114),(H85+H86))</f>
        <v>33128.0994585806</v>
      </c>
      <c r="I87" s="207"/>
      <c r="J87" s="207"/>
      <c r="K87" s="210"/>
      <c r="L87" s="19"/>
      <c r="M87" s="252" t="s">
        <v>90</v>
      </c>
      <c r="N87" s="139" t="n">
        <f aca="false">IF(N110="YES",((N85+N86)-Q114),(N85+N86))</f>
        <v>27312.6577012246</v>
      </c>
      <c r="O87" s="207"/>
      <c r="P87" s="207"/>
      <c r="Q87" s="210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8.75" hidden="false" customHeight="true" outlineLevel="0" collapsed="false">
      <c r="A88" s="209"/>
      <c r="B88" s="79"/>
      <c r="C88" s="387"/>
      <c r="D88" s="207"/>
      <c r="E88" s="380"/>
      <c r="F88" s="19"/>
      <c r="G88" s="209"/>
      <c r="H88" s="79"/>
      <c r="I88" s="207"/>
      <c r="J88" s="207"/>
      <c r="K88" s="210"/>
      <c r="L88" s="19"/>
      <c r="M88" s="209"/>
      <c r="N88" s="79"/>
      <c r="O88" s="207"/>
      <c r="P88" s="207"/>
      <c r="Q88" s="210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8.75" hidden="false" customHeight="true" outlineLevel="0" collapsed="false">
      <c r="A89" s="276" t="s">
        <v>91</v>
      </c>
      <c r="B89" s="277" t="n">
        <f aca="false">IF(B99=Y98, (I32+(I32*B105))/(B58), (I32+(I32*B105))/(B57+B58))*(C45/100)</f>
        <v>0</v>
      </c>
      <c r="C89" s="387"/>
      <c r="D89" s="207"/>
      <c r="E89" s="210"/>
      <c r="F89" s="19"/>
      <c r="G89" s="276" t="s">
        <v>91</v>
      </c>
      <c r="H89" s="277" t="n">
        <f aca="false">IF(H99=Y98, (D40+(D40*H105))/(H58), (D40+(D40*H105))/(H57+H58))*1.2</f>
        <v>0</v>
      </c>
      <c r="I89" s="207"/>
      <c r="J89" s="207"/>
      <c r="K89" s="210"/>
      <c r="L89" s="19"/>
      <c r="M89" s="276" t="s">
        <v>91</v>
      </c>
      <c r="N89" s="277" t="n">
        <f aca="false">IF(N99=Y98, (D40+(D40*N105))/(N58), (D40+(D40*N105))/(N57+N58))</f>
        <v>0</v>
      </c>
      <c r="O89" s="207"/>
      <c r="P89" s="207"/>
      <c r="Q89" s="210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8.75" hidden="false" customHeight="true" outlineLevel="0" collapsed="false">
      <c r="A90" s="281" t="s">
        <v>92</v>
      </c>
      <c r="B90" s="282" t="n">
        <f aca="false">IF(B99=Y98, (B87-D105)/(B58), B87/(B57+B58))</f>
        <v>881.189243330672</v>
      </c>
      <c r="C90" s="387"/>
      <c r="D90" s="207"/>
      <c r="E90" s="390"/>
      <c r="F90" s="19"/>
      <c r="G90" s="281" t="s">
        <v>92</v>
      </c>
      <c r="H90" s="282" t="n">
        <f aca="false">IF(H99=Y98, (H87-J105)/(H58), H87/(H57+H58))</f>
        <v>828.202486464516</v>
      </c>
      <c r="I90" s="207"/>
      <c r="J90" s="207"/>
      <c r="K90" s="210"/>
      <c r="L90" s="19"/>
      <c r="M90" s="281" t="s">
        <v>92</v>
      </c>
      <c r="N90" s="282" t="n">
        <f aca="false">IF(N99=Y98, (N87-P105)/(N58), N87/(N57+N58))</f>
        <v>682.816442530614</v>
      </c>
      <c r="O90" s="207"/>
      <c r="P90" s="207"/>
      <c r="Q90" s="210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8.75" hidden="false" customHeight="true" outlineLevel="0" collapsed="false">
      <c r="A91" s="283" t="s">
        <v>93</v>
      </c>
      <c r="B91" s="284" t="n">
        <f aca="false">IF(A105="YES", B90+B89, B90)</f>
        <v>881.189243330672</v>
      </c>
      <c r="C91" s="387"/>
      <c r="D91" s="391"/>
      <c r="E91" s="266"/>
      <c r="F91" s="19"/>
      <c r="G91" s="283" t="s">
        <v>93</v>
      </c>
      <c r="H91" s="284" t="n">
        <f aca="false">IF(G105="YES", H90+H89, H90)</f>
        <v>828.202486464516</v>
      </c>
      <c r="I91" s="207"/>
      <c r="J91" s="207"/>
      <c r="K91" s="210"/>
      <c r="L91" s="19"/>
      <c r="M91" s="283" t="s">
        <v>93</v>
      </c>
      <c r="N91" s="284" t="n">
        <f aca="false">IF(M105="YES", N90+N89, N90)</f>
        <v>682.816442530614</v>
      </c>
      <c r="O91" s="207"/>
      <c r="P91" s="207"/>
      <c r="Q91" s="210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8.75" hidden="false" customHeight="true" outlineLevel="0" collapsed="false">
      <c r="A92" s="252"/>
      <c r="B92" s="392"/>
      <c r="C92" s="253"/>
      <c r="D92" s="253"/>
      <c r="E92" s="254"/>
      <c r="F92" s="19"/>
      <c r="G92" s="252"/>
      <c r="H92" s="253"/>
      <c r="I92" s="253"/>
      <c r="J92" s="253"/>
      <c r="K92" s="254"/>
      <c r="L92" s="19"/>
      <c r="M92" s="252"/>
      <c r="N92" s="253"/>
      <c r="O92" s="253"/>
      <c r="P92" s="253"/>
      <c r="Q92" s="254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8.75" hidden="false" customHeight="true" outlineLevel="0" collapsed="false">
      <c r="A93" s="207"/>
      <c r="B93" s="207"/>
      <c r="C93" s="207"/>
      <c r="D93" s="207"/>
      <c r="E93" s="207"/>
      <c r="F93" s="19"/>
      <c r="G93" s="207"/>
      <c r="H93" s="207"/>
      <c r="I93" s="207"/>
      <c r="J93" s="207"/>
      <c r="K93" s="207"/>
      <c r="L93" s="19"/>
      <c r="M93" s="207"/>
      <c r="N93" s="207"/>
      <c r="O93" s="207"/>
      <c r="P93" s="207"/>
      <c r="Q93" s="207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56.25" hidden="false" customHeight="true" outlineLevel="0" collapsed="false">
      <c r="A94" s="208" t="s">
        <v>249</v>
      </c>
      <c r="B94" s="208"/>
      <c r="C94" s="208"/>
      <c r="D94" s="208"/>
      <c r="E94" s="208"/>
      <c r="F94" s="19"/>
      <c r="G94" s="208" t="s">
        <v>250</v>
      </c>
      <c r="H94" s="208"/>
      <c r="I94" s="208"/>
      <c r="J94" s="208"/>
      <c r="K94" s="208"/>
      <c r="L94" s="19"/>
      <c r="M94" s="208" t="s">
        <v>251</v>
      </c>
      <c r="N94" s="208"/>
      <c r="O94" s="208"/>
      <c r="P94" s="208"/>
      <c r="Q94" s="208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8.75" hidden="false" customHeight="true" outlineLevel="0" collapsed="false">
      <c r="A95" s="209"/>
      <c r="B95" s="207"/>
      <c r="C95" s="207"/>
      <c r="D95" s="207"/>
      <c r="E95" s="210" t="s">
        <v>321</v>
      </c>
      <c r="F95" s="19"/>
      <c r="G95" s="209"/>
      <c r="H95" s="207"/>
      <c r="I95" s="207"/>
      <c r="J95" s="207"/>
      <c r="K95" s="210"/>
      <c r="L95" s="19"/>
      <c r="M95" s="209"/>
      <c r="N95" s="207"/>
      <c r="O95" s="207"/>
      <c r="P95" s="207"/>
      <c r="Q95" s="210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8.75" hidden="false" customHeight="true" outlineLevel="0" collapsed="false">
      <c r="A96" s="211" t="s">
        <v>26</v>
      </c>
      <c r="B96" s="211"/>
      <c r="C96" s="211"/>
      <c r="D96" s="211"/>
      <c r="E96" s="211"/>
      <c r="F96" s="19"/>
      <c r="G96" s="211" t="s">
        <v>26</v>
      </c>
      <c r="H96" s="211"/>
      <c r="I96" s="211"/>
      <c r="J96" s="211"/>
      <c r="K96" s="211"/>
      <c r="L96" s="19"/>
      <c r="M96" s="211" t="s">
        <v>26</v>
      </c>
      <c r="N96" s="211"/>
      <c r="O96" s="211"/>
      <c r="P96" s="211"/>
      <c r="Q96" s="211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8.75" hidden="false" customHeight="true" outlineLevel="0" collapsed="false">
      <c r="A97" s="209"/>
      <c r="B97" s="393"/>
      <c r="C97" s="393"/>
      <c r="D97" s="207"/>
      <c r="E97" s="210"/>
      <c r="F97" s="19"/>
      <c r="G97" s="209"/>
      <c r="H97" s="207"/>
      <c r="I97" s="207"/>
      <c r="J97" s="207"/>
      <c r="K97" s="210"/>
      <c r="L97" s="19"/>
      <c r="M97" s="209"/>
      <c r="N97" s="207"/>
      <c r="O97" s="207"/>
      <c r="P97" s="207"/>
      <c r="Q97" s="210"/>
      <c r="R97" s="19"/>
      <c r="S97" s="19"/>
      <c r="T97" s="19"/>
      <c r="U97" s="19"/>
      <c r="V97" s="19"/>
      <c r="W97" s="19"/>
      <c r="X97" s="19"/>
      <c r="Y97" s="19" t="s">
        <v>100</v>
      </c>
      <c r="Z97" s="19"/>
      <c r="AC97" s="394"/>
    </row>
    <row r="98" customFormat="false" ht="18.75" hidden="false" customHeight="true" outlineLevel="0" collapsed="false">
      <c r="A98" s="209" t="s">
        <v>98</v>
      </c>
      <c r="B98" s="207" t="s">
        <v>23</v>
      </c>
      <c r="C98" s="207"/>
      <c r="D98" s="207" t="s">
        <v>252</v>
      </c>
      <c r="E98" s="210"/>
      <c r="F98" s="19"/>
      <c r="G98" s="209" t="s">
        <v>98</v>
      </c>
      <c r="H98" s="207" t="s">
        <v>23</v>
      </c>
      <c r="I98" s="207"/>
      <c r="J98" s="207" t="s">
        <v>252</v>
      </c>
      <c r="K98" s="210"/>
      <c r="L98" s="19"/>
      <c r="M98" s="209" t="s">
        <v>98</v>
      </c>
      <c r="N98" s="207" t="s">
        <v>23</v>
      </c>
      <c r="O98" s="207"/>
      <c r="P98" s="207" t="s">
        <v>252</v>
      </c>
      <c r="Q98" s="210"/>
      <c r="R98" s="19"/>
      <c r="S98" s="19"/>
      <c r="T98" s="19"/>
      <c r="U98" s="19"/>
      <c r="V98" s="19"/>
      <c r="W98" s="19"/>
      <c r="X98" s="19"/>
      <c r="Y98" s="19" t="s">
        <v>253</v>
      </c>
      <c r="Z98" s="19"/>
    </row>
    <row r="99" customFormat="false" ht="18.75" hidden="false" customHeight="true" outlineLevel="0" collapsed="false">
      <c r="A99" s="214" t="s">
        <v>254</v>
      </c>
      <c r="B99" s="286" t="s">
        <v>100</v>
      </c>
      <c r="C99" s="286"/>
      <c r="D99" s="72" t="n">
        <v>1000</v>
      </c>
      <c r="E99" s="72"/>
      <c r="F99" s="19"/>
      <c r="G99" s="214" t="s">
        <v>254</v>
      </c>
      <c r="H99" s="286" t="s">
        <v>258</v>
      </c>
      <c r="I99" s="286"/>
      <c r="J99" s="72" t="n">
        <v>0</v>
      </c>
      <c r="K99" s="72"/>
      <c r="L99" s="19"/>
      <c r="M99" s="214" t="s">
        <v>254</v>
      </c>
      <c r="N99" s="286" t="s">
        <v>258</v>
      </c>
      <c r="O99" s="286"/>
      <c r="P99" s="72" t="n">
        <v>0</v>
      </c>
      <c r="Q99" s="72"/>
      <c r="R99" s="19"/>
      <c r="S99" s="19"/>
      <c r="T99" s="19"/>
      <c r="U99" s="19"/>
      <c r="V99" s="19"/>
      <c r="W99" s="19"/>
      <c r="X99" s="19"/>
      <c r="Y99" s="19" t="s">
        <v>257</v>
      </c>
      <c r="Z99" s="19"/>
    </row>
    <row r="100" customFormat="false" ht="18.75" hidden="false" customHeight="true" outlineLevel="0" collapsed="false">
      <c r="A100" s="209"/>
      <c r="B100" s="207"/>
      <c r="C100" s="207"/>
      <c r="D100" s="207"/>
      <c r="E100" s="210"/>
      <c r="F100" s="19"/>
      <c r="G100" s="209"/>
      <c r="H100" s="207"/>
      <c r="I100" s="207"/>
      <c r="J100" s="207"/>
      <c r="K100" s="210"/>
      <c r="L100" s="19"/>
      <c r="M100" s="209"/>
      <c r="N100" s="207"/>
      <c r="O100" s="207"/>
      <c r="P100" s="207"/>
      <c r="Q100" s="210"/>
      <c r="R100" s="19"/>
      <c r="S100" s="19"/>
      <c r="T100" s="19"/>
      <c r="U100" s="19"/>
      <c r="V100" s="19"/>
      <c r="W100" s="19"/>
      <c r="X100" s="19"/>
      <c r="Y100" s="19" t="s">
        <v>258</v>
      </c>
      <c r="Z100" s="19"/>
    </row>
    <row r="101" customFormat="false" ht="18.75" hidden="false" customHeight="true" outlineLevel="0" collapsed="false">
      <c r="A101" s="209" t="s">
        <v>259</v>
      </c>
      <c r="B101" s="207" t="s">
        <v>260</v>
      </c>
      <c r="C101" s="207"/>
      <c r="D101" s="207" t="s">
        <v>322</v>
      </c>
      <c r="E101" s="210"/>
      <c r="F101" s="19"/>
      <c r="G101" s="209" t="s">
        <v>259</v>
      </c>
      <c r="H101" s="207" t="s">
        <v>260</v>
      </c>
      <c r="I101" s="207"/>
      <c r="J101" s="207" t="s">
        <v>261</v>
      </c>
      <c r="K101" s="210"/>
      <c r="L101" s="19"/>
      <c r="M101" s="209" t="s">
        <v>259</v>
      </c>
      <c r="N101" s="207" t="s">
        <v>260</v>
      </c>
      <c r="O101" s="207"/>
      <c r="P101" s="207" t="s">
        <v>261</v>
      </c>
      <c r="Q101" s="210"/>
      <c r="R101" s="19"/>
      <c r="S101" s="19"/>
      <c r="T101" s="19"/>
      <c r="U101" s="19"/>
      <c r="V101" s="19"/>
      <c r="W101" s="19"/>
      <c r="X101" s="19"/>
      <c r="Y101" s="19" t="s">
        <v>262</v>
      </c>
      <c r="Z101" s="19"/>
    </row>
    <row r="102" customFormat="false" ht="18.75" hidden="false" customHeight="true" outlineLevel="0" collapsed="false">
      <c r="A102" s="288" t="n">
        <v>199.99</v>
      </c>
      <c r="B102" s="72" t="n">
        <v>0</v>
      </c>
      <c r="C102" s="72"/>
      <c r="D102" s="72" t="n">
        <v>0</v>
      </c>
      <c r="E102" s="72"/>
      <c r="F102" s="19"/>
      <c r="G102" s="288" t="n">
        <v>199.99</v>
      </c>
      <c r="H102" s="72" t="n">
        <v>0</v>
      </c>
      <c r="I102" s="72"/>
      <c r="J102" s="72" t="n">
        <v>0</v>
      </c>
      <c r="K102" s="72"/>
      <c r="L102" s="19"/>
      <c r="M102" s="288" t="n">
        <v>199.99</v>
      </c>
      <c r="N102" s="72" t="n">
        <v>0</v>
      </c>
      <c r="O102" s="72"/>
      <c r="P102" s="72" t="n">
        <v>0</v>
      </c>
      <c r="Q102" s="72"/>
      <c r="R102" s="19"/>
      <c r="S102" s="19"/>
      <c r="T102" s="19"/>
      <c r="U102" s="19"/>
      <c r="V102" s="19"/>
      <c r="W102" s="19"/>
      <c r="X102" s="19"/>
      <c r="Y102" s="19" t="s">
        <v>256</v>
      </c>
      <c r="Z102" s="19"/>
    </row>
    <row r="103" customFormat="false" ht="18.75" hidden="false" customHeight="true" outlineLevel="0" collapsed="false">
      <c r="A103" s="209"/>
      <c r="B103" s="207"/>
      <c r="C103" s="207"/>
      <c r="D103" s="207"/>
      <c r="E103" s="210"/>
      <c r="F103" s="19"/>
      <c r="G103" s="209"/>
      <c r="H103" s="207"/>
      <c r="I103" s="207"/>
      <c r="J103" s="207"/>
      <c r="K103" s="210"/>
      <c r="L103" s="19"/>
      <c r="M103" s="209"/>
      <c r="N103" s="207"/>
      <c r="O103" s="207"/>
      <c r="P103" s="207"/>
      <c r="Q103" s="210"/>
      <c r="R103" s="19"/>
      <c r="S103" s="19"/>
      <c r="T103" s="19"/>
      <c r="U103" s="19"/>
      <c r="V103" s="19"/>
      <c r="W103" s="19"/>
      <c r="X103" s="19"/>
      <c r="Y103" s="19" t="s">
        <v>255</v>
      </c>
      <c r="Z103" s="19"/>
    </row>
    <row r="104" customFormat="false" ht="18.75" hidden="false" customHeight="true" outlineLevel="0" collapsed="false">
      <c r="A104" s="214" t="s">
        <v>22</v>
      </c>
      <c r="B104" s="19" t="s">
        <v>101</v>
      </c>
      <c r="C104" s="207"/>
      <c r="D104" s="207" t="s">
        <v>112</v>
      </c>
      <c r="E104" s="210"/>
      <c r="F104" s="19"/>
      <c r="G104" s="214" t="s">
        <v>22</v>
      </c>
      <c r="H104" s="19" t="s">
        <v>101</v>
      </c>
      <c r="I104" s="207"/>
      <c r="J104" s="207" t="s">
        <v>112</v>
      </c>
      <c r="K104" s="210"/>
      <c r="L104" s="19"/>
      <c r="M104" s="214" t="s">
        <v>22</v>
      </c>
      <c r="N104" s="19" t="s">
        <v>101</v>
      </c>
      <c r="O104" s="207"/>
      <c r="P104" s="207" t="s">
        <v>112</v>
      </c>
      <c r="Q104" s="210"/>
      <c r="R104" s="19"/>
      <c r="S104" s="19"/>
      <c r="T104" s="19"/>
      <c r="U104" s="19"/>
      <c r="V104" s="19"/>
      <c r="W104" s="19"/>
      <c r="X104" s="19"/>
      <c r="Y104" s="19" t="s">
        <v>263</v>
      </c>
      <c r="Z104" s="19"/>
    </row>
    <row r="105" customFormat="false" ht="18.75" hidden="false" customHeight="true" outlineLevel="0" collapsed="false">
      <c r="A105" s="216" t="s">
        <v>9</v>
      </c>
      <c r="B105" s="289" t="n">
        <v>0.2</v>
      </c>
      <c r="C105" s="289"/>
      <c r="D105" s="72" t="n">
        <v>200</v>
      </c>
      <c r="E105" s="72"/>
      <c r="F105" s="19"/>
      <c r="G105" s="216" t="s">
        <v>9</v>
      </c>
      <c r="H105" s="289" t="n">
        <v>0.2</v>
      </c>
      <c r="I105" s="289"/>
      <c r="J105" s="72"/>
      <c r="K105" s="72"/>
      <c r="L105" s="19"/>
      <c r="M105" s="216" t="s">
        <v>9</v>
      </c>
      <c r="N105" s="289" t="n">
        <v>0.2</v>
      </c>
      <c r="O105" s="289"/>
      <c r="P105" s="72" t="n">
        <v>0</v>
      </c>
      <c r="Q105" s="72"/>
      <c r="R105" s="19"/>
      <c r="S105" s="19"/>
      <c r="T105" s="19"/>
      <c r="U105" s="19"/>
      <c r="V105" s="19"/>
      <c r="W105" s="19"/>
      <c r="X105" s="19"/>
      <c r="Y105" s="19" t="s">
        <v>265</v>
      </c>
      <c r="Z105" s="19"/>
    </row>
    <row r="106" customFormat="false" ht="18.75" hidden="false" customHeight="true" outlineLevel="0" collapsed="false">
      <c r="A106" s="209"/>
      <c r="B106" s="207"/>
      <c r="C106" s="207"/>
      <c r="D106" s="207"/>
      <c r="E106" s="210"/>
      <c r="F106" s="19"/>
      <c r="G106" s="209"/>
      <c r="H106" s="207"/>
      <c r="I106" s="207"/>
      <c r="J106" s="207"/>
      <c r="K106" s="210"/>
      <c r="L106" s="19"/>
      <c r="M106" s="209"/>
      <c r="N106" s="207"/>
      <c r="O106" s="207"/>
      <c r="P106" s="207"/>
      <c r="Q106" s="210"/>
      <c r="R106" s="19"/>
      <c r="S106" s="19"/>
      <c r="T106" s="19"/>
      <c r="U106" s="19"/>
      <c r="V106" s="19"/>
      <c r="W106" s="19"/>
      <c r="X106" s="19"/>
      <c r="Y106" s="19"/>
      <c r="Z106" s="19"/>
    </row>
    <row r="107" customFormat="false" ht="18.75" hidden="false" customHeight="true" outlineLevel="0" collapsed="false">
      <c r="A107" s="209"/>
      <c r="B107" s="207"/>
      <c r="C107" s="207"/>
      <c r="D107" s="207"/>
      <c r="E107" s="210"/>
      <c r="F107" s="19"/>
      <c r="G107" s="209"/>
      <c r="H107" s="207"/>
      <c r="I107" s="207"/>
      <c r="J107" s="207"/>
      <c r="K107" s="210"/>
      <c r="L107" s="19"/>
      <c r="M107" s="209"/>
      <c r="N107" s="207" t="s">
        <v>266</v>
      </c>
      <c r="O107" s="216" t="s">
        <v>9</v>
      </c>
      <c r="P107" s="207"/>
      <c r="Q107" s="210"/>
      <c r="R107" s="19"/>
      <c r="S107" s="19"/>
      <c r="T107" s="19"/>
      <c r="U107" s="19"/>
      <c r="V107" s="19"/>
      <c r="W107" s="19"/>
      <c r="X107" s="19"/>
      <c r="Y107" s="19"/>
      <c r="Z107" s="19"/>
    </row>
    <row r="108" customFormat="false" ht="18.75" hidden="false" customHeight="true" outlineLevel="0" collapsed="false">
      <c r="A108" s="211" t="n">
        <v>199.99</v>
      </c>
      <c r="B108" s="211" t="n">
        <v>0</v>
      </c>
      <c r="C108" s="211"/>
      <c r="D108" s="211"/>
      <c r="E108" s="211"/>
      <c r="F108" s="19"/>
      <c r="G108" s="211" t="s">
        <v>267</v>
      </c>
      <c r="H108" s="211"/>
      <c r="I108" s="211"/>
      <c r="J108" s="211"/>
      <c r="K108" s="211"/>
      <c r="L108" s="19"/>
      <c r="M108" s="211" t="s">
        <v>267</v>
      </c>
      <c r="N108" s="211"/>
      <c r="O108" s="211"/>
      <c r="P108" s="211"/>
      <c r="Q108" s="211"/>
      <c r="R108" s="19"/>
      <c r="S108" s="19"/>
      <c r="T108" s="19"/>
      <c r="U108" s="19"/>
      <c r="V108" s="19"/>
      <c r="W108" s="19"/>
      <c r="X108" s="19"/>
      <c r="Y108" s="19"/>
      <c r="Z108" s="19"/>
    </row>
    <row r="109" customFormat="false" ht="18.75" hidden="false" customHeight="true" outlineLevel="0" collapsed="false">
      <c r="A109" s="209"/>
      <c r="B109" s="207"/>
      <c r="C109" s="207"/>
      <c r="D109" s="207"/>
      <c r="E109" s="210"/>
      <c r="F109" s="19"/>
      <c r="G109" s="209"/>
      <c r="H109" s="207"/>
      <c r="I109" s="207"/>
      <c r="J109" s="207"/>
      <c r="K109" s="210"/>
      <c r="L109" s="19"/>
      <c r="M109" s="209"/>
      <c r="N109" s="207"/>
      <c r="O109" s="207"/>
      <c r="P109" s="207"/>
      <c r="Q109" s="210"/>
      <c r="R109" s="19"/>
      <c r="S109" s="19"/>
      <c r="T109" s="19"/>
      <c r="U109" s="19"/>
      <c r="V109" s="19"/>
      <c r="W109" s="19"/>
      <c r="X109" s="19"/>
      <c r="Y109" s="19"/>
      <c r="Z109" s="19"/>
    </row>
    <row r="110" customFormat="false" ht="18.75" hidden="false" customHeight="true" outlineLevel="0" collapsed="false">
      <c r="A110" s="209" t="s">
        <v>268</v>
      </c>
      <c r="B110" s="216" t="s">
        <v>10</v>
      </c>
      <c r="C110" s="207"/>
      <c r="D110" s="207"/>
      <c r="E110" s="210"/>
      <c r="F110" s="19"/>
      <c r="G110" s="209" t="s">
        <v>268</v>
      </c>
      <c r="H110" s="216" t="s">
        <v>10</v>
      </c>
      <c r="I110" s="207"/>
      <c r="J110" s="207"/>
      <c r="K110" s="210"/>
      <c r="L110" s="19"/>
      <c r="M110" s="209" t="s">
        <v>268</v>
      </c>
      <c r="N110" s="216" t="s">
        <v>10</v>
      </c>
      <c r="O110" s="207"/>
      <c r="P110" s="207"/>
      <c r="Q110" s="210"/>
      <c r="R110" s="19"/>
      <c r="S110" s="19"/>
      <c r="T110" s="19"/>
      <c r="U110" s="19"/>
      <c r="V110" s="19"/>
      <c r="W110" s="19"/>
      <c r="X110" s="19"/>
      <c r="Y110" s="19"/>
      <c r="Z110" s="19"/>
    </row>
    <row r="111" customFormat="false" ht="18.75" hidden="false" customHeight="true" outlineLevel="0" collapsed="false">
      <c r="A111" s="209" t="s">
        <v>10</v>
      </c>
      <c r="B111" s="207"/>
      <c r="C111" s="207"/>
      <c r="D111" s="207"/>
      <c r="E111" s="210"/>
      <c r="F111" s="19"/>
      <c r="G111" s="209"/>
      <c r="H111" s="207"/>
      <c r="I111" s="207"/>
      <c r="J111" s="207"/>
      <c r="K111" s="210"/>
      <c r="L111" s="19"/>
      <c r="M111" s="209"/>
      <c r="N111" s="207"/>
      <c r="O111" s="207"/>
      <c r="P111" s="207"/>
      <c r="Q111" s="210"/>
      <c r="R111" s="19"/>
      <c r="S111" s="19"/>
      <c r="T111" s="19"/>
      <c r="U111" s="19"/>
      <c r="V111" s="19"/>
      <c r="W111" s="19"/>
      <c r="X111" s="19"/>
      <c r="Y111" s="19"/>
      <c r="Z111" s="19"/>
    </row>
    <row r="112" customFormat="false" ht="18.75" hidden="false" customHeight="true" outlineLevel="0" collapsed="false">
      <c r="A112" s="209" t="s">
        <v>146</v>
      </c>
      <c r="B112" s="207"/>
      <c r="C112" s="207"/>
      <c r="D112" s="288" t="n">
        <v>0</v>
      </c>
      <c r="E112" s="72" t="n">
        <v>0</v>
      </c>
      <c r="F112" s="19"/>
      <c r="G112" s="209" t="s">
        <v>146</v>
      </c>
      <c r="H112" s="207"/>
      <c r="I112" s="207"/>
      <c r="J112" s="288" t="n">
        <v>0</v>
      </c>
      <c r="K112" s="72" t="n">
        <v>0</v>
      </c>
      <c r="L112" s="19"/>
      <c r="M112" s="209" t="s">
        <v>146</v>
      </c>
      <c r="N112" s="207"/>
      <c r="O112" s="207"/>
      <c r="P112" s="288" t="n">
        <v>500</v>
      </c>
      <c r="Q112" s="72" t="n">
        <v>300</v>
      </c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8.75" hidden="false" customHeight="true" outlineLevel="0" collapsed="false">
      <c r="A113" s="209" t="s">
        <v>147</v>
      </c>
      <c r="B113" s="207"/>
      <c r="C113" s="207"/>
      <c r="D113" s="38" t="n">
        <f aca="false">E113</f>
        <v>0</v>
      </c>
      <c r="E113" s="72" t="n">
        <v>0</v>
      </c>
      <c r="F113" s="19"/>
      <c r="G113" s="209" t="s">
        <v>147</v>
      </c>
      <c r="H113" s="207"/>
      <c r="I113" s="207"/>
      <c r="J113" s="38" t="n">
        <f aca="false">K113</f>
        <v>0</v>
      </c>
      <c r="K113" s="72" t="n">
        <v>0</v>
      </c>
      <c r="L113" s="19"/>
      <c r="M113" s="209" t="s">
        <v>147</v>
      </c>
      <c r="N113" s="207"/>
      <c r="O113" s="207"/>
      <c r="P113" s="38" t="n">
        <f aca="false">Q113</f>
        <v>100</v>
      </c>
      <c r="Q113" s="72" t="n">
        <v>100</v>
      </c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8.75" hidden="false" customHeight="true" outlineLevel="0" collapsed="false">
      <c r="A114" s="209" t="s">
        <v>148</v>
      </c>
      <c r="B114" s="207"/>
      <c r="C114" s="207"/>
      <c r="D114" s="38" t="n">
        <f aca="false">D112-D113</f>
        <v>0</v>
      </c>
      <c r="E114" s="163" t="n">
        <f aca="false">E112-E113</f>
        <v>0</v>
      </c>
      <c r="F114" s="19"/>
      <c r="G114" s="209" t="s">
        <v>148</v>
      </c>
      <c r="H114" s="207"/>
      <c r="I114" s="207"/>
      <c r="J114" s="38" t="n">
        <f aca="false">J112-J113</f>
        <v>0</v>
      </c>
      <c r="K114" s="163" t="n">
        <f aca="false">K112-K113</f>
        <v>0</v>
      </c>
      <c r="L114" s="19"/>
      <c r="M114" s="209" t="s">
        <v>148</v>
      </c>
      <c r="N114" s="207"/>
      <c r="O114" s="207"/>
      <c r="P114" s="38" t="n">
        <f aca="false">P112-P113</f>
        <v>400</v>
      </c>
      <c r="Q114" s="163" t="n">
        <f aca="false">Q112-Q113</f>
        <v>200</v>
      </c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8.75" hidden="false" customHeight="true" outlineLevel="0" collapsed="false">
      <c r="A115" s="209" t="s">
        <v>149</v>
      </c>
      <c r="B115" s="207"/>
      <c r="C115" s="207"/>
      <c r="D115" s="38" t="n">
        <f aca="false">D114-E114</f>
        <v>0</v>
      </c>
      <c r="E115" s="210"/>
      <c r="F115" s="19"/>
      <c r="G115" s="209" t="s">
        <v>149</v>
      </c>
      <c r="H115" s="207"/>
      <c r="I115" s="207"/>
      <c r="J115" s="38" t="n">
        <f aca="false">J114-K114</f>
        <v>0</v>
      </c>
      <c r="K115" s="210"/>
      <c r="L115" s="19"/>
      <c r="M115" s="209" t="s">
        <v>149</v>
      </c>
      <c r="N115" s="207"/>
      <c r="O115" s="207"/>
      <c r="P115" s="38" t="n">
        <f aca="false">P114-Q114</f>
        <v>200</v>
      </c>
      <c r="Q115" s="210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8.75" hidden="false" customHeight="true" outlineLevel="0" collapsed="false">
      <c r="A116" s="209"/>
      <c r="B116" s="207"/>
      <c r="C116" s="207"/>
      <c r="D116" s="207"/>
      <c r="E116" s="210"/>
      <c r="F116" s="19"/>
      <c r="G116" s="209"/>
      <c r="H116" s="207"/>
      <c r="I116" s="207"/>
      <c r="J116" s="207"/>
      <c r="K116" s="210"/>
      <c r="L116" s="19"/>
      <c r="M116" s="209"/>
      <c r="N116" s="207"/>
      <c r="O116" s="207"/>
      <c r="P116" s="207"/>
      <c r="Q116" s="210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8.75" hidden="false" customHeight="true" outlineLevel="0" collapsed="false">
      <c r="A117" s="255" t="s">
        <v>108</v>
      </c>
      <c r="B117" s="256"/>
      <c r="C117" s="256"/>
      <c r="D117" s="256"/>
      <c r="E117" s="137" t="n">
        <f aca="false">D99</f>
        <v>1000</v>
      </c>
      <c r="F117" s="19"/>
      <c r="G117" s="255" t="s">
        <v>108</v>
      </c>
      <c r="H117" s="256"/>
      <c r="I117" s="256"/>
      <c r="J117" s="256"/>
      <c r="K117" s="137" t="n">
        <f aca="false">J99</f>
        <v>0</v>
      </c>
      <c r="L117" s="19"/>
      <c r="M117" s="255" t="s">
        <v>108</v>
      </c>
      <c r="N117" s="256"/>
      <c r="O117" s="256"/>
      <c r="P117" s="256"/>
      <c r="Q117" s="137" t="n">
        <f aca="false">P99</f>
        <v>0</v>
      </c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8.75" hidden="false" customHeight="true" outlineLevel="0" collapsed="false">
      <c r="A118" s="209" t="s">
        <v>152</v>
      </c>
      <c r="B118" s="207"/>
      <c r="C118" s="207"/>
      <c r="D118" s="207"/>
      <c r="E118" s="273" t="n">
        <v>199.99</v>
      </c>
      <c r="F118" s="19"/>
      <c r="G118" s="209" t="s">
        <v>152</v>
      </c>
      <c r="H118" s="207"/>
      <c r="I118" s="207"/>
      <c r="J118" s="207"/>
      <c r="K118" s="273" t="n">
        <f aca="false">G102</f>
        <v>199.99</v>
      </c>
      <c r="L118" s="19"/>
      <c r="M118" s="209" t="s">
        <v>152</v>
      </c>
      <c r="N118" s="207"/>
      <c r="O118" s="207"/>
      <c r="P118" s="207"/>
      <c r="Q118" s="273" t="n">
        <f aca="false">M102</f>
        <v>199.99</v>
      </c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8.75" hidden="false" customHeight="true" outlineLevel="0" collapsed="false">
      <c r="A119" s="290" t="s">
        <v>269</v>
      </c>
      <c r="B119" s="253"/>
      <c r="C119" s="253"/>
      <c r="D119" s="253"/>
      <c r="E119" s="139" t="n">
        <f aca="false">IF(B110="YES",((E118*1.2)+E117)-E114,((E118*1.2)+E117))</f>
        <v>1239.988</v>
      </c>
      <c r="F119" s="19"/>
      <c r="G119" s="290" t="s">
        <v>269</v>
      </c>
      <c r="H119" s="253"/>
      <c r="I119" s="253"/>
      <c r="J119" s="253"/>
      <c r="K119" s="139" t="n">
        <f aca="false">((K118/1.2)+K117)-(J115-K113)</f>
        <v>166.658333333333</v>
      </c>
      <c r="L119" s="19"/>
      <c r="M119" s="290" t="s">
        <v>269</v>
      </c>
      <c r="N119" s="253"/>
      <c r="O119" s="253"/>
      <c r="P119" s="253"/>
      <c r="Q119" s="139" t="n">
        <f aca="false">(Q118+Q117)-P115</f>
        <v>-0.00999999999999091</v>
      </c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8.75" hidden="false" customHeight="true" outlineLevel="0" collapsed="false">
      <c r="A120" s="209"/>
      <c r="B120" s="207"/>
      <c r="C120" s="207"/>
      <c r="D120" s="207"/>
      <c r="E120" s="210"/>
      <c r="F120" s="19"/>
      <c r="G120" s="209"/>
      <c r="H120" s="207"/>
      <c r="I120" s="207"/>
      <c r="J120" s="207"/>
      <c r="K120" s="210"/>
      <c r="L120" s="19"/>
      <c r="M120" s="209"/>
      <c r="N120" s="207"/>
      <c r="O120" s="207"/>
      <c r="P120" s="207"/>
      <c r="Q120" s="210"/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8.75" hidden="false" customHeight="true" outlineLevel="0" collapsed="false">
      <c r="A121" s="209"/>
      <c r="B121" s="207"/>
      <c r="C121" s="207"/>
      <c r="D121" s="207"/>
      <c r="E121" s="210"/>
      <c r="F121" s="19"/>
      <c r="G121" s="209"/>
      <c r="H121" s="207"/>
      <c r="I121" s="207"/>
      <c r="J121" s="207"/>
      <c r="K121" s="210"/>
      <c r="L121" s="19"/>
      <c r="M121" s="209"/>
      <c r="N121" s="207"/>
      <c r="O121" s="207"/>
      <c r="P121" s="207"/>
      <c r="Q121" s="210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8.75" hidden="false" customHeight="true" outlineLevel="0" collapsed="false">
      <c r="A122" s="211" t="s">
        <v>270</v>
      </c>
      <c r="B122" s="211"/>
      <c r="C122" s="211"/>
      <c r="D122" s="211"/>
      <c r="E122" s="211"/>
      <c r="F122" s="19"/>
      <c r="G122" s="211" t="s">
        <v>270</v>
      </c>
      <c r="H122" s="211"/>
      <c r="I122" s="211"/>
      <c r="J122" s="211"/>
      <c r="K122" s="211"/>
      <c r="L122" s="19"/>
      <c r="M122" s="211" t="s">
        <v>270</v>
      </c>
      <c r="N122" s="211"/>
      <c r="O122" s="211"/>
      <c r="P122" s="211"/>
      <c r="Q122" s="211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8.75" hidden="false" customHeight="true" outlineLevel="0" collapsed="false">
      <c r="A123" s="291"/>
      <c r="B123" s="292"/>
      <c r="C123" s="292"/>
      <c r="D123" s="292"/>
      <c r="E123" s="293"/>
      <c r="F123" s="19"/>
      <c r="G123" s="209"/>
      <c r="H123" s="207"/>
      <c r="I123" s="207"/>
      <c r="J123" s="207"/>
      <c r="K123" s="210"/>
      <c r="L123" s="19"/>
      <c r="M123" s="209"/>
      <c r="N123" s="207"/>
      <c r="O123" s="207"/>
      <c r="P123" s="207"/>
      <c r="Q123" s="210"/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8.75" hidden="false" customHeight="true" outlineLevel="0" collapsed="false">
      <c r="A124" s="294" t="s">
        <v>98</v>
      </c>
      <c r="B124" s="295" t="n">
        <v>0</v>
      </c>
      <c r="C124" s="296"/>
      <c r="D124" s="295" t="s">
        <v>33</v>
      </c>
      <c r="E124" s="297"/>
      <c r="F124" s="19"/>
      <c r="G124" s="209" t="s">
        <v>29</v>
      </c>
      <c r="H124" s="168" t="n">
        <v>0</v>
      </c>
      <c r="I124" s="168"/>
      <c r="J124" s="207"/>
      <c r="K124" s="210"/>
      <c r="L124" s="19"/>
      <c r="M124" s="209" t="s">
        <v>29</v>
      </c>
      <c r="N124" s="168" t="n">
        <v>0</v>
      </c>
      <c r="O124" s="168"/>
      <c r="P124" s="207"/>
      <c r="Q124" s="210"/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8.75" hidden="false" customHeight="true" outlineLevel="0" collapsed="false">
      <c r="A125" s="298" t="s">
        <v>254</v>
      </c>
      <c r="B125" s="299" t="n">
        <f aca="false">A161</f>
        <v>35</v>
      </c>
      <c r="C125" s="300"/>
      <c r="D125" s="299" t="n">
        <f aca="false">B160</f>
        <v>35000</v>
      </c>
      <c r="E125" s="297"/>
      <c r="F125" s="19"/>
      <c r="G125" s="209"/>
      <c r="H125" s="207"/>
      <c r="I125" s="207"/>
      <c r="J125" s="207"/>
      <c r="K125" s="210"/>
      <c r="L125" s="19"/>
      <c r="M125" s="209"/>
      <c r="N125" s="207"/>
      <c r="O125" s="207"/>
      <c r="P125" s="207"/>
      <c r="Q125" s="210"/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8.75" hidden="false" customHeight="true" outlineLevel="0" collapsed="false">
      <c r="A126" s="294"/>
      <c r="B126" s="295"/>
      <c r="C126" s="295"/>
      <c r="D126" s="295"/>
      <c r="E126" s="297"/>
      <c r="F126" s="19"/>
      <c r="G126" s="302" t="s">
        <v>273</v>
      </c>
      <c r="H126" s="303" t="s">
        <v>274</v>
      </c>
      <c r="I126" s="303"/>
      <c r="J126" s="303" t="s">
        <v>275</v>
      </c>
      <c r="K126" s="210"/>
      <c r="L126" s="19"/>
      <c r="M126" s="302" t="s">
        <v>276</v>
      </c>
      <c r="N126" s="303" t="s">
        <v>227</v>
      </c>
      <c r="O126" s="303"/>
      <c r="P126" s="303" t="s">
        <v>93</v>
      </c>
      <c r="Q126" s="210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8.75" hidden="false" customHeight="true" outlineLevel="0" collapsed="false">
      <c r="A127" s="294" t="s">
        <v>92</v>
      </c>
      <c r="B127" s="295" t="s">
        <v>271</v>
      </c>
      <c r="C127" s="296"/>
      <c r="D127" s="295" t="s">
        <v>272</v>
      </c>
      <c r="E127" s="297"/>
      <c r="F127" s="19"/>
      <c r="G127" s="307" t="n">
        <f aca="false">H90</f>
        <v>828.202486464516</v>
      </c>
      <c r="H127" s="172" t="n">
        <f aca="false">IF(G105="YES", H89*H57, 0)</f>
        <v>0</v>
      </c>
      <c r="I127" s="172"/>
      <c r="J127" s="308" t="n">
        <f aca="false">H91</f>
        <v>828.202486464516</v>
      </c>
      <c r="K127" s="210"/>
      <c r="L127" s="19"/>
      <c r="M127" s="307" t="n">
        <f aca="false">N90</f>
        <v>682.816442530614</v>
      </c>
      <c r="N127" s="172" t="n">
        <f aca="false">IF(M105="YES", N89*N57, 0)</f>
        <v>0</v>
      </c>
      <c r="O127" s="172"/>
      <c r="P127" s="172" t="n">
        <f aca="false">N91</f>
        <v>682.816442530614</v>
      </c>
      <c r="Q127" s="210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8.75" hidden="false" customHeight="true" outlineLevel="0" collapsed="false">
      <c r="A128" s="298" t="n">
        <f aca="false">B90</f>
        <v>881.189243330672</v>
      </c>
      <c r="B128" s="296" t="n">
        <f aca="false">IF(A105="YES", B89, 0)</f>
        <v>0</v>
      </c>
      <c r="C128" s="300"/>
      <c r="D128" s="296" t="n">
        <f aca="false">B91</f>
        <v>881.189243330672</v>
      </c>
      <c r="E128" s="297"/>
      <c r="F128" s="19"/>
      <c r="G128" s="209"/>
      <c r="H128" s="207"/>
      <c r="I128" s="207"/>
      <c r="J128" s="207"/>
      <c r="K128" s="210"/>
      <c r="L128" s="19"/>
      <c r="M128" s="209"/>
      <c r="N128" s="207"/>
      <c r="O128" s="207"/>
      <c r="P128" s="207"/>
      <c r="Q128" s="210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8.75" hidden="false" customHeight="true" outlineLevel="0" collapsed="false">
      <c r="A129" s="291"/>
      <c r="B129" s="292"/>
      <c r="C129" s="292"/>
      <c r="D129" s="292"/>
      <c r="E129" s="293"/>
      <c r="F129" s="19"/>
      <c r="G129" s="209" t="s">
        <v>28</v>
      </c>
      <c r="H129" s="207" t="s">
        <v>33</v>
      </c>
      <c r="I129" s="207"/>
      <c r="J129" s="207" t="s">
        <v>60</v>
      </c>
      <c r="K129" s="210"/>
      <c r="L129" s="19"/>
      <c r="M129" s="209" t="s">
        <v>28</v>
      </c>
      <c r="N129" s="207" t="s">
        <v>33</v>
      </c>
      <c r="O129" s="207"/>
      <c r="P129" s="207" t="s">
        <v>60</v>
      </c>
      <c r="Q129" s="210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8.75" hidden="false" customHeight="true" outlineLevel="0" collapsed="false">
      <c r="A130" s="304" t="s">
        <v>23</v>
      </c>
      <c r="B130" s="305" t="s">
        <v>277</v>
      </c>
      <c r="C130" s="306"/>
      <c r="D130" s="305" t="s">
        <v>278</v>
      </c>
      <c r="E130" s="293"/>
      <c r="F130" s="19"/>
      <c r="G130" s="222" t="n">
        <f aca="false">G152</f>
        <v>35</v>
      </c>
      <c r="H130" s="174" t="n">
        <f aca="false">B151</f>
        <v>0</v>
      </c>
      <c r="I130" s="223"/>
      <c r="J130" s="174" t="n">
        <f aca="false">B58</f>
        <v>34</v>
      </c>
      <c r="K130" s="210"/>
      <c r="L130" s="19"/>
      <c r="M130" s="222" t="n">
        <f aca="false">M155</f>
        <v>35</v>
      </c>
      <c r="N130" s="174" t="n">
        <f aca="false">B151</f>
        <v>0</v>
      </c>
      <c r="O130" s="223"/>
      <c r="P130" s="174" t="n">
        <f aca="false">B58</f>
        <v>34</v>
      </c>
      <c r="Q130" s="210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8.75" hidden="false" customHeight="true" outlineLevel="0" collapsed="false">
      <c r="A131" s="309" t="str">
        <f aca="false">B99</f>
        <v>Monthly in advance</v>
      </c>
      <c r="B131" s="201" t="n">
        <f aca="false">B90*B57</f>
        <v>881.189243330672</v>
      </c>
      <c r="C131" s="292"/>
      <c r="D131" s="201" t="n">
        <f aca="false">IF(A105="YES", B89*B57, 0)</f>
        <v>0</v>
      </c>
      <c r="E131" s="293"/>
      <c r="F131" s="19"/>
      <c r="G131" s="209"/>
      <c r="H131" s="207"/>
      <c r="I131" s="207"/>
      <c r="J131" s="207"/>
      <c r="K131" s="210"/>
      <c r="L131" s="19"/>
      <c r="M131" s="209"/>
      <c r="N131" s="207"/>
      <c r="O131" s="207"/>
      <c r="P131" s="207"/>
      <c r="Q131" s="210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8.75" hidden="false" customHeight="true" outlineLevel="0" collapsed="false">
      <c r="A132" s="291"/>
      <c r="B132" s="292"/>
      <c r="C132" s="292"/>
      <c r="D132" s="292"/>
      <c r="E132" s="293"/>
      <c r="F132" s="19"/>
      <c r="G132" s="209" t="s">
        <v>279</v>
      </c>
      <c r="H132" s="207" t="s">
        <v>280</v>
      </c>
      <c r="I132" s="207"/>
      <c r="J132" s="207" t="s">
        <v>281</v>
      </c>
      <c r="K132" s="210"/>
      <c r="L132" s="19"/>
      <c r="M132" s="209" t="s">
        <v>282</v>
      </c>
      <c r="N132" s="207" t="s">
        <v>216</v>
      </c>
      <c r="O132" s="207"/>
      <c r="P132" s="207" t="s">
        <v>220</v>
      </c>
      <c r="Q132" s="210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8.75" hidden="false" customHeight="true" outlineLevel="0" collapsed="false">
      <c r="A133" s="123" t="s">
        <v>283</v>
      </c>
      <c r="B133" s="200" t="s">
        <v>284</v>
      </c>
      <c r="C133" s="310"/>
      <c r="D133" s="240" t="s">
        <v>177</v>
      </c>
      <c r="E133" s="293"/>
      <c r="F133" s="19"/>
      <c r="G133" s="69" t="n">
        <f aca="false">H90*H57</f>
        <v>4969.2149187871</v>
      </c>
      <c r="H133" s="37" t="n">
        <f aca="false">IF(G105="YES", H89*H57, 0)</f>
        <v>0</v>
      </c>
      <c r="I133" s="215"/>
      <c r="J133" s="232" t="n">
        <f aca="false">H91*H57</f>
        <v>4969.2149187871</v>
      </c>
      <c r="K133" s="210"/>
      <c r="L133" s="19"/>
      <c r="M133" s="69" t="n">
        <f aca="false">N90*N57</f>
        <v>4096.89865518369</v>
      </c>
      <c r="N133" s="37" t="n">
        <f aca="false">IF(M105="YES", N89*N57, 0)</f>
        <v>0</v>
      </c>
      <c r="O133" s="215"/>
      <c r="P133" s="232" t="n">
        <f aca="false">N91*N57</f>
        <v>4096.89865518369</v>
      </c>
      <c r="Q133" s="210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8.75" hidden="false" customHeight="true" outlineLevel="0" collapsed="false">
      <c r="A134" s="70" t="n">
        <f aca="false">B91*B57</f>
        <v>881.189243330672</v>
      </c>
      <c r="B134" s="201" t="n">
        <f aca="false">E114</f>
        <v>0</v>
      </c>
      <c r="C134" s="292"/>
      <c r="D134" s="311" t="n">
        <f aca="false">B58</f>
        <v>34</v>
      </c>
      <c r="E134" s="293"/>
      <c r="F134" s="19"/>
      <c r="G134" s="209"/>
      <c r="H134" s="207"/>
      <c r="I134" s="207"/>
      <c r="J134" s="207"/>
      <c r="K134" s="210"/>
      <c r="L134" s="19"/>
      <c r="M134" s="209"/>
      <c r="N134" s="207"/>
      <c r="O134" s="207"/>
      <c r="P134" s="207"/>
      <c r="Q134" s="210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8.75" hidden="false" customHeight="true" outlineLevel="0" collapsed="false">
      <c r="A135" s="70"/>
      <c r="B135" s="312"/>
      <c r="C135" s="292"/>
      <c r="D135" s="292"/>
      <c r="E135" s="293"/>
      <c r="F135" s="19"/>
      <c r="G135" s="209" t="s">
        <v>285</v>
      </c>
      <c r="H135" s="207" t="s">
        <v>286</v>
      </c>
      <c r="I135" s="207"/>
      <c r="J135" s="207" t="s">
        <v>287</v>
      </c>
      <c r="K135" s="210"/>
      <c r="L135" s="19"/>
      <c r="M135" s="209" t="s">
        <v>229</v>
      </c>
      <c r="N135" s="207" t="s">
        <v>230</v>
      </c>
      <c r="O135" s="207"/>
      <c r="P135" s="207" t="s">
        <v>235</v>
      </c>
      <c r="Q135" s="210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8.75" hidden="false" customHeight="true" outlineLevel="0" collapsed="false">
      <c r="A136" s="78" t="s">
        <v>92</v>
      </c>
      <c r="B136" s="313" t="s">
        <v>271</v>
      </c>
      <c r="C136" s="292"/>
      <c r="D136" s="292" t="s">
        <v>272</v>
      </c>
      <c r="E136" s="293"/>
      <c r="F136" s="19"/>
      <c r="G136" s="70" t="n">
        <f aca="false">E15*0.000006</f>
        <v>0</v>
      </c>
      <c r="H136" s="37" t="n">
        <f aca="false">IF(G105="YES", E15*0.000002, 0)</f>
        <v>0</v>
      </c>
      <c r="I136" s="37"/>
      <c r="J136" s="37" t="n">
        <f aca="false">G136+H136</f>
        <v>0</v>
      </c>
      <c r="K136" s="177"/>
      <c r="L136" s="19"/>
      <c r="M136" s="70" t="n">
        <f aca="false">E15*0.000006</f>
        <v>0</v>
      </c>
      <c r="N136" s="37" t="n">
        <f aca="false">IF(M105="YES", E15*0.000002, 0)</f>
        <v>0</v>
      </c>
      <c r="O136" s="37"/>
      <c r="P136" s="37" t="n">
        <f aca="false">M136+N136</f>
        <v>0</v>
      </c>
      <c r="Q136" s="177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8.75" hidden="false" customHeight="true" outlineLevel="0" collapsed="false">
      <c r="A137" s="70" t="n">
        <f aca="false">B90</f>
        <v>881.189243330672</v>
      </c>
      <c r="B137" s="201" t="n">
        <f aca="false">IF(A105="YES", B89, 0)</f>
        <v>0</v>
      </c>
      <c r="C137" s="292"/>
      <c r="D137" s="201" t="n">
        <f aca="false">B91</f>
        <v>881.189243330672</v>
      </c>
      <c r="E137" s="293"/>
      <c r="F137" s="19"/>
      <c r="G137" s="209"/>
      <c r="H137" s="207"/>
      <c r="I137" s="207"/>
      <c r="J137" s="207"/>
      <c r="K137" s="210"/>
      <c r="L137" s="19"/>
      <c r="M137" s="209"/>
      <c r="N137" s="207"/>
      <c r="O137" s="207"/>
      <c r="P137" s="207"/>
      <c r="Q137" s="210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8.75" hidden="false" customHeight="true" outlineLevel="0" collapsed="false">
      <c r="A138" s="291"/>
      <c r="B138" s="292"/>
      <c r="C138" s="292"/>
      <c r="D138" s="292"/>
      <c r="E138" s="293"/>
      <c r="F138" s="19"/>
      <c r="G138" s="209" t="s">
        <v>288</v>
      </c>
      <c r="H138" s="207" t="s">
        <v>289</v>
      </c>
      <c r="I138" s="207"/>
      <c r="J138" s="207" t="s">
        <v>290</v>
      </c>
      <c r="K138" s="210"/>
      <c r="L138" s="19"/>
      <c r="M138" s="209" t="s">
        <v>111</v>
      </c>
      <c r="N138" s="207" t="s">
        <v>289</v>
      </c>
      <c r="O138" s="207"/>
      <c r="P138" s="207" t="s">
        <v>290</v>
      </c>
      <c r="Q138" s="210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8.75" hidden="false" customHeight="true" outlineLevel="0" collapsed="false">
      <c r="A139" s="314" t="s">
        <v>180</v>
      </c>
      <c r="B139" s="315" t="s">
        <v>291</v>
      </c>
      <c r="C139" s="201"/>
      <c r="D139" s="315" t="s">
        <v>182</v>
      </c>
      <c r="E139" s="177"/>
      <c r="F139" s="19"/>
      <c r="G139" s="70" t="n">
        <f aca="false">G102</f>
        <v>199.99</v>
      </c>
      <c r="H139" s="37" t="n">
        <f aca="false">H67</f>
        <v>0</v>
      </c>
      <c r="I139" s="37"/>
      <c r="J139" s="37" t="n">
        <f aca="false">H102*0.9</f>
        <v>0</v>
      </c>
      <c r="K139" s="177"/>
      <c r="L139" s="19"/>
      <c r="M139" s="70" t="n">
        <f aca="false">M102</f>
        <v>199.99</v>
      </c>
      <c r="N139" s="37" t="n">
        <f aca="false">N67</f>
        <v>0</v>
      </c>
      <c r="O139" s="37"/>
      <c r="P139" s="37" t="n">
        <f aca="false">N102*0.9</f>
        <v>0</v>
      </c>
      <c r="Q139" s="177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8.75" hidden="false" customHeight="true" outlineLevel="0" collapsed="false">
      <c r="A140" s="316" t="n">
        <f aca="false">(B61*0.000006)*1.2*100</f>
        <v>26.93088</v>
      </c>
      <c r="B140" s="317" t="n">
        <f aca="false">IF(A105="YES", B61*0.000002, 0)*1.2*100</f>
        <v>8.97696</v>
      </c>
      <c r="C140" s="292"/>
      <c r="D140" s="317" t="n">
        <f aca="false">A140+B140</f>
        <v>35.90784</v>
      </c>
      <c r="E140" s="293"/>
      <c r="F140" s="19"/>
      <c r="G140" s="209"/>
      <c r="H140" s="207"/>
      <c r="I140" s="207"/>
      <c r="J140" s="207"/>
      <c r="K140" s="210"/>
      <c r="L140" s="19"/>
      <c r="M140" s="209"/>
      <c r="N140" s="207"/>
      <c r="O140" s="207"/>
      <c r="P140" s="207"/>
      <c r="Q140" s="210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8.75" hidden="false" customHeight="true" outlineLevel="0" collapsed="false">
      <c r="A141" s="316"/>
      <c r="B141" s="317"/>
      <c r="C141" s="292"/>
      <c r="D141" s="317"/>
      <c r="E141" s="293"/>
      <c r="F141" s="19"/>
      <c r="G141" s="209" t="s">
        <v>292</v>
      </c>
      <c r="H141" s="207" t="s">
        <v>293</v>
      </c>
      <c r="I141" s="207"/>
      <c r="J141" s="207" t="s">
        <v>294</v>
      </c>
      <c r="K141" s="210"/>
      <c r="L141" s="19"/>
      <c r="M141" s="209" t="s">
        <v>292</v>
      </c>
      <c r="N141" s="207" t="s">
        <v>293</v>
      </c>
      <c r="O141" s="207"/>
      <c r="P141" s="207" t="s">
        <v>294</v>
      </c>
      <c r="Q141" s="210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8.75" hidden="false" customHeight="true" outlineLevel="0" collapsed="false">
      <c r="A142" s="314" t="s">
        <v>295</v>
      </c>
      <c r="B142" s="315" t="s">
        <v>152</v>
      </c>
      <c r="C142" s="201"/>
      <c r="D142" s="315" t="s">
        <v>246</v>
      </c>
      <c r="E142" s="293"/>
      <c r="F142" s="19"/>
      <c r="G142" s="70" t="n">
        <f aca="false">IF(G105="YES", ((B36*H105)*0.1)*(G130), 0)</f>
        <v>0</v>
      </c>
      <c r="H142" s="37" t="n">
        <f aca="false">G102-100</f>
        <v>99.99</v>
      </c>
      <c r="I142" s="37"/>
      <c r="J142" s="37" t="e">
        <f aca="false">(H139+J139+G142+H142)-H145</f>
        <v>#DIV/0!</v>
      </c>
      <c r="K142" s="177"/>
      <c r="L142" s="19"/>
      <c r="M142" s="70" t="n">
        <f aca="false">IF(M105="YES", ((B36*N105)*0.1)*(M130), 0)</f>
        <v>0</v>
      </c>
      <c r="N142" s="37" t="n">
        <f aca="false">M102-100</f>
        <v>99.99</v>
      </c>
      <c r="O142" s="37"/>
      <c r="P142" s="37" t="e">
        <f aca="false">(N139+P139+M142+N142)-N145</f>
        <v>#DIV/0!</v>
      </c>
      <c r="Q142" s="177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8.75" hidden="false" customHeight="true" outlineLevel="0" collapsed="false">
      <c r="A143" s="70" t="n">
        <v>0</v>
      </c>
      <c r="B143" s="201" t="n">
        <f aca="false">E118</f>
        <v>199.99</v>
      </c>
      <c r="C143" s="292"/>
      <c r="D143" s="152" t="n">
        <f aca="false">B102</f>
        <v>0</v>
      </c>
      <c r="E143" s="293"/>
      <c r="F143" s="19"/>
      <c r="G143" s="209"/>
      <c r="H143" s="207"/>
      <c r="I143" s="207"/>
      <c r="J143" s="207"/>
      <c r="K143" s="210"/>
      <c r="L143" s="19"/>
      <c r="M143" s="209"/>
      <c r="N143" s="207"/>
      <c r="O143" s="207"/>
      <c r="P143" s="207"/>
      <c r="Q143" s="210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8.75" hidden="false" customHeight="true" outlineLevel="0" collapsed="false">
      <c r="A144" s="70"/>
      <c r="B144" s="201"/>
      <c r="C144" s="292"/>
      <c r="D144" s="201"/>
      <c r="E144" s="293"/>
      <c r="F144" s="19"/>
      <c r="G144" s="209" t="s">
        <v>296</v>
      </c>
      <c r="H144" s="207" t="s">
        <v>297</v>
      </c>
      <c r="I144" s="207"/>
      <c r="J144" s="207"/>
      <c r="K144" s="210"/>
      <c r="L144" s="19"/>
      <c r="M144" s="209" t="s">
        <v>296</v>
      </c>
      <c r="N144" s="207" t="s">
        <v>297</v>
      </c>
      <c r="O144" s="207"/>
      <c r="P144" s="207"/>
      <c r="Q144" s="210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8.75" hidden="false" customHeight="true" outlineLevel="0" collapsed="false">
      <c r="A145" s="318" t="s">
        <v>298</v>
      </c>
      <c r="B145" s="319"/>
      <c r="C145" s="320"/>
      <c r="D145" s="319"/>
      <c r="E145" s="321"/>
      <c r="F145" s="19"/>
      <c r="G145" s="70" t="n">
        <v>0</v>
      </c>
      <c r="H145" s="37" t="e">
        <f aca="false">(H139+J139+G142+H142)*(G145/H64)</f>
        <v>#DIV/0!</v>
      </c>
      <c r="I145" s="207"/>
      <c r="J145" s="207"/>
      <c r="K145" s="210"/>
      <c r="L145" s="19"/>
      <c r="M145" s="70" t="n">
        <v>0</v>
      </c>
      <c r="N145" s="37" t="e">
        <f aca="false">(N139+P139+M142+N142)*(M145/N64)</f>
        <v>#DIV/0!</v>
      </c>
      <c r="O145" s="207"/>
      <c r="P145" s="207"/>
      <c r="Q145" s="210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8.75" hidden="false" customHeight="true" outlineLevel="0" collapsed="false">
      <c r="A146" s="316"/>
      <c r="B146" s="317"/>
      <c r="C146" s="292"/>
      <c r="D146" s="317"/>
      <c r="E146" s="293"/>
      <c r="F146" s="19"/>
      <c r="G146" s="209"/>
      <c r="H146" s="207"/>
      <c r="I146" s="207"/>
      <c r="J146" s="207"/>
      <c r="K146" s="210"/>
      <c r="L146" s="19"/>
      <c r="M146" s="70"/>
      <c r="N146" s="37"/>
      <c r="O146" s="207"/>
      <c r="P146" s="207"/>
      <c r="Q146" s="210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8.75" hidden="false" customHeight="true" outlineLevel="0" collapsed="false">
      <c r="A147" s="291" t="s">
        <v>299</v>
      </c>
      <c r="B147" s="292" t="s">
        <v>300</v>
      </c>
      <c r="C147" s="292"/>
      <c r="D147" s="292" t="s">
        <v>301</v>
      </c>
      <c r="E147" s="293"/>
      <c r="F147" s="19"/>
      <c r="G147" s="209"/>
      <c r="H147" s="207"/>
      <c r="I147" s="207"/>
      <c r="J147" s="207"/>
      <c r="K147" s="210"/>
      <c r="L147" s="19"/>
      <c r="M147" s="78" t="s">
        <v>302</v>
      </c>
      <c r="N147" s="38" t="s">
        <v>303</v>
      </c>
      <c r="O147" s="207"/>
      <c r="P147" s="207"/>
      <c r="Q147" s="210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8.75" hidden="false" customHeight="true" outlineLevel="0" collapsed="false">
      <c r="A148" s="70" t="n">
        <f aca="false">B67</f>
        <v>732.495</v>
      </c>
      <c r="B148" s="37" t="n">
        <f aca="false">B102</f>
        <v>0</v>
      </c>
      <c r="C148" s="201"/>
      <c r="D148" s="201" t="n">
        <f aca="false">IF(A105="YES", (B40*B105)*B125, 0)*0.1</f>
        <v>0</v>
      </c>
      <c r="E148" s="177"/>
      <c r="F148" s="19"/>
      <c r="G148" s="243" t="s">
        <v>304</v>
      </c>
      <c r="H148" s="207"/>
      <c r="I148" s="207"/>
      <c r="J148" s="244"/>
      <c r="K148" s="245"/>
      <c r="L148" s="19"/>
      <c r="M148" s="322" t="n">
        <v>18000</v>
      </c>
      <c r="N148" s="323" t="n">
        <v>0.99</v>
      </c>
      <c r="O148" s="323"/>
      <c r="P148" s="207"/>
      <c r="Q148" s="210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8.75" hidden="false" customHeight="true" outlineLevel="0" collapsed="false">
      <c r="A149" s="291"/>
      <c r="B149" s="292"/>
      <c r="C149" s="292"/>
      <c r="D149" s="292"/>
      <c r="E149" s="293"/>
      <c r="F149" s="19"/>
      <c r="G149" s="209"/>
      <c r="H149" s="246"/>
      <c r="I149" s="246"/>
      <c r="J149" s="207"/>
      <c r="K149" s="210"/>
      <c r="L149" s="19"/>
      <c r="M149" s="209"/>
      <c r="N149" s="207"/>
      <c r="O149" s="207"/>
      <c r="P149" s="207"/>
      <c r="Q149" s="210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8.75" hidden="false" customHeight="true" outlineLevel="0" collapsed="false">
      <c r="A150" s="291" t="s">
        <v>305</v>
      </c>
      <c r="B150" s="292" t="s">
        <v>297</v>
      </c>
      <c r="C150" s="292"/>
      <c r="D150" s="292" t="s">
        <v>294</v>
      </c>
      <c r="E150" s="293"/>
      <c r="F150" s="19"/>
      <c r="G150" s="248" t="s">
        <v>28</v>
      </c>
      <c r="H150" s="249" t="s">
        <v>33</v>
      </c>
      <c r="I150" s="249"/>
      <c r="J150" s="207"/>
      <c r="K150" s="210"/>
      <c r="L150" s="19"/>
      <c r="M150" s="209"/>
      <c r="N150" s="207"/>
      <c r="O150" s="207"/>
      <c r="P150" s="207"/>
      <c r="Q150" s="210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8.75" hidden="false" customHeight="true" outlineLevel="0" collapsed="false">
      <c r="A151" s="70" t="n">
        <f aca="false">E118-100</f>
        <v>99.99</v>
      </c>
      <c r="B151" s="201" t="n">
        <f aca="false">(A148+B148+D148+A151)*(A143/B64)</f>
        <v>0</v>
      </c>
      <c r="C151" s="201"/>
      <c r="D151" s="201" t="n">
        <f aca="false">(A148+B148+D148+A151)-B151</f>
        <v>832.485</v>
      </c>
      <c r="E151" s="177"/>
      <c r="F151" s="19"/>
      <c r="G151" s="248"/>
      <c r="H151" s="250" t="n">
        <f aca="false">B51</f>
        <v>35000</v>
      </c>
      <c r="I151" s="250"/>
      <c r="J151" s="207"/>
      <c r="K151" s="210"/>
      <c r="L151" s="19"/>
      <c r="M151" s="243" t="s">
        <v>304</v>
      </c>
      <c r="N151" s="207"/>
      <c r="O151" s="207"/>
      <c r="P151" s="244"/>
      <c r="Q151" s="245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8.75" hidden="false" customHeight="true" outlineLevel="0" collapsed="false">
      <c r="A152" s="291"/>
      <c r="B152" s="292"/>
      <c r="C152" s="292"/>
      <c r="D152" s="292"/>
      <c r="E152" s="293"/>
      <c r="F152" s="19"/>
      <c r="G152" s="251" t="n">
        <f aca="false">A52</f>
        <v>35</v>
      </c>
      <c r="H152" s="92" t="n">
        <f aca="false">H91</f>
        <v>828.202486464516</v>
      </c>
      <c r="I152" s="92"/>
      <c r="J152" s="207"/>
      <c r="K152" s="210"/>
      <c r="L152" s="19"/>
      <c r="M152" s="209"/>
      <c r="N152" s="246"/>
      <c r="O152" s="246"/>
      <c r="P152" s="207"/>
      <c r="Q152" s="210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8.75" hidden="false" customHeight="true" outlineLevel="0" collapsed="false">
      <c r="A153" s="291" t="s">
        <v>306</v>
      </c>
      <c r="B153" s="292"/>
      <c r="C153" s="292"/>
      <c r="D153" s="292"/>
      <c r="E153" s="293"/>
      <c r="F153" s="19"/>
      <c r="G153" s="209"/>
      <c r="H153" s="207"/>
      <c r="I153" s="207"/>
      <c r="J153" s="207"/>
      <c r="K153" s="210"/>
      <c r="L153" s="19"/>
      <c r="M153" s="248" t="s">
        <v>28</v>
      </c>
      <c r="N153" s="249" t="s">
        <v>33</v>
      </c>
      <c r="O153" s="249"/>
      <c r="P153" s="207"/>
      <c r="Q153" s="210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8.75" hidden="false" customHeight="true" outlineLevel="0" collapsed="false">
      <c r="A154" s="70" t="n">
        <f aca="false">D102</f>
        <v>0</v>
      </c>
      <c r="B154" s="201"/>
      <c r="C154" s="292"/>
      <c r="D154" s="292"/>
      <c r="E154" s="293"/>
      <c r="F154" s="19"/>
      <c r="G154" s="209"/>
      <c r="H154" s="207"/>
      <c r="I154" s="207"/>
      <c r="J154" s="207"/>
      <c r="K154" s="210"/>
      <c r="L154" s="19"/>
      <c r="M154" s="248"/>
      <c r="N154" s="250" t="n">
        <f aca="false">B51</f>
        <v>35000</v>
      </c>
      <c r="O154" s="250"/>
      <c r="P154" s="207"/>
      <c r="Q154" s="210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8.75" hidden="false" customHeight="true" outlineLevel="0" collapsed="false">
      <c r="A155" s="291"/>
      <c r="B155" s="292"/>
      <c r="C155" s="292"/>
      <c r="D155" s="292"/>
      <c r="E155" s="293"/>
      <c r="F155" s="19"/>
      <c r="G155" s="209"/>
      <c r="H155" s="207"/>
      <c r="I155" s="207"/>
      <c r="J155" s="207"/>
      <c r="K155" s="210"/>
      <c r="L155" s="19"/>
      <c r="M155" s="251" t="n">
        <f aca="false">A52</f>
        <v>35</v>
      </c>
      <c r="N155" s="92" t="n">
        <f aca="false">N91</f>
        <v>682.816442530614</v>
      </c>
      <c r="O155" s="92"/>
      <c r="P155" s="207"/>
      <c r="Q155" s="210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8.75" hidden="false" customHeight="true" outlineLevel="0" collapsed="false">
      <c r="A156" s="291"/>
      <c r="B156" s="292"/>
      <c r="C156" s="292"/>
      <c r="D156" s="292"/>
      <c r="E156" s="293"/>
      <c r="F156" s="19"/>
      <c r="G156" s="209"/>
      <c r="H156" s="207"/>
      <c r="I156" s="207"/>
      <c r="J156" s="207"/>
      <c r="K156" s="210"/>
      <c r="L156" s="19"/>
      <c r="M156" s="209"/>
      <c r="N156" s="207"/>
      <c r="O156" s="207"/>
      <c r="P156" s="207"/>
      <c r="Q156" s="210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8.75" hidden="false" customHeight="true" outlineLevel="0" collapsed="false">
      <c r="A157" s="324" t="s">
        <v>304</v>
      </c>
      <c r="B157" s="292"/>
      <c r="C157" s="292"/>
      <c r="D157" s="325"/>
      <c r="E157" s="326"/>
      <c r="F157" s="19"/>
      <c r="G157" s="252"/>
      <c r="H157" s="253"/>
      <c r="I157" s="253"/>
      <c r="J157" s="253"/>
      <c r="K157" s="254"/>
      <c r="L157" s="19"/>
      <c r="M157" s="209"/>
      <c r="N157" s="207"/>
      <c r="O157" s="207"/>
      <c r="P157" s="207"/>
      <c r="Q157" s="210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8.75" hidden="false" customHeight="true" outlineLevel="0" collapsed="false">
      <c r="A158" s="291"/>
      <c r="B158" s="327"/>
      <c r="C158" s="327"/>
      <c r="D158" s="292"/>
      <c r="E158" s="293"/>
      <c r="F158" s="19"/>
      <c r="G158" s="19"/>
      <c r="H158" s="19"/>
      <c r="I158" s="19"/>
      <c r="J158" s="19"/>
      <c r="K158" s="19"/>
      <c r="L158" s="19"/>
      <c r="M158" s="209"/>
      <c r="N158" s="207"/>
      <c r="O158" s="207"/>
      <c r="P158" s="207"/>
      <c r="Q158" s="210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8.75" hidden="false" customHeight="true" outlineLevel="0" collapsed="false">
      <c r="A159" s="248" t="s">
        <v>28</v>
      </c>
      <c r="B159" s="249" t="s">
        <v>33</v>
      </c>
      <c r="C159" s="249"/>
      <c r="D159" s="292"/>
      <c r="E159" s="293"/>
      <c r="F159" s="19"/>
      <c r="G159" s="19"/>
      <c r="H159" s="19"/>
      <c r="I159" s="19"/>
      <c r="J159" s="19"/>
      <c r="K159" s="19"/>
      <c r="L159" s="19"/>
      <c r="M159" s="209"/>
      <c r="N159" s="207"/>
      <c r="O159" s="207"/>
      <c r="P159" s="207"/>
      <c r="Q159" s="210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8.75" hidden="false" customHeight="true" outlineLevel="0" collapsed="false">
      <c r="A160" s="248"/>
      <c r="B160" s="250" t="n">
        <f aca="false">B51</f>
        <v>35000</v>
      </c>
      <c r="C160" s="250"/>
      <c r="D160" s="292"/>
      <c r="E160" s="293"/>
      <c r="F160" s="19"/>
      <c r="G160" s="19"/>
      <c r="H160" s="19"/>
      <c r="I160" s="19"/>
      <c r="J160" s="19"/>
      <c r="K160" s="19"/>
      <c r="L160" s="19"/>
      <c r="M160" s="209"/>
      <c r="N160" s="207"/>
      <c r="O160" s="207"/>
      <c r="P160" s="207"/>
      <c r="Q160" s="210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8.75" hidden="false" customHeight="true" outlineLevel="0" collapsed="false">
      <c r="A161" s="251" t="n">
        <f aca="false">A52</f>
        <v>35</v>
      </c>
      <c r="B161" s="92" t="n">
        <f aca="false">B91</f>
        <v>881.189243330672</v>
      </c>
      <c r="C161" s="92"/>
      <c r="D161" s="292"/>
      <c r="E161" s="293"/>
      <c r="F161" s="19"/>
      <c r="G161" s="19"/>
      <c r="H161" s="19"/>
      <c r="I161" s="19"/>
      <c r="J161" s="19"/>
      <c r="K161" s="19"/>
      <c r="L161" s="19"/>
      <c r="M161" s="209"/>
      <c r="N161" s="207"/>
      <c r="O161" s="207"/>
      <c r="P161" s="207"/>
      <c r="Q161" s="210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8.75" hidden="false" customHeight="true" outlineLevel="0" collapsed="false">
      <c r="A162" s="291"/>
      <c r="B162" s="292"/>
      <c r="C162" s="292"/>
      <c r="D162" s="292"/>
      <c r="E162" s="293"/>
      <c r="F162" s="19"/>
      <c r="G162" s="19"/>
      <c r="H162" s="19"/>
      <c r="I162" s="19"/>
      <c r="J162" s="19"/>
      <c r="K162" s="19"/>
      <c r="L162" s="19"/>
      <c r="M162" s="252"/>
      <c r="N162" s="253"/>
      <c r="O162" s="253"/>
      <c r="P162" s="253"/>
      <c r="Q162" s="254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8.75" hidden="false" customHeight="true" outlineLevel="0" collapsed="false">
      <c r="A163" s="291"/>
      <c r="B163" s="292"/>
      <c r="C163" s="292"/>
      <c r="D163" s="292"/>
      <c r="E163" s="293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8.75" hidden="false" customHeight="true" outlineLevel="0" collapsed="false">
      <c r="A164" s="291"/>
      <c r="B164" s="292"/>
      <c r="C164" s="292"/>
      <c r="D164" s="292"/>
      <c r="E164" s="293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8.75" hidden="false" customHeight="true" outlineLevel="0" collapsed="false">
      <c r="A165" s="291"/>
      <c r="B165" s="292"/>
      <c r="C165" s="292"/>
      <c r="D165" s="292"/>
      <c r="E165" s="293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8.75" hidden="false" customHeight="true" outlineLevel="0" collapsed="false">
      <c r="A166" s="342"/>
      <c r="B166" s="343"/>
      <c r="C166" s="343"/>
      <c r="D166" s="343"/>
      <c r="E166" s="344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8.75" hidden="false" customHeight="true" outlineLevel="0" collapsed="false">
      <c r="A167" s="394"/>
      <c r="B167" s="394"/>
      <c r="C167" s="394"/>
      <c r="D167" s="394"/>
      <c r="E167" s="394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8.75" hidden="false" customHeight="true" outlineLevel="0" collapsed="false">
      <c r="A168" s="394"/>
      <c r="B168" s="394"/>
      <c r="C168" s="394"/>
      <c r="D168" s="394"/>
      <c r="E168" s="394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8.75" hidden="false" customHeight="true" outlineLevel="0" collapsed="false">
      <c r="A169" s="394"/>
      <c r="B169" s="394"/>
      <c r="C169" s="394"/>
      <c r="D169" s="394"/>
      <c r="E169" s="394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8.75" hidden="false" customHeight="true" outlineLevel="0" collapsed="false">
      <c r="A170" s="394"/>
      <c r="B170" s="394"/>
      <c r="C170" s="394"/>
      <c r="D170" s="394"/>
      <c r="E170" s="394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8.75" hidden="false" customHeight="true" outlineLevel="0" collapsed="false">
      <c r="A171" s="328" t="s">
        <v>270</v>
      </c>
      <c r="B171" s="328"/>
      <c r="C171" s="328"/>
      <c r="D171" s="328"/>
      <c r="E171" s="328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8.75" hidden="false" customHeight="true" outlineLevel="0" collapsed="false">
      <c r="A172" s="291"/>
      <c r="B172" s="329"/>
      <c r="C172" s="329"/>
      <c r="D172" s="329"/>
      <c r="E172" s="293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8.75" hidden="false" customHeight="true" outlineLevel="0" collapsed="false">
      <c r="A173" s="294" t="s">
        <v>98</v>
      </c>
      <c r="B173" s="330" t="s">
        <v>174</v>
      </c>
      <c r="C173" s="331"/>
      <c r="D173" s="330" t="s">
        <v>33</v>
      </c>
      <c r="E173" s="297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8.75" hidden="false" customHeight="true" outlineLevel="0" collapsed="false">
      <c r="A174" s="298" t="s">
        <v>254</v>
      </c>
      <c r="B174" s="299" t="n">
        <f aca="false">A161</f>
        <v>35</v>
      </c>
      <c r="C174" s="333"/>
      <c r="D174" s="299" t="n">
        <f aca="false">D125</f>
        <v>35000</v>
      </c>
      <c r="E174" s="297"/>
      <c r="F174" s="19"/>
      <c r="G174" s="367" t="s">
        <v>323</v>
      </c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8.75" hidden="false" customHeight="true" outlineLevel="0" collapsed="false">
      <c r="A175" s="294"/>
      <c r="B175" s="330"/>
      <c r="C175" s="330"/>
      <c r="D175" s="330"/>
      <c r="E175" s="297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8.75" hidden="false" customHeight="true" outlineLevel="0" collapsed="false">
      <c r="A176" s="294" t="s">
        <v>92</v>
      </c>
      <c r="B176" s="330" t="s">
        <v>271</v>
      </c>
      <c r="C176" s="331"/>
      <c r="D176" s="330" t="s">
        <v>272</v>
      </c>
      <c r="E176" s="297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8.75" hidden="false" customHeight="true" outlineLevel="0" collapsed="false">
      <c r="A177" s="298" t="n">
        <f aca="false">B90</f>
        <v>881.189243330672</v>
      </c>
      <c r="B177" s="331" t="n">
        <f aca="false">IF(A105="YES", B89, 0)</f>
        <v>0</v>
      </c>
      <c r="C177" s="333"/>
      <c r="D177" s="331" t="n">
        <f aca="false">B91</f>
        <v>881.189243330672</v>
      </c>
      <c r="E177" s="297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8.75" hidden="false" customHeight="true" outlineLevel="0" collapsed="false">
      <c r="A178" s="291"/>
      <c r="B178" s="329"/>
      <c r="C178" s="329"/>
      <c r="D178" s="329"/>
      <c r="E178" s="293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8.75" hidden="false" customHeight="true" outlineLevel="0" collapsed="false">
      <c r="A179" s="304" t="s">
        <v>23</v>
      </c>
      <c r="B179" s="335" t="s">
        <v>277</v>
      </c>
      <c r="C179" s="223"/>
      <c r="D179" s="335" t="s">
        <v>278</v>
      </c>
      <c r="E179" s="293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8.75" hidden="false" customHeight="true" outlineLevel="0" collapsed="false">
      <c r="A180" s="309" t="str">
        <f aca="false">B99</f>
        <v>Monthly in advance</v>
      </c>
      <c r="B180" s="37" t="n">
        <f aca="false">B90*B57</f>
        <v>881.189243330672</v>
      </c>
      <c r="C180" s="329"/>
      <c r="D180" s="37" t="n">
        <f aca="false">IF(A105="YES", B89*B57, 0)</f>
        <v>0</v>
      </c>
      <c r="E180" s="293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8.75" hidden="false" customHeight="true" outlineLevel="0" collapsed="false">
      <c r="A181" s="291"/>
      <c r="B181" s="329"/>
      <c r="C181" s="329"/>
      <c r="D181" s="329"/>
      <c r="E181" s="293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8.75" hidden="false" customHeight="true" outlineLevel="0" collapsed="false">
      <c r="A182" s="123" t="s">
        <v>283</v>
      </c>
      <c r="B182" s="38" t="s">
        <v>284</v>
      </c>
      <c r="C182" s="336"/>
      <c r="D182" s="233" t="s">
        <v>177</v>
      </c>
      <c r="E182" s="293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8.75" hidden="false" customHeight="true" outlineLevel="0" collapsed="false">
      <c r="A183" s="70" t="n">
        <f aca="false">B91*B57</f>
        <v>881.189243330672</v>
      </c>
      <c r="B183" s="37" t="n">
        <f aca="false">E114</f>
        <v>0</v>
      </c>
      <c r="C183" s="329"/>
      <c r="D183" s="337" t="n">
        <f aca="false">B58</f>
        <v>34</v>
      </c>
      <c r="E183" s="293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8.75" hidden="false" customHeight="true" outlineLevel="0" collapsed="false">
      <c r="A184" s="70"/>
      <c r="B184" s="338"/>
      <c r="C184" s="329"/>
      <c r="D184" s="329"/>
      <c r="E184" s="293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8.75" hidden="false" customHeight="true" outlineLevel="0" collapsed="false">
      <c r="A185" s="78" t="s">
        <v>92</v>
      </c>
      <c r="B185" s="339" t="s">
        <v>271</v>
      </c>
      <c r="C185" s="329"/>
      <c r="D185" s="329" t="s">
        <v>272</v>
      </c>
      <c r="E185" s="293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8.75" hidden="false" customHeight="true" outlineLevel="0" collapsed="false">
      <c r="A186" s="70" t="n">
        <f aca="false">B90</f>
        <v>881.189243330672</v>
      </c>
      <c r="B186" s="37" t="n">
        <f aca="false">IF(A105="YES", B89, 0)</f>
        <v>0</v>
      </c>
      <c r="C186" s="329"/>
      <c r="D186" s="37" t="n">
        <f aca="false">B91</f>
        <v>881.189243330672</v>
      </c>
      <c r="E186" s="293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8.75" hidden="false" customHeight="true" outlineLevel="0" collapsed="false">
      <c r="A187" s="291"/>
      <c r="B187" s="329"/>
      <c r="C187" s="329"/>
      <c r="D187" s="329"/>
      <c r="E187" s="293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8.75" hidden="false" customHeight="true" outlineLevel="0" collapsed="false">
      <c r="A188" s="314" t="s">
        <v>180</v>
      </c>
      <c r="B188" s="340" t="s">
        <v>291</v>
      </c>
      <c r="C188" s="37"/>
      <c r="D188" s="340" t="s">
        <v>182</v>
      </c>
      <c r="E188" s="177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8.75" hidden="false" customHeight="true" outlineLevel="0" collapsed="false">
      <c r="A189" s="316" t="n">
        <f aca="false">A140</f>
        <v>26.93088</v>
      </c>
      <c r="B189" s="341" t="n">
        <f aca="false">B140</f>
        <v>8.97696</v>
      </c>
      <c r="C189" s="329"/>
      <c r="D189" s="341" t="n">
        <f aca="false">A189+B189</f>
        <v>35.90784</v>
      </c>
      <c r="E189" s="293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8.75" hidden="false" customHeight="true" outlineLevel="0" collapsed="false">
      <c r="A190" s="316"/>
      <c r="B190" s="341"/>
      <c r="C190" s="329"/>
      <c r="D190" s="341"/>
      <c r="E190" s="293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8.75" hidden="false" customHeight="true" outlineLevel="0" collapsed="false">
      <c r="A191" s="314" t="s">
        <v>295</v>
      </c>
      <c r="B191" s="340" t="s">
        <v>152</v>
      </c>
      <c r="C191" s="37"/>
      <c r="D191" s="340" t="s">
        <v>246</v>
      </c>
      <c r="E191" s="293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8.75" hidden="false" customHeight="true" outlineLevel="0" collapsed="false">
      <c r="A192" s="70" t="n">
        <v>0</v>
      </c>
      <c r="B192" s="37" t="n">
        <f aca="false">E118</f>
        <v>199.99</v>
      </c>
      <c r="C192" s="329"/>
      <c r="D192" s="152" t="n">
        <f aca="false">B102</f>
        <v>0</v>
      </c>
      <c r="E192" s="293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8.75" hidden="false" customHeight="true" outlineLevel="0" collapsed="false">
      <c r="A193" s="70"/>
      <c r="B193" s="37"/>
      <c r="C193" s="329"/>
      <c r="D193" s="37"/>
      <c r="E193" s="293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8.75" hidden="false" customHeight="true" outlineLevel="0" collapsed="false">
      <c r="A194" s="318" t="s">
        <v>298</v>
      </c>
      <c r="B194" s="319"/>
      <c r="C194" s="320"/>
      <c r="D194" s="319"/>
      <c r="E194" s="321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8.75" hidden="false" customHeight="true" outlineLevel="0" collapsed="false">
      <c r="A195" s="316"/>
      <c r="B195" s="341"/>
      <c r="C195" s="329"/>
      <c r="D195" s="341"/>
      <c r="E195" s="293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8.75" hidden="false" customHeight="true" outlineLevel="0" collapsed="false">
      <c r="A196" s="291" t="s">
        <v>299</v>
      </c>
      <c r="B196" s="329" t="s">
        <v>300</v>
      </c>
      <c r="C196" s="329"/>
      <c r="D196" s="329" t="s">
        <v>301</v>
      </c>
      <c r="E196" s="293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8.75" hidden="false" customHeight="true" outlineLevel="0" collapsed="false">
      <c r="A197" s="70" t="n">
        <f aca="false">B67</f>
        <v>732.495</v>
      </c>
      <c r="B197" s="37" t="n">
        <f aca="false">B102</f>
        <v>0</v>
      </c>
      <c r="C197" s="37"/>
      <c r="D197" s="37" t="n">
        <f aca="false">IF(A105="YES", (B40*B105)*B125, 0)*0.1</f>
        <v>0</v>
      </c>
      <c r="E197" s="177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8.75" hidden="false" customHeight="true" outlineLevel="0" collapsed="false">
      <c r="A198" s="291"/>
      <c r="B198" s="329"/>
      <c r="C198" s="329"/>
      <c r="D198" s="329"/>
      <c r="E198" s="293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8.75" hidden="false" customHeight="true" outlineLevel="0" collapsed="false">
      <c r="A199" s="291" t="s">
        <v>305</v>
      </c>
      <c r="B199" s="329" t="s">
        <v>297</v>
      </c>
      <c r="C199" s="329"/>
      <c r="D199" s="329" t="s">
        <v>294</v>
      </c>
      <c r="E199" s="293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8.75" hidden="false" customHeight="true" outlineLevel="0" collapsed="false">
      <c r="A200" s="70" t="n">
        <f aca="false">E118-100</f>
        <v>99.99</v>
      </c>
      <c r="B200" s="37" t="n">
        <f aca="false">(A148+B148+D148+A151)*(A143/B64)</f>
        <v>0</v>
      </c>
      <c r="C200" s="37"/>
      <c r="D200" s="37" t="n">
        <f aca="false">(A148+B148+D148+A151)-B151</f>
        <v>832.485</v>
      </c>
      <c r="E200" s="177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8.75" hidden="false" customHeight="true" outlineLevel="0" collapsed="false">
      <c r="A201" s="291"/>
      <c r="B201" s="329"/>
      <c r="C201" s="329"/>
      <c r="D201" s="329"/>
      <c r="E201" s="293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8.75" hidden="false" customHeight="true" outlineLevel="0" collapsed="false">
      <c r="A202" s="291" t="s">
        <v>306</v>
      </c>
      <c r="B202" s="329"/>
      <c r="C202" s="329"/>
      <c r="D202" s="329"/>
      <c r="E202" s="293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8.75" hidden="false" customHeight="true" outlineLevel="0" collapsed="false">
      <c r="A203" s="70" t="n">
        <f aca="false">D102</f>
        <v>0</v>
      </c>
      <c r="B203" s="37"/>
      <c r="C203" s="329"/>
      <c r="D203" s="329"/>
      <c r="E203" s="293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8.75" hidden="false" customHeight="true" outlineLevel="0" collapsed="false">
      <c r="A204" s="342"/>
      <c r="B204" s="343"/>
      <c r="C204" s="343"/>
      <c r="D204" s="343"/>
      <c r="E204" s="344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8.75" hidden="false" customHeight="true" outlineLevel="0" collapsed="false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8.75" hidden="false" customHeight="true" outlineLevel="0" collapsed="false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8.75" hidden="false" customHeight="true" outlineLevel="0" collapsed="false">
      <c r="A207" s="328" t="s">
        <v>185</v>
      </c>
      <c r="B207" s="328"/>
      <c r="C207" s="328"/>
      <c r="D207" s="328"/>
      <c r="E207" s="328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8.75" hidden="false" customHeight="true" outlineLevel="0" collapsed="false">
      <c r="A208" s="291"/>
      <c r="B208" s="292"/>
      <c r="C208" s="292"/>
      <c r="D208" s="292"/>
      <c r="E208" s="293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8.75" hidden="false" customHeight="true" outlineLevel="0" collapsed="false">
      <c r="A209" s="294" t="s">
        <v>186</v>
      </c>
      <c r="B209" s="345" t="n">
        <f aca="false">H35</f>
        <v>0.065</v>
      </c>
      <c r="C209" s="296" t="s">
        <v>188</v>
      </c>
      <c r="D209" s="346" t="n">
        <f aca="false">D64</f>
        <v>2976.8225025</v>
      </c>
      <c r="E209" s="297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8.75" hidden="false" customHeight="true" outlineLevel="0" collapsed="false">
      <c r="A210" s="298"/>
      <c r="B210" s="299"/>
      <c r="C210" s="300"/>
      <c r="D210" s="299"/>
      <c r="E210" s="297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8.75" hidden="false" customHeight="true" outlineLevel="0" collapsed="false">
      <c r="A211" s="294" t="s">
        <v>189</v>
      </c>
      <c r="B211" s="296" t="n">
        <f aca="false">B219</f>
        <v>732.495</v>
      </c>
      <c r="C211" s="295" t="s">
        <v>190</v>
      </c>
      <c r="D211" s="346" t="n">
        <f aca="false">B225+E221+B221+B223</f>
        <v>99.99</v>
      </c>
      <c r="E211" s="297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8.75" hidden="false" customHeight="true" outlineLevel="0" collapsed="false">
      <c r="A212" s="294"/>
      <c r="B212" s="347"/>
      <c r="C212" s="296"/>
      <c r="D212" s="295"/>
      <c r="E212" s="297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8.75" hidden="false" customHeight="true" outlineLevel="0" collapsed="false">
      <c r="A213" s="298" t="s">
        <v>191</v>
      </c>
      <c r="B213" s="296" t="n">
        <f aca="false">E223</f>
        <v>2344.3175025</v>
      </c>
      <c r="C213" s="300"/>
      <c r="D213" s="296"/>
      <c r="E213" s="297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8.75" hidden="false" customHeight="true" outlineLevel="0" collapsed="false">
      <c r="A214" s="291"/>
      <c r="B214" s="313"/>
      <c r="C214" s="292"/>
      <c r="D214" s="292"/>
      <c r="E214" s="293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8.75" hidden="false" customHeight="true" outlineLevel="0" collapsed="false">
      <c r="A215" s="222" t="s">
        <v>186</v>
      </c>
      <c r="B215" s="348" t="n">
        <v>0.065</v>
      </c>
      <c r="C215" s="306"/>
      <c r="D215" s="305"/>
      <c r="E215" s="293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8.75" hidden="false" customHeight="true" outlineLevel="0" collapsed="false">
      <c r="A216" s="349"/>
      <c r="B216" s="200"/>
      <c r="C216" s="292"/>
      <c r="D216" s="201"/>
      <c r="E216" s="293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8.75" hidden="false" customHeight="true" outlineLevel="0" collapsed="false">
      <c r="A217" s="350" t="s">
        <v>188</v>
      </c>
      <c r="B217" s="60" t="n">
        <f aca="false">D64</f>
        <v>2976.8225025</v>
      </c>
      <c r="C217" s="351" t="s">
        <v>194</v>
      </c>
      <c r="D217" s="292"/>
      <c r="E217" s="352" t="n">
        <f aca="false">B66</f>
        <v>0.0195833333333333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8.75" hidden="false" customHeight="true" outlineLevel="0" collapsed="false">
      <c r="A218" s="69"/>
      <c r="B218" s="200"/>
      <c r="C218" s="310"/>
      <c r="D218" s="240"/>
      <c r="E218" s="293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8.75" hidden="false" customHeight="true" outlineLevel="0" collapsed="false">
      <c r="A219" s="70" t="s">
        <v>194</v>
      </c>
      <c r="B219" s="60" t="n">
        <f aca="false">B67</f>
        <v>732.495</v>
      </c>
      <c r="C219" s="310" t="s">
        <v>307</v>
      </c>
      <c r="D219" s="353"/>
      <c r="E219" s="103" t="n">
        <v>0.001</v>
      </c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8.75" hidden="false" customHeight="true" outlineLevel="0" collapsed="false">
      <c r="A220" s="70"/>
      <c r="B220" s="313"/>
      <c r="C220" s="310"/>
      <c r="D220" s="292"/>
      <c r="E220" s="293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8.75" hidden="false" customHeight="true" outlineLevel="0" collapsed="false">
      <c r="A221" s="70" t="s">
        <v>307</v>
      </c>
      <c r="B221" s="233" t="n">
        <f aca="false">(B77-(B77*(E219*100)))*0.1</f>
        <v>0</v>
      </c>
      <c r="C221" s="310" t="s">
        <v>196</v>
      </c>
      <c r="D221" s="292"/>
      <c r="E221" s="20" t="n">
        <f aca="false">A200</f>
        <v>99.99</v>
      </c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18.75" hidden="false" customHeight="true" outlineLevel="0" collapsed="false">
      <c r="A222" s="70"/>
      <c r="B222" s="200"/>
      <c r="C222" s="310"/>
      <c r="D222" s="201"/>
      <c r="E222" s="293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18.75" hidden="false" customHeight="true" outlineLevel="0" collapsed="false">
      <c r="A223" s="350" t="s">
        <v>308</v>
      </c>
      <c r="B223" s="233" t="n">
        <f aca="false">B78-(B78*(E219*100))</f>
        <v>0</v>
      </c>
      <c r="C223" s="310" t="s">
        <v>191</v>
      </c>
      <c r="D223" s="292"/>
      <c r="E223" s="20" t="n">
        <f aca="false">(B217-B211+D211)</f>
        <v>2344.3175025</v>
      </c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18.75" hidden="false" customHeight="true" outlineLevel="0" collapsed="false">
      <c r="A224" s="354"/>
      <c r="B224" s="315"/>
      <c r="C224" s="201"/>
      <c r="D224" s="315"/>
      <c r="E224" s="163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18.75" hidden="false" customHeight="true" outlineLevel="0" collapsed="false">
      <c r="A225" s="354" t="s">
        <v>309</v>
      </c>
      <c r="B225" s="315" t="n">
        <f aca="false">D197/0.1</f>
        <v>0</v>
      </c>
      <c r="C225" s="201"/>
      <c r="D225" s="315"/>
      <c r="E225" s="163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18.75" hidden="false" customHeight="true" outlineLevel="0" collapsed="false">
      <c r="A226" s="354"/>
      <c r="B226" s="315"/>
      <c r="C226" s="201"/>
      <c r="D226" s="315"/>
      <c r="E226" s="163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="395" customFormat="true" ht="18.75" hidden="false" customHeight="true" outlineLevel="0" collapsed="false">
      <c r="A227" s="318" t="s">
        <v>310</v>
      </c>
      <c r="B227" s="355"/>
      <c r="C227" s="320"/>
      <c r="D227" s="319"/>
      <c r="E227" s="321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18.75" hidden="false" customHeight="true" outlineLevel="0" collapsed="false">
      <c r="A228" s="316"/>
      <c r="B228" s="356"/>
      <c r="C228" s="292"/>
      <c r="D228" s="317"/>
      <c r="E228" s="293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18.75" hidden="false" customHeight="true" outlineLevel="0" collapsed="false">
      <c r="A229" s="316" t="s">
        <v>198</v>
      </c>
      <c r="B229" s="60" t="n">
        <f aca="false">B71</f>
        <v>200</v>
      </c>
      <c r="C229" s="310" t="s">
        <v>199</v>
      </c>
      <c r="D229" s="317"/>
      <c r="E229" s="150" t="n">
        <f aca="false">B72</f>
        <v>5</v>
      </c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18.75" hidden="false" customHeight="true" outlineLevel="0" collapsed="false">
      <c r="A230" s="316"/>
      <c r="B230" s="356"/>
      <c r="C230" s="310" t="s">
        <v>200</v>
      </c>
      <c r="D230" s="317"/>
      <c r="E230" s="20" t="n">
        <f aca="false">D73</f>
        <v>375</v>
      </c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18.75" hidden="false" customHeight="true" outlineLevel="0" collapsed="false">
      <c r="A231" s="316" t="s">
        <v>201</v>
      </c>
      <c r="B231" s="357" t="n">
        <f aca="false">B68</f>
        <v>0.0075</v>
      </c>
      <c r="C231" s="310" t="s">
        <v>202</v>
      </c>
      <c r="D231" s="317"/>
      <c r="E231" s="352" t="n">
        <f aca="false">B69</f>
        <v>0.12</v>
      </c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8.75" hidden="false" customHeight="true" outlineLevel="0" collapsed="false">
      <c r="A232" s="316"/>
      <c r="B232" s="356"/>
      <c r="C232" s="310" t="s">
        <v>203</v>
      </c>
      <c r="D232" s="317"/>
      <c r="E232" s="20" t="n">
        <f aca="false">B86</f>
        <v>259.069637539217</v>
      </c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18.75" hidden="false" customHeight="true" outlineLevel="0" collapsed="false">
      <c r="A233" s="316" t="s">
        <v>204</v>
      </c>
      <c r="B233" s="60" t="n">
        <f aca="false">B79</f>
        <v>200</v>
      </c>
      <c r="C233" s="358" t="s">
        <v>311</v>
      </c>
      <c r="D233" s="359"/>
      <c r="E233" s="150" t="n">
        <f aca="false">B74</f>
        <v>155</v>
      </c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18.75" hidden="false" customHeight="true" outlineLevel="0" collapsed="false">
      <c r="A234" s="350"/>
      <c r="B234" s="313"/>
      <c r="C234" s="358"/>
      <c r="D234" s="360"/>
      <c r="E234" s="361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18.75" hidden="false" customHeight="true" outlineLevel="0" collapsed="false">
      <c r="A235" s="70" t="s">
        <v>205</v>
      </c>
      <c r="B235" s="60" t="n">
        <f aca="false">B80</f>
        <v>200</v>
      </c>
      <c r="C235" s="362" t="s">
        <v>312</v>
      </c>
      <c r="D235" s="362"/>
      <c r="E235" s="150" t="n">
        <f aca="false">B75</f>
        <v>0</v>
      </c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18.75" hidden="false" customHeight="true" outlineLevel="0" collapsed="false">
      <c r="A236" s="291"/>
      <c r="B236" s="292"/>
      <c r="C236" s="292"/>
      <c r="D236" s="292"/>
      <c r="E236" s="293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18.75" hidden="false" customHeight="true" outlineLevel="0" collapsed="false">
      <c r="A237" s="291"/>
      <c r="B237" s="292"/>
      <c r="C237" s="292"/>
      <c r="D237" s="292"/>
      <c r="E237" s="293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18.75" hidden="false" customHeight="true" outlineLevel="0" collapsed="false">
      <c r="A238" s="70"/>
      <c r="B238" s="201"/>
      <c r="C238" s="201"/>
      <c r="D238" s="201"/>
      <c r="E238" s="177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18.75" hidden="false" customHeight="true" outlineLevel="0" collapsed="false">
      <c r="A239" s="291"/>
      <c r="B239" s="292"/>
      <c r="C239" s="292"/>
      <c r="D239" s="292"/>
      <c r="E239" s="293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18.75" hidden="false" customHeight="true" outlineLevel="0" collapsed="false">
      <c r="A240" s="291"/>
      <c r="B240" s="292"/>
      <c r="C240" s="292"/>
      <c r="D240" s="292"/>
      <c r="E240" s="293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18.75" hidden="false" customHeight="true" outlineLevel="0" collapsed="false">
      <c r="A241" s="70"/>
      <c r="B241" s="201"/>
      <c r="C241" s="292"/>
      <c r="D241" s="292"/>
      <c r="E241" s="293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18.75" hidden="false" customHeight="true" outlineLevel="0" collapsed="false">
      <c r="A242" s="342"/>
      <c r="B242" s="343"/>
      <c r="C242" s="343"/>
      <c r="D242" s="343"/>
      <c r="E242" s="344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18.75" hidden="false" customHeight="tru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18.75" hidden="false" customHeight="tru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18.75" hidden="false" customHeight="tru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18.75" hidden="false" customHeight="tru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18.75" hidden="false" customHeight="tru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18.75" hidden="false" customHeight="tru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18.75" hidden="false" customHeight="tru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18.75" hidden="false" customHeight="tru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18.75" hidden="false" customHeight="tru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18.75" hidden="false" customHeight="tru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18.75" hidden="false" customHeight="tru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18.75" hidden="false" customHeight="tru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18.75" hidden="false" customHeight="tru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18.75" hidden="false" customHeight="tru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18.75" hidden="false" customHeight="tru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18.75" hidden="false" customHeight="tru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18.75" hidden="false" customHeight="tru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18.75" hidden="false" customHeight="tru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18.75" hidden="false" customHeight="tru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18.75" hidden="false" customHeight="tru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18.75" hidden="false" customHeight="tru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18.75" hidden="false" customHeight="tru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18.75" hidden="false" customHeight="tru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18.75" hidden="false" customHeight="tru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18.75" hidden="false" customHeight="tru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18.75" hidden="false" customHeight="tru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18.75" hidden="false" customHeight="tru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18.75" hidden="false" customHeight="tru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18.75" hidden="false" customHeight="tru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18.75" hidden="false" customHeight="tru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18.75" hidden="false" customHeight="tru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18.75" hidden="false" customHeight="tru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18.75" hidden="false" customHeight="tru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18.75" hidden="false" customHeight="tru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18.75" hidden="false" customHeight="tru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18.75" hidden="false" customHeight="tru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18.75" hidden="false" customHeight="tru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18.75" hidden="false" customHeight="tru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18.75" hidden="false" customHeight="tru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18.75" hidden="false" customHeight="tru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18.75" hidden="false" customHeight="tru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18.75" hidden="false" customHeight="tru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18.75" hidden="false" customHeight="tru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18.75" hidden="false" customHeight="tru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18.75" hidden="false" customHeight="tru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18.75" hidden="false" customHeight="tru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18.75" hidden="false" customHeight="tru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18.75" hidden="false" customHeight="tru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18.75" hidden="false" customHeight="tru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18.75" hidden="false" customHeight="tru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18.75" hidden="false" customHeight="tru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18.75" hidden="false" customHeight="tru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18.75" hidden="false" customHeight="tru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18.75" hidden="false" customHeight="tru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18.75" hidden="false" customHeight="tru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18.75" hidden="false" customHeight="tru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18.75" hidden="false" customHeight="tru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18.75" hidden="false" customHeight="tru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18.75" hidden="false" customHeight="tru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18.75" hidden="false" customHeight="tru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18.75" hidden="false" customHeight="tru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18.75" hidden="false" customHeight="tru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18.75" hidden="false" customHeight="tru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18.75" hidden="false" customHeight="tru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18.75" hidden="false" customHeight="tru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18.75" hidden="false" customHeight="tru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18.75" hidden="false" customHeight="tru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18.75" hidden="false" customHeight="tru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18.75" hidden="false" customHeight="tru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18.75" hidden="false" customHeight="tru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18.75" hidden="false" customHeight="tru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18.75" hidden="false" customHeight="tru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18.75" hidden="false" customHeight="tru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18.75" hidden="false" customHeight="tru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18.75" hidden="false" customHeight="tru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18.75" hidden="false" customHeight="tru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18.75" hidden="false" customHeight="tru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18.75" hidden="false" customHeight="tru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18.75" hidden="false" customHeight="tru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18.75" hidden="false" customHeight="tru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18.75" hidden="false" customHeight="tru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18.75" hidden="false" customHeight="tru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18.75" hidden="false" customHeight="tru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18.75" hidden="false" customHeight="tru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18.75" hidden="false" customHeight="tru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18.75" hidden="false" customHeight="tru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18.75" hidden="false" customHeight="tru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18.75" hidden="false" customHeight="tru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18.75" hidden="false" customHeight="tru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18.75" hidden="false" customHeight="tru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18.75" hidden="false" customHeight="tru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18.75" hidden="false" customHeight="tru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18.75" hidden="false" customHeight="tru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18.75" hidden="false" customHeight="tru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18.75" hidden="false" customHeight="tru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18.75" hidden="false" customHeight="tru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18.75" hidden="false" customHeight="tru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18.75" hidden="false" customHeight="tru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18.75" hidden="false" customHeight="tru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18.75" hidden="false" customHeight="tru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18.75" hidden="false" customHeight="tru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18.75" hidden="false" customHeight="tru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18.75" hidden="false" customHeight="tru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18.75" hidden="false" customHeight="tru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18.75" hidden="false" customHeight="tru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18.75" hidden="false" customHeight="tru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18.75" hidden="false" customHeight="tru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18.75" hidden="false" customHeight="tru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18.75" hidden="false" customHeight="tru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18.75" hidden="false" customHeight="tru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18.75" hidden="false" customHeight="true" outlineLevel="0" collapsed="false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customFormat="false" ht="18.75" hidden="false" customHeight="true" outlineLevel="0" collapsed="false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customFormat="false" ht="18.75" hidden="false" customHeight="tru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customFormat="false" ht="18.75" hidden="false" customHeight="true" outlineLevel="0" collapsed="false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customFormat="false" ht="18.75" hidden="false" customHeight="true" outlineLevel="0" collapsed="false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64">
    <mergeCell ref="A1:F1"/>
    <mergeCell ref="D7:E18"/>
    <mergeCell ref="A16:C18"/>
    <mergeCell ref="A19:D19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5">
    <dataValidation allowBlank="true" operator="between" showDropDown="false" showErrorMessage="true" showInputMessage="false" sqref="H99 N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B99" type="list">
      <formula1>'Formula1-BCH'!$Y$97:$Y$105</formula1>
      <formula2>0</formula2>
    </dataValidation>
    <dataValidation allowBlank="true" operator="between" showDropDown="false" showErrorMessage="true" showInputMessage="false" sqref="B26" type="list">
      <formula1>'Formula1-BCH'!$I$3:$I$4</formula1>
      <formula2>0</formula2>
    </dataValidation>
    <dataValidation allowBlank="true" operator="between" showDropDown="false" showErrorMessage="true" showInputMessage="false" sqref="A105 B110" type="list">
      <formula1>'Formula1-BCH'!$I$3:$I$4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2"/>
  <sheetViews>
    <sheetView showFormulas="false" showGridLines="true" showRowColHeaders="true" showZeros="true" rightToLeft="false" tabSelected="false" showOutlineSymbols="true" defaultGridColor="true" view="normal" topLeftCell="C13" colorId="64" zoomScale="75" zoomScaleNormal="75" zoomScalePageLayoutView="100" workbookViewId="0">
      <selection pane="topLeft" activeCell="H31" activeCellId="0" sqref="H31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396" t="s">
        <v>324</v>
      </c>
      <c r="B1" s="396"/>
      <c r="C1" s="396"/>
      <c r="D1" s="396"/>
      <c r="E1" s="396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8.75" hidden="false" customHeight="true" outlineLevel="0" collapsed="false">
      <c r="A2" s="261"/>
      <c r="B2" s="474" t="s">
        <v>115</v>
      </c>
      <c r="C2" s="474" t="s">
        <v>116</v>
      </c>
      <c r="D2" s="474" t="s">
        <v>117</v>
      </c>
      <c r="E2" s="399" t="s">
        <v>118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8.75" hidden="false" customHeight="true" outlineLevel="0" collapsed="false">
      <c r="A3" s="209" t="s">
        <v>121</v>
      </c>
      <c r="B3" s="363" t="n">
        <v>46854.17</v>
      </c>
      <c r="C3" s="475" t="n">
        <v>0</v>
      </c>
      <c r="D3" s="363" t="n">
        <v>833.33</v>
      </c>
      <c r="E3" s="476" t="n">
        <v>0</v>
      </c>
      <c r="F3" s="19" t="s">
        <v>4</v>
      </c>
      <c r="G3" s="19" t="n">
        <v>25000</v>
      </c>
      <c r="H3" s="19"/>
      <c r="I3" s="19" t="s">
        <v>9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8.75" hidden="false" customHeight="true" outlineLevel="0" collapsed="false">
      <c r="A4" s="209" t="s">
        <v>122</v>
      </c>
      <c r="B4" s="0" t="n">
        <v>0</v>
      </c>
      <c r="C4" s="0" t="n">
        <v>0</v>
      </c>
      <c r="D4" s="0" t="n">
        <v>0</v>
      </c>
      <c r="E4" s="260"/>
      <c r="F4" s="19" t="s">
        <v>4</v>
      </c>
      <c r="G4" s="19"/>
      <c r="H4" s="19"/>
      <c r="I4" s="19" t="s">
        <v>10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8.75" hidden="false" customHeight="true" outlineLevel="0" collapsed="false">
      <c r="A5" s="209" t="s">
        <v>123</v>
      </c>
      <c r="B5" s="475" t="n">
        <v>0</v>
      </c>
      <c r="C5" s="475" t="n">
        <v>0</v>
      </c>
      <c r="D5" s="475" t="n">
        <v>0</v>
      </c>
      <c r="E5" s="273"/>
      <c r="F5" s="19" t="s">
        <v>4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8.75" hidden="false" customHeight="true" outlineLevel="0" collapsed="false">
      <c r="A6" s="209" t="s">
        <v>124</v>
      </c>
      <c r="B6" s="79" t="n">
        <f aca="false">(B3*B4/100)+B5</f>
        <v>0</v>
      </c>
      <c r="C6" s="79" t="n">
        <f aca="false">(C3*C4/100)+C5</f>
        <v>0</v>
      </c>
      <c r="D6" s="79" t="n">
        <f aca="false">(D3*D4/100)+D5</f>
        <v>0</v>
      </c>
      <c r="E6" s="273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8.75" hidden="false" customHeight="true" outlineLevel="0" collapsed="false">
      <c r="A7" s="209" t="s">
        <v>125</v>
      </c>
      <c r="B7" s="79" t="n">
        <f aca="false">B3-B6</f>
        <v>46854.17</v>
      </c>
      <c r="C7" s="79" t="n">
        <f aca="false">C3-C6</f>
        <v>0</v>
      </c>
      <c r="D7" s="79" t="n">
        <f aca="false">D3-D6</f>
        <v>833.33</v>
      </c>
      <c r="E7" s="273"/>
      <c r="F7" s="19"/>
      <c r="G7" s="368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7.35" hidden="false" customHeight="false" outlineLevel="0" collapsed="false">
      <c r="A8" s="209"/>
      <c r="B8" s="207"/>
      <c r="C8" s="207"/>
      <c r="D8" s="207"/>
      <c r="E8" s="210"/>
      <c r="F8" s="19"/>
      <c r="G8" s="369" t="n">
        <f aca="false">G9*100/B3</f>
        <v>-222.685622218897</v>
      </c>
      <c r="H8" s="19"/>
      <c r="I8" s="26" t="s">
        <v>3</v>
      </c>
      <c r="J8" s="27" t="n">
        <f aca="false">E13+E14</f>
        <v>640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8.75" hidden="false" customHeight="true" outlineLevel="0" collapsed="false">
      <c r="A9" s="402" t="s">
        <v>133</v>
      </c>
      <c r="B9" s="402" t="n">
        <v>60000</v>
      </c>
      <c r="C9" s="402"/>
      <c r="D9" s="402"/>
      <c r="E9" s="477" t="n">
        <f aca="false">(B7+C7+D7+E3)</f>
        <v>47687.5</v>
      </c>
      <c r="F9" s="19"/>
      <c r="G9" s="368" t="n">
        <f aca="false">E9-G11</f>
        <v>-104337.5</v>
      </c>
      <c r="H9" s="19"/>
      <c r="I9" s="27"/>
      <c r="J9" s="27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8.75" hidden="false" customHeight="true" outlineLevel="0" collapsed="false">
      <c r="A10" s="404" t="s">
        <v>134</v>
      </c>
      <c r="B10" s="404"/>
      <c r="C10" s="404"/>
      <c r="D10" s="404"/>
      <c r="E10" s="476" t="n">
        <v>550</v>
      </c>
      <c r="F10" s="19"/>
      <c r="G10" s="368"/>
      <c r="H10" s="19"/>
      <c r="I10" s="32" t="s">
        <v>1</v>
      </c>
      <c r="J10" s="27" t="n">
        <f aca="false">E15-E11-J8</f>
        <v>48237.5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8.75" hidden="false" customHeight="true" outlineLevel="0" collapsed="false">
      <c r="A11" s="404" t="s">
        <v>135</v>
      </c>
      <c r="B11" s="404" t="n">
        <v>1000</v>
      </c>
      <c r="C11" s="404"/>
      <c r="D11" s="404"/>
      <c r="E11" s="273" t="n">
        <f aca="false">( E9 + E10 ) * 0.2</f>
        <v>9647.5</v>
      </c>
      <c r="F11" s="19"/>
      <c r="G11" s="368" t="n">
        <f aca="false">G13/1.2</f>
        <v>152025</v>
      </c>
      <c r="H11" s="19"/>
      <c r="I11" s="27"/>
      <c r="J11" s="27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8.75" hidden="false" customHeight="true" outlineLevel="0" collapsed="false">
      <c r="A12" s="404" t="s">
        <v>136</v>
      </c>
      <c r="B12" s="404"/>
      <c r="C12" s="404"/>
      <c r="D12" s="404"/>
      <c r="E12" s="476" t="n">
        <v>0</v>
      </c>
      <c r="F12" s="19"/>
      <c r="G12" s="19"/>
      <c r="H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8.75" hidden="false" customHeight="true" outlineLevel="0" collapsed="false">
      <c r="A13" s="404" t="s">
        <v>137</v>
      </c>
      <c r="B13" s="404" t="n">
        <v>0</v>
      </c>
      <c r="C13" s="404"/>
      <c r="D13" s="404"/>
      <c r="E13" s="476" t="n">
        <v>585</v>
      </c>
      <c r="F13" s="19"/>
      <c r="G13" s="368" t="n">
        <f aca="false">G15-E14-E13-E12</f>
        <v>182430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8.75" hidden="false" customHeight="true" outlineLevel="0" collapsed="false">
      <c r="A14" s="404" t="s">
        <v>138</v>
      </c>
      <c r="B14" s="404"/>
      <c r="C14" s="404"/>
      <c r="D14" s="404"/>
      <c r="E14" s="476" t="n">
        <v>55</v>
      </c>
      <c r="F14" s="19"/>
      <c r="G14" s="19" t="s">
        <v>13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8.75" hidden="false" customHeight="true" outlineLevel="0" collapsed="false">
      <c r="A15" s="404" t="s">
        <v>139</v>
      </c>
      <c r="B15" s="404"/>
      <c r="C15" s="404"/>
      <c r="D15" s="404"/>
      <c r="E15" s="478" t="n">
        <f aca="false">(E9+E10+E13+E14+E11) - E12</f>
        <v>58525</v>
      </c>
      <c r="F15" s="19"/>
      <c r="G15" s="205" t="n">
        <v>183070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8.75" hidden="false" customHeight="true" outlineLevel="0" collapsed="false">
      <c r="A16" s="404" t="s">
        <v>140</v>
      </c>
      <c r="B16" s="404"/>
      <c r="C16" s="404"/>
      <c r="D16" s="404"/>
      <c r="E16" s="476" t="n">
        <v>0</v>
      </c>
      <c r="F16" s="19"/>
      <c r="G16" s="370" t="n">
        <f aca="false">(B3+C3+E10)*1.2</f>
        <v>56885.004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6" t="s">
        <v>15</v>
      </c>
      <c r="Z16" s="19"/>
    </row>
    <row r="17" customFormat="false" ht="18.75" hidden="false" customHeight="true" outlineLevel="0" collapsed="false">
      <c r="A17" s="349" t="s">
        <v>141</v>
      </c>
      <c r="B17" s="349"/>
      <c r="C17" s="349"/>
      <c r="D17" s="349"/>
      <c r="E17" s="210" t="n">
        <v>0</v>
      </c>
      <c r="F17" s="19"/>
      <c r="G17" s="19" t="s">
        <v>16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6" t="s">
        <v>17</v>
      </c>
      <c r="Z17" s="19"/>
    </row>
    <row r="18" customFormat="false" ht="18.75" hidden="false" customHeight="true" outlineLevel="0" collapsed="false">
      <c r="A18" s="405" t="s">
        <v>15</v>
      </c>
      <c r="B18" s="406" t="s">
        <v>142</v>
      </c>
      <c r="C18" s="406"/>
      <c r="D18" s="406"/>
      <c r="E18" s="479" t="n">
        <v>0</v>
      </c>
      <c r="F18" s="19"/>
      <c r="G18" s="205" t="n">
        <f aca="false">(B3+C3+D3+E3+E10)*1.2</f>
        <v>57885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6" t="s">
        <v>18</v>
      </c>
      <c r="Z18" s="19"/>
    </row>
    <row r="19" customFormat="false" ht="18.75" hidden="false" customHeight="true" outlineLevel="0" collapsed="false">
      <c r="A19" s="405" t="s">
        <v>17</v>
      </c>
      <c r="B19" s="406" t="s">
        <v>142</v>
      </c>
      <c r="C19" s="406"/>
      <c r="D19" s="406"/>
      <c r="E19" s="479" t="n"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 t="s">
        <v>9</v>
      </c>
    </row>
    <row r="20" customFormat="false" ht="18.75" hidden="false" customHeight="true" outlineLevel="0" collapsed="false">
      <c r="A20" s="405" t="s">
        <v>18</v>
      </c>
      <c r="B20" s="406" t="s">
        <v>142</v>
      </c>
      <c r="C20" s="406"/>
      <c r="D20" s="406"/>
      <c r="E20" s="479" t="n"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 t="s">
        <v>10</v>
      </c>
    </row>
    <row r="21" customFormat="false" ht="18.75" hidden="false" customHeight="true" outlineLevel="0" collapsed="false">
      <c r="A21" s="407" t="s">
        <v>143</v>
      </c>
      <c r="B21" s="407"/>
      <c r="C21" s="407"/>
      <c r="D21" s="407"/>
      <c r="E21" s="480" t="n">
        <f aca="false">E15-((E18*1.2)+(E19*1.2)+(E20*1.2)+(E16*1.2))</f>
        <v>58525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8.75" hidden="false" customHeight="true" outlineLevel="0" collapsed="false">
      <c r="A22" s="207"/>
      <c r="B22" s="207"/>
      <c r="C22" s="207"/>
      <c r="D22" s="207"/>
      <c r="E22" s="207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8.75" hidden="false" customHeight="true" outlineLevel="0" collapsed="false">
      <c r="A23" s="207"/>
      <c r="B23" s="207"/>
      <c r="C23" s="207"/>
      <c r="D23" s="207"/>
      <c r="E23" s="207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45.75" hidden="false" customHeight="true" outlineLevel="0" collapsed="false">
      <c r="A24" s="208" t="s">
        <v>21</v>
      </c>
      <c r="B24" s="208"/>
      <c r="C24" s="208"/>
      <c r="D24" s="208"/>
      <c r="E24" s="20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8.75" hidden="false" customHeight="true" outlineLevel="0" collapsed="false">
      <c r="A25" s="209"/>
      <c r="B25" s="207"/>
      <c r="C25" s="207"/>
      <c r="D25" s="207"/>
      <c r="E25" s="21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8.75" hidden="false" customHeight="true" outlineLevel="0" collapsed="false">
      <c r="A26" s="214" t="s">
        <v>22</v>
      </c>
      <c r="B26" s="216" t="s">
        <v>9</v>
      </c>
      <c r="C26" s="207"/>
      <c r="D26" s="207"/>
      <c r="E26" s="210"/>
      <c r="F26" s="19"/>
      <c r="G26" s="212" t="s">
        <v>23</v>
      </c>
      <c r="H26" s="212" t="s">
        <v>24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8.75" hidden="false" customHeight="true" outlineLevel="0" collapsed="false">
      <c r="A27" s="209"/>
      <c r="B27" s="207"/>
      <c r="C27" s="207"/>
      <c r="D27" s="207"/>
      <c r="E27" s="210"/>
      <c r="F27" s="19"/>
      <c r="G27" s="213" t="s">
        <v>25</v>
      </c>
      <c r="H27" s="213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8.75" hidden="false" customHeight="true" outlineLevel="0" collapsed="false">
      <c r="A28" s="211" t="s">
        <v>153</v>
      </c>
      <c r="B28" s="211"/>
      <c r="C28" s="211"/>
      <c r="D28" s="211"/>
      <c r="E28" s="211"/>
      <c r="F28" s="19"/>
      <c r="G28" s="213" t="s">
        <v>27</v>
      </c>
      <c r="H28" s="213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8.75" hidden="false" customHeight="true" outlineLevel="0" collapsed="false">
      <c r="A29" s="209"/>
      <c r="B29" s="207"/>
      <c r="C29" s="207"/>
      <c r="D29" s="207"/>
      <c r="E29" s="210"/>
      <c r="F29" s="19"/>
      <c r="G29" s="212" t="s">
        <v>214</v>
      </c>
      <c r="H29" s="371" t="n">
        <v>22</v>
      </c>
      <c r="I29" s="367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8.75" hidden="false" customHeight="true" outlineLevel="0" collapsed="false">
      <c r="A30" s="209" t="s">
        <v>29</v>
      </c>
      <c r="B30" s="168" t="s">
        <v>30</v>
      </c>
      <c r="C30" s="168"/>
      <c r="D30" s="207"/>
      <c r="E30" s="210"/>
      <c r="F30" s="19"/>
      <c r="G30" s="212" t="s">
        <v>31</v>
      </c>
      <c r="H30" s="371" t="n">
        <v>22000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8.75" hidden="false" customHeight="true" outlineLevel="0" collapsed="false">
      <c r="A31" s="209"/>
      <c r="B31" s="207"/>
      <c r="C31" s="207"/>
      <c r="D31" s="207"/>
      <c r="E31" s="210"/>
      <c r="F31" s="19"/>
      <c r="G31" s="212" t="s">
        <v>32</v>
      </c>
      <c r="H31" s="62" t="n">
        <v>28900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8.75" hidden="false" customHeight="true" outlineLevel="0" collapsed="false">
      <c r="A32" s="209" t="s">
        <v>28</v>
      </c>
      <c r="B32" s="207" t="s">
        <v>33</v>
      </c>
      <c r="C32" s="207"/>
      <c r="D32" s="372" t="s">
        <v>34</v>
      </c>
      <c r="E32" s="210"/>
      <c r="F32" s="19"/>
      <c r="G32" s="212" t="s">
        <v>35</v>
      </c>
      <c r="I32" s="62" t="n">
        <v>831.6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31.6" hidden="false" customHeight="true" outlineLevel="0" collapsed="false">
      <c r="A33" s="222" t="n">
        <f aca="false">A52</f>
        <v>22</v>
      </c>
      <c r="B33" s="174" t="n">
        <v>10000</v>
      </c>
      <c r="C33" s="223"/>
      <c r="D33" s="373" t="n">
        <f aca="false">H48</f>
        <v>1372.35835324858</v>
      </c>
      <c r="E33" s="210"/>
      <c r="F33" s="19"/>
      <c r="G33" s="213" t="s">
        <v>36</v>
      </c>
      <c r="H33" s="374" t="n">
        <f aca="false">E21-E11+((E16*20%)+(E19*20%)+(E20*20%))</f>
        <v>48877.5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8.75" hidden="false" customHeight="true" outlineLevel="0" collapsed="false">
      <c r="A34" s="209"/>
      <c r="B34" s="207"/>
      <c r="C34" s="207"/>
      <c r="D34" s="207"/>
      <c r="E34" s="210"/>
      <c r="F34" s="19"/>
      <c r="G34" s="19" t="s">
        <v>316</v>
      </c>
      <c r="H34" s="19" t="n">
        <f aca="false">H29</f>
        <v>22</v>
      </c>
      <c r="I34" s="19" t="n">
        <v>43957.29</v>
      </c>
      <c r="J34" s="19" t="n">
        <v>841.24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8.75" hidden="false" customHeight="true" outlineLevel="0" collapsed="false">
      <c r="A35" s="209" t="s">
        <v>37</v>
      </c>
      <c r="B35" s="207" t="s">
        <v>38</v>
      </c>
      <c r="C35" s="207"/>
      <c r="D35" s="207" t="s">
        <v>39</v>
      </c>
      <c r="E35" s="210"/>
      <c r="F35" s="19"/>
      <c r="G35" s="225" t="s">
        <v>40</v>
      </c>
      <c r="H35" s="226" t="n">
        <v>0.065</v>
      </c>
      <c r="I35" s="19" t="n">
        <v>46215.83</v>
      </c>
      <c r="J35" s="19" t="n">
        <v>909.69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8.75" hidden="false" customHeight="true" outlineLevel="0" collapsed="false">
      <c r="A36" s="69" t="n">
        <f aca="false">H47</f>
        <v>1334.55835324858</v>
      </c>
      <c r="B36" s="37" t="n">
        <f aca="false">IF(B26="YES", H42, "")</f>
        <v>37.8</v>
      </c>
      <c r="C36" s="215"/>
      <c r="D36" s="232" t="n">
        <f aca="false">H31</f>
        <v>28900</v>
      </c>
      <c r="E36" s="210"/>
      <c r="F36" s="19"/>
      <c r="G36" s="19"/>
      <c r="H36" s="19"/>
      <c r="I36" s="19" t="n">
        <f aca="false">I35-I34</f>
        <v>2258.54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8.75" hidden="false" customHeight="true" outlineLevel="0" collapsed="false">
      <c r="A37" s="70"/>
      <c r="B37" s="37"/>
      <c r="C37" s="215"/>
      <c r="D37" s="37"/>
      <c r="E37" s="210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8.75" hidden="false" customHeight="true" outlineLevel="0" collapsed="false">
      <c r="A38" s="209"/>
      <c r="B38" s="207"/>
      <c r="C38" s="207"/>
      <c r="D38" s="207"/>
      <c r="E38" s="210"/>
      <c r="F38" s="19"/>
      <c r="G38" s="237" t="s">
        <v>42</v>
      </c>
      <c r="H38" s="237"/>
      <c r="I38" s="22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8.75" hidden="false" customHeight="true" outlineLevel="0" collapsed="false">
      <c r="A39" s="209" t="s">
        <v>43</v>
      </c>
      <c r="B39" s="207" t="s">
        <v>44</v>
      </c>
      <c r="C39" s="207"/>
      <c r="D39" s="207" t="s">
        <v>45</v>
      </c>
      <c r="E39" s="210"/>
      <c r="F39" s="19"/>
      <c r="G39" s="19" t="s">
        <v>46</v>
      </c>
      <c r="H39" s="228" t="n">
        <f aca="false">H33</f>
        <v>48877.5</v>
      </c>
      <c r="I39" s="228" t="n">
        <f aca="false">(I48*H46)+H44</f>
        <v>49449.3231032324</v>
      </c>
      <c r="J39" s="22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8.75" hidden="false" customHeight="true" outlineLevel="0" collapsed="false">
      <c r="A40" s="72" t="n">
        <f aca="false">D36*A45/100</f>
        <v>28900</v>
      </c>
      <c r="B40" s="72" t="n">
        <f aca="false">IF(B26="YES",H42,"0")</f>
        <v>37.8</v>
      </c>
      <c r="C40" s="72"/>
      <c r="D40" s="232" t="n">
        <f aca="false">I32</f>
        <v>831.6</v>
      </c>
      <c r="E40" s="210"/>
      <c r="F40" s="19"/>
      <c r="G40" s="19" t="s">
        <v>47</v>
      </c>
      <c r="H40" s="228" t="n">
        <f aca="false">A40/1.2</f>
        <v>24083.3333333333</v>
      </c>
      <c r="I40" s="228" t="n">
        <f aca="false">H39-I39</f>
        <v>-571.823103232397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8.75" hidden="false" customHeight="true" outlineLevel="0" collapsed="false">
      <c r="A41" s="209"/>
      <c r="B41" s="207"/>
      <c r="C41" s="207"/>
      <c r="D41" s="207"/>
      <c r="E41" s="210"/>
      <c r="F41" s="19"/>
      <c r="G41" s="19" t="s">
        <v>48</v>
      </c>
      <c r="H41" s="235" t="n">
        <f aca="false">H35/12</f>
        <v>0.00541666666666667</v>
      </c>
      <c r="I41" s="22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8.75" hidden="false" customHeight="true" outlineLevel="0" collapsed="false">
      <c r="A42" s="209"/>
      <c r="B42" s="207"/>
      <c r="C42" s="207"/>
      <c r="D42" s="207"/>
      <c r="E42" s="210"/>
      <c r="F42" s="19"/>
      <c r="G42" s="19" t="s">
        <v>49</v>
      </c>
      <c r="H42" s="228" t="n">
        <f aca="false">(I32/H34)*(C45/100)</f>
        <v>37.8</v>
      </c>
      <c r="I42" s="22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8.75" hidden="false" customHeight="true" outlineLevel="0" collapsed="false">
      <c r="A43" s="255"/>
      <c r="B43" s="256"/>
      <c r="C43" s="256"/>
      <c r="D43" s="256"/>
      <c r="E43" s="257"/>
      <c r="F43" s="19"/>
      <c r="G43" s="19" t="s">
        <v>50</v>
      </c>
      <c r="H43" s="19"/>
      <c r="I43" s="22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8.75" hidden="false" customHeight="true" outlineLevel="0" collapsed="false">
      <c r="A44" s="375" t="s">
        <v>51</v>
      </c>
      <c r="B44" s="207"/>
      <c r="C44" s="339" t="s">
        <v>52</v>
      </c>
      <c r="D44" s="339"/>
      <c r="E44" s="210"/>
      <c r="F44" s="19"/>
      <c r="G44" s="19" t="s">
        <v>317</v>
      </c>
      <c r="H44" s="228" t="n">
        <f aca="false">(H40/(1+H41)^(H34+1))</f>
        <v>21269.4741156504</v>
      </c>
      <c r="I44" s="228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8.75" hidden="false" customHeight="true" outlineLevel="0" collapsed="false">
      <c r="A45" s="376" t="n">
        <v>100</v>
      </c>
      <c r="B45" s="207"/>
      <c r="C45" s="377" t="n">
        <v>100</v>
      </c>
      <c r="D45" s="377"/>
      <c r="E45" s="210"/>
      <c r="F45" s="19"/>
      <c r="G45" s="19" t="s">
        <v>318</v>
      </c>
      <c r="H45" s="228" t="n">
        <f aca="false">(H39-H44)</f>
        <v>27608.0258843496</v>
      </c>
      <c r="I45" s="22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8.75" hidden="false" customHeight="true" outlineLevel="0" collapsed="false">
      <c r="A46" s="252"/>
      <c r="B46" s="253"/>
      <c r="C46" s="253"/>
      <c r="D46" s="253"/>
      <c r="E46" s="254"/>
      <c r="F46" s="19"/>
      <c r="G46" s="19" t="s">
        <v>319</v>
      </c>
      <c r="H46" s="228" t="n">
        <f aca="false">((1-(1/((1+H41)^H34)))/H41)</f>
        <v>20.6870129111599</v>
      </c>
      <c r="I46" s="22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8.75" hidden="false" customHeight="true" outlineLevel="0" collapsed="false">
      <c r="A47" s="209"/>
      <c r="B47" s="207"/>
      <c r="C47" s="207"/>
      <c r="D47" s="207"/>
      <c r="E47" s="210"/>
      <c r="F47" s="19"/>
      <c r="G47" s="19" t="s">
        <v>56</v>
      </c>
      <c r="H47" s="228" t="n">
        <f aca="false">H45/H46</f>
        <v>1334.55835324858</v>
      </c>
      <c r="I47" s="22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8.75" hidden="false" customHeight="true" outlineLevel="0" collapsed="false">
      <c r="A48" s="243" t="s">
        <v>57</v>
      </c>
      <c r="B48" s="207"/>
      <c r="C48" s="207"/>
      <c r="D48" s="244"/>
      <c r="E48" s="245"/>
      <c r="F48" s="19"/>
      <c r="G48" s="378" t="s">
        <v>58</v>
      </c>
      <c r="H48" s="228" t="n">
        <f aca="false">IF(B26="YES", H47+H42, H47)</f>
        <v>1372.35835324858</v>
      </c>
      <c r="I48" s="228" t="n">
        <f aca="false">I49-H42</f>
        <v>1362.2</v>
      </c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8.75" hidden="false" customHeight="true" outlineLevel="0" collapsed="false">
      <c r="A49" s="209"/>
      <c r="B49" s="246"/>
      <c r="C49" s="246"/>
      <c r="D49" s="207"/>
      <c r="E49" s="210"/>
      <c r="F49" s="19"/>
      <c r="G49" s="19" t="s">
        <v>59</v>
      </c>
      <c r="H49" s="247"/>
      <c r="I49" s="228" t="n">
        <v>1400</v>
      </c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8.75" hidden="false" customHeight="true" outlineLevel="0" collapsed="false">
      <c r="A50" s="248" t="s">
        <v>28</v>
      </c>
      <c r="B50" s="249" t="s">
        <v>33</v>
      </c>
      <c r="C50" s="249"/>
      <c r="D50" s="207"/>
      <c r="E50" s="210"/>
      <c r="F50" s="19"/>
      <c r="G50" s="19"/>
      <c r="H50" s="19"/>
      <c r="I50" s="22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8.75" hidden="false" customHeight="true" outlineLevel="0" collapsed="false">
      <c r="A51" s="248"/>
      <c r="B51" s="250" t="n">
        <f aca="false">H30</f>
        <v>22000</v>
      </c>
      <c r="C51" s="250"/>
      <c r="D51" s="207"/>
      <c r="E51" s="210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8.75" hidden="false" customHeight="true" outlineLevel="0" collapsed="false">
      <c r="A52" s="251" t="n">
        <f aca="false">H29</f>
        <v>22</v>
      </c>
      <c r="B52" s="92" t="n">
        <f aca="false">H48</f>
        <v>1372.35835324858</v>
      </c>
      <c r="C52" s="92"/>
      <c r="D52" s="207"/>
      <c r="E52" s="210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8.75" hidden="false" customHeight="true" outlineLevel="0" collapsed="false">
      <c r="A53" s="209"/>
      <c r="B53" s="207"/>
      <c r="C53" s="207"/>
      <c r="D53" s="207"/>
      <c r="E53" s="210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8.75" hidden="false" customHeight="true" outlineLevel="0" collapsed="false">
      <c r="A54" s="252"/>
      <c r="B54" s="253"/>
      <c r="C54" s="253"/>
      <c r="D54" s="253"/>
      <c r="E54" s="254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8.75" hidden="false" customHeight="true" outlineLevel="0" collapsed="false">
      <c r="A55" s="207"/>
      <c r="B55" s="207"/>
      <c r="C55" s="207"/>
      <c r="D55" s="207"/>
      <c r="E55" s="207"/>
      <c r="F55" s="19"/>
      <c r="G55" s="207"/>
      <c r="H55" s="207"/>
      <c r="I55" s="207"/>
      <c r="J55" s="207"/>
      <c r="K55" s="207"/>
      <c r="L55" s="19"/>
      <c r="M55" s="207"/>
      <c r="N55" s="207"/>
      <c r="O55" s="207"/>
      <c r="P55" s="207"/>
      <c r="Q55" s="207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8.75" hidden="false" customHeight="true" outlineLevel="0" collapsed="false">
      <c r="A56" s="255"/>
      <c r="B56" s="256"/>
      <c r="C56" s="256"/>
      <c r="D56" s="256"/>
      <c r="E56" s="257"/>
      <c r="F56" s="19"/>
      <c r="G56" s="255"/>
      <c r="H56" s="256"/>
      <c r="I56" s="256"/>
      <c r="J56" s="256"/>
      <c r="K56" s="257"/>
      <c r="L56" s="19"/>
      <c r="M56" s="255"/>
      <c r="N56" s="256"/>
      <c r="O56" s="256"/>
      <c r="P56" s="256"/>
      <c r="Q56" s="257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8.75" hidden="false" customHeight="true" outlineLevel="0" collapsed="false">
      <c r="A57" s="209" t="s">
        <v>46</v>
      </c>
      <c r="B57" s="207" t="n">
        <f aca="false">IF(B99=Y97,1,IF(B99=Y98,1,IF(B99=Y99,3,IF(B99=Y100,6,IF(B99=Y101,9,IF(B99=Y102,12,IF(B99=Y103,3,IF(B99=Y104,6,IF(B99=Y105,9,0)))))))))</f>
        <v>9</v>
      </c>
      <c r="C57" s="207"/>
      <c r="D57" s="207"/>
      <c r="E57" s="210"/>
      <c r="F57" s="19"/>
      <c r="G57" s="209" t="s">
        <v>46</v>
      </c>
      <c r="H57" s="207" t="n">
        <f aca="false">IF(H99=Y97,1,IF(H99=Y98,1,IF(H99=Y99,3,IF(H99=Y100,6,IF(H99=Y101,9,IF(H99=Y102,12,IF(H99=Y103,3,IF(H99=Y104,6,IF(H99=Y105,9,0)))))))))</f>
        <v>6</v>
      </c>
      <c r="I57" s="207"/>
      <c r="J57" s="207"/>
      <c r="K57" s="210"/>
      <c r="L57" s="19"/>
      <c r="M57" s="209" t="s">
        <v>46</v>
      </c>
      <c r="N57" s="207" t="n">
        <f aca="false">IF(N99=Y97,1,IF(N99=Y98,1,IF(N99=Y99,3,IF(N99=Y100,6,IF(N99=Y101,9,IF(N99=Y102,12,IF(N99=Y103,3,IF(N99=Y104,6,IF(N99=Y105,9,0)))))))))</f>
        <v>6</v>
      </c>
      <c r="O57" s="207"/>
      <c r="P57" s="207"/>
      <c r="Q57" s="210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8.75" hidden="false" customHeight="true" outlineLevel="0" collapsed="false">
      <c r="A58" s="209" t="s">
        <v>60</v>
      </c>
      <c r="B58" s="207" t="n">
        <f aca="false">IF(B99=Y97,H29-B57,IF(B99=Y98,H29-B57,IF(B99=Y99,H29-1,IF(B99=Y100,H29-1,IF(B99=Y101,H29-1,IF(B99=Y102,H29-1,IF(B99=Y103,H29-B57,IF(B99=Y104,H29-B57,IF(B99=Y105,H29-B57,0)))))))))</f>
        <v>13</v>
      </c>
      <c r="C58" s="207"/>
      <c r="D58" s="207"/>
      <c r="E58" s="210"/>
      <c r="F58" s="19"/>
      <c r="G58" s="209" t="s">
        <v>60</v>
      </c>
      <c r="H58" s="207" t="n">
        <f aca="false">IF(H99=Y97,H29-H57,IF(H99=Y98,H29-H57,IF(H99=Y99,H29-1,IF(H99=Y100,H29-1,IF(H99=Y101,H29-1,IF(H99=Y102,H29-1,IF(H99=Y103,H29-H57,IF(H99=Y104,H29-H57,IF(H99=Y105,H29-H57,0)))))))))</f>
        <v>21</v>
      </c>
      <c r="I58" s="207"/>
      <c r="J58" s="207"/>
      <c r="K58" s="210"/>
      <c r="L58" s="19"/>
      <c r="M58" s="209" t="s">
        <v>60</v>
      </c>
      <c r="N58" s="207" t="n">
        <f aca="false">IF(N99=Y97,H29-N57,IF(N99=Y98,H29-N57,IF(N99=Y99,H29-1,IF(N99=Y100,H29-1,IF(N99=Y101,H29-1,IF(N99=Y102,H29-1,IF(N99=Y103,H29-N57,IF(N99=Y104,H29-N57,IF(N99=Y105,H29-N57,0)))))))))</f>
        <v>21</v>
      </c>
      <c r="O58" s="207"/>
      <c r="P58" s="207"/>
      <c r="Q58" s="210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8.75" hidden="false" customHeight="true" outlineLevel="0" collapsed="false">
      <c r="A59" s="209"/>
      <c r="B59" s="207"/>
      <c r="C59" s="207"/>
      <c r="D59" s="207"/>
      <c r="E59" s="210"/>
      <c r="F59" s="19"/>
      <c r="G59" s="209"/>
      <c r="H59" s="207"/>
      <c r="I59" s="207"/>
      <c r="J59" s="207"/>
      <c r="K59" s="210"/>
      <c r="L59" s="19"/>
      <c r="M59" s="209"/>
      <c r="N59" s="207"/>
      <c r="O59" s="207"/>
      <c r="P59" s="207"/>
      <c r="Q59" s="210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8.75" hidden="false" customHeight="true" outlineLevel="0" collapsed="false">
      <c r="A60" s="209"/>
      <c r="B60" s="207"/>
      <c r="C60" s="207"/>
      <c r="D60" s="207"/>
      <c r="E60" s="210"/>
      <c r="F60" s="19"/>
      <c r="G60" s="209"/>
      <c r="H60" s="207"/>
      <c r="I60" s="207"/>
      <c r="J60" s="207"/>
      <c r="K60" s="210"/>
      <c r="L60" s="19"/>
      <c r="M60" s="209"/>
      <c r="N60" s="207"/>
      <c r="O60" s="207"/>
      <c r="P60" s="207"/>
      <c r="Q60" s="210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8.75" hidden="false" customHeight="true" outlineLevel="0" collapsed="false">
      <c r="A61" s="209" t="s">
        <v>16</v>
      </c>
      <c r="B61" s="79" t="n">
        <f aca="false">G18</f>
        <v>57885</v>
      </c>
      <c r="C61" s="207"/>
      <c r="D61" s="207"/>
      <c r="E61" s="210"/>
      <c r="F61" s="19"/>
      <c r="G61" s="209" t="s">
        <v>16</v>
      </c>
      <c r="H61" s="79" t="n">
        <f aca="false">G18</f>
        <v>57885</v>
      </c>
      <c r="I61" s="207"/>
      <c r="J61" s="207"/>
      <c r="K61" s="210"/>
      <c r="L61" s="19"/>
      <c r="M61" s="209" t="s">
        <v>16</v>
      </c>
      <c r="N61" s="79" t="n">
        <f aca="false">G18</f>
        <v>57885</v>
      </c>
      <c r="O61" s="207"/>
      <c r="P61" s="207"/>
      <c r="Q61" s="210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8.75" hidden="false" customHeight="true" outlineLevel="0" collapsed="false">
      <c r="A62" s="258" t="s">
        <v>241</v>
      </c>
      <c r="B62" s="259" t="n">
        <v>0.07</v>
      </c>
      <c r="C62" s="207"/>
      <c r="D62" s="207"/>
      <c r="E62" s="210"/>
      <c r="F62" s="19"/>
      <c r="G62" s="258" t="s">
        <v>241</v>
      </c>
      <c r="H62" s="259" t="n">
        <v>0.07</v>
      </c>
      <c r="I62" s="207"/>
      <c r="J62" s="207"/>
      <c r="K62" s="210"/>
      <c r="L62" s="19"/>
      <c r="M62" s="258" t="s">
        <v>241</v>
      </c>
      <c r="N62" s="259" t="n">
        <v>0.07</v>
      </c>
      <c r="O62" s="207"/>
      <c r="P62" s="207"/>
      <c r="Q62" s="210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8.75" hidden="false" customHeight="true" outlineLevel="0" collapsed="false">
      <c r="A63" s="209" t="s">
        <v>242</v>
      </c>
      <c r="B63" s="260" t="n">
        <f aca="false">B62+(B62*0.25*((H29/12)-1))</f>
        <v>0.0845833333333333</v>
      </c>
      <c r="C63" s="207"/>
      <c r="D63" s="207"/>
      <c r="E63" s="210"/>
      <c r="F63" s="19"/>
      <c r="G63" s="209" t="s">
        <v>242</v>
      </c>
      <c r="H63" s="260" t="n">
        <f aca="false">H62+(H62*0.25*(H29/12-1))</f>
        <v>0.0845833333333333</v>
      </c>
      <c r="I63" s="207"/>
      <c r="J63" s="207"/>
      <c r="K63" s="210"/>
      <c r="L63" s="19"/>
      <c r="M63" s="209" t="s">
        <v>242</v>
      </c>
      <c r="N63" s="260" t="n">
        <f aca="false">N62+(N62*0.25*(H29/12-1))</f>
        <v>0.0845833333333333</v>
      </c>
      <c r="O63" s="207"/>
      <c r="P63" s="207"/>
      <c r="Q63" s="210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8.75" hidden="false" customHeight="true" outlineLevel="0" collapsed="false">
      <c r="A64" s="252" t="s">
        <v>65</v>
      </c>
      <c r="B64" s="139" t="n">
        <f aca="false">B61*B63</f>
        <v>4896.10625</v>
      </c>
      <c r="C64" s="379" t="n">
        <v>10000</v>
      </c>
      <c r="D64" s="79" t="n">
        <f aca="false">B64</f>
        <v>4896.10625</v>
      </c>
      <c r="E64" s="380" t="n">
        <f aca="false">D64/(B58+B57)</f>
        <v>222.550284090909</v>
      </c>
      <c r="F64" s="19"/>
      <c r="G64" s="252" t="s">
        <v>65</v>
      </c>
      <c r="H64" s="139" t="n">
        <f aca="false">H61*H63</f>
        <v>4896.10625</v>
      </c>
      <c r="I64" s="207"/>
      <c r="J64" s="79" t="n">
        <f aca="false">H64-G145</f>
        <v>4896.10625</v>
      </c>
      <c r="K64" s="210"/>
      <c r="L64" s="19"/>
      <c r="M64" s="252" t="s">
        <v>65</v>
      </c>
      <c r="N64" s="139" t="n">
        <f aca="false">N61*N63</f>
        <v>4896.10625</v>
      </c>
      <c r="O64" s="207"/>
      <c r="P64" s="79" t="n">
        <f aca="false">N64-M145</f>
        <v>4896.10625</v>
      </c>
      <c r="Q64" s="210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8.75" hidden="false" customHeight="true" outlineLevel="0" collapsed="false">
      <c r="A65" s="258" t="s">
        <v>66</v>
      </c>
      <c r="B65" s="259" t="n">
        <v>0.01</v>
      </c>
      <c r="C65" s="207"/>
      <c r="D65" s="79"/>
      <c r="E65" s="210"/>
      <c r="F65" s="19"/>
      <c r="G65" s="258" t="s">
        <v>66</v>
      </c>
      <c r="H65" s="259" t="n">
        <v>0.01</v>
      </c>
      <c r="I65" s="207"/>
      <c r="J65" s="207"/>
      <c r="K65" s="210"/>
      <c r="L65" s="19"/>
      <c r="M65" s="258" t="s">
        <v>66</v>
      </c>
      <c r="N65" s="259" t="n">
        <v>0.01</v>
      </c>
      <c r="O65" s="207"/>
      <c r="P65" s="207"/>
      <c r="Q65" s="210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8.75" hidden="false" customHeight="true" outlineLevel="0" collapsed="false">
      <c r="A66" s="209" t="s">
        <v>67</v>
      </c>
      <c r="B66" s="260" t="n">
        <f aca="false">B65+(B65*0.5*(H29/12-1))</f>
        <v>0.0141666666666667</v>
      </c>
      <c r="C66" s="381" t="s">
        <v>194</v>
      </c>
      <c r="D66" s="207"/>
      <c r="E66" s="210"/>
      <c r="F66" s="19"/>
      <c r="G66" s="209" t="s">
        <v>67</v>
      </c>
      <c r="H66" s="260" t="n">
        <f aca="false">H65+(H65*0.5*(H29/12-1))</f>
        <v>0.0141666666666667</v>
      </c>
      <c r="I66" s="207"/>
      <c r="J66" s="207"/>
      <c r="K66" s="210"/>
      <c r="L66" s="19"/>
      <c r="M66" s="209" t="s">
        <v>67</v>
      </c>
      <c r="N66" s="260" t="n">
        <f aca="false">N65+(N65*0.5*(H29/12-1))</f>
        <v>0.0141666666666667</v>
      </c>
      <c r="O66" s="207"/>
      <c r="P66" s="207"/>
      <c r="Q66" s="210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8.75" hidden="false" customHeight="true" outlineLevel="0" collapsed="false">
      <c r="A67" s="252" t="s">
        <v>68</v>
      </c>
      <c r="B67" s="139" t="n">
        <f aca="false">B61*B66</f>
        <v>820.0375</v>
      </c>
      <c r="C67" s="382" t="s">
        <v>194</v>
      </c>
      <c r="D67" s="383"/>
      <c r="E67" s="210"/>
      <c r="F67" s="19"/>
      <c r="G67" s="252" t="s">
        <v>68</v>
      </c>
      <c r="H67" s="139" t="n">
        <f aca="false">(H61*H66)/1.2</f>
        <v>683.364583333333</v>
      </c>
      <c r="I67" s="207"/>
      <c r="J67" s="79"/>
      <c r="K67" s="210"/>
      <c r="L67" s="19"/>
      <c r="M67" s="252" t="s">
        <v>68</v>
      </c>
      <c r="N67" s="139" t="n">
        <f aca="false">(N61*N66)/1.2</f>
        <v>683.364583333333</v>
      </c>
      <c r="O67" s="207"/>
      <c r="P67" s="79"/>
      <c r="Q67" s="210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8.75" hidden="false" customHeight="true" outlineLevel="0" collapsed="false">
      <c r="A68" s="258" t="s">
        <v>69</v>
      </c>
      <c r="B68" s="259" t="n">
        <v>0.0075</v>
      </c>
      <c r="C68" s="384"/>
      <c r="D68" s="79"/>
      <c r="E68" s="210"/>
      <c r="F68" s="19"/>
      <c r="G68" s="258" t="s">
        <v>69</v>
      </c>
      <c r="H68" s="259" t="n">
        <v>0.0075</v>
      </c>
      <c r="I68" s="207"/>
      <c r="J68" s="207"/>
      <c r="K68" s="210"/>
      <c r="L68" s="19"/>
      <c r="M68" s="258" t="s">
        <v>69</v>
      </c>
      <c r="N68" s="259" t="n">
        <v>0.0075</v>
      </c>
      <c r="O68" s="207"/>
      <c r="P68" s="207"/>
      <c r="Q68" s="210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8.75" hidden="false" customHeight="true" outlineLevel="0" collapsed="false">
      <c r="A69" s="261" t="s">
        <v>70</v>
      </c>
      <c r="B69" s="262" t="n">
        <v>0.12</v>
      </c>
      <c r="C69" s="207"/>
      <c r="D69" s="207"/>
      <c r="E69" s="210"/>
      <c r="F69" s="19"/>
      <c r="G69" s="261" t="s">
        <v>70</v>
      </c>
      <c r="H69" s="262" t="n">
        <v>0.12</v>
      </c>
      <c r="I69" s="207"/>
      <c r="J69" s="207"/>
      <c r="K69" s="210"/>
      <c r="L69" s="19"/>
      <c r="M69" s="261" t="s">
        <v>70</v>
      </c>
      <c r="N69" s="262" t="n">
        <v>0.12</v>
      </c>
      <c r="O69" s="207"/>
      <c r="P69" s="207"/>
      <c r="Q69" s="210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18.75" hidden="false" customHeight="true" outlineLevel="0" collapsed="false">
      <c r="A70" s="252" t="s">
        <v>71</v>
      </c>
      <c r="B70" s="263" t="n">
        <f aca="false">B68*(1+B69)</f>
        <v>0.0084</v>
      </c>
      <c r="C70" s="207"/>
      <c r="D70" s="207"/>
      <c r="E70" s="210"/>
      <c r="F70" s="19"/>
      <c r="G70" s="252" t="s">
        <v>71</v>
      </c>
      <c r="H70" s="263" t="n">
        <f aca="false">H68*(1+H69)</f>
        <v>0.0084</v>
      </c>
      <c r="I70" s="207"/>
      <c r="J70" s="207"/>
      <c r="K70" s="210"/>
      <c r="L70" s="19"/>
      <c r="M70" s="252" t="s">
        <v>71</v>
      </c>
      <c r="N70" s="385" t="n">
        <f aca="false">N68*(1+N69)</f>
        <v>0.0084</v>
      </c>
      <c r="O70" s="207"/>
      <c r="P70" s="207"/>
      <c r="Q70" s="210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18.75" hidden="false" customHeight="true" outlineLevel="0" collapsed="false">
      <c r="A71" s="258" t="s">
        <v>72</v>
      </c>
      <c r="B71" s="264" t="n">
        <v>200</v>
      </c>
      <c r="C71" s="207"/>
      <c r="D71" s="207"/>
      <c r="E71" s="210"/>
      <c r="F71" s="19"/>
      <c r="G71" s="258" t="s">
        <v>72</v>
      </c>
      <c r="H71" s="264" t="n">
        <v>160</v>
      </c>
      <c r="I71" s="207"/>
      <c r="J71" s="207"/>
      <c r="K71" s="210"/>
      <c r="L71" s="19"/>
      <c r="M71" s="258" t="s">
        <v>72</v>
      </c>
      <c r="N71" s="264" t="n">
        <v>160</v>
      </c>
      <c r="O71" s="207"/>
      <c r="P71" s="207"/>
      <c r="Q71" s="210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8.75" hidden="false" customHeight="true" outlineLevel="0" collapsed="false">
      <c r="A72" s="261" t="s">
        <v>73</v>
      </c>
      <c r="B72" s="265" t="n">
        <v>5</v>
      </c>
      <c r="C72" s="207"/>
      <c r="D72" s="207"/>
      <c r="E72" s="210"/>
      <c r="F72" s="19"/>
      <c r="G72" s="261" t="s">
        <v>73</v>
      </c>
      <c r="H72" s="265" t="n">
        <v>4.5</v>
      </c>
      <c r="I72" s="207"/>
      <c r="J72" s="207"/>
      <c r="K72" s="210"/>
      <c r="L72" s="19"/>
      <c r="M72" s="261" t="s">
        <v>73</v>
      </c>
      <c r="N72" s="265" t="n">
        <v>4.5</v>
      </c>
      <c r="O72" s="207"/>
      <c r="P72" s="207"/>
      <c r="Q72" s="210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8.75" hidden="false" customHeight="true" outlineLevel="0" collapsed="false">
      <c r="A73" s="252" t="s">
        <v>74</v>
      </c>
      <c r="B73" s="139" t="n">
        <f aca="false">B72*H29</f>
        <v>110</v>
      </c>
      <c r="C73" s="207"/>
      <c r="D73" s="386" t="n">
        <f aca="false">B73+B71</f>
        <v>310</v>
      </c>
      <c r="E73" s="210" t="s">
        <v>200</v>
      </c>
      <c r="F73" s="19"/>
      <c r="G73" s="252" t="s">
        <v>74</v>
      </c>
      <c r="H73" s="139" t="n">
        <f aca="false">H72*H29</f>
        <v>99</v>
      </c>
      <c r="I73" s="207"/>
      <c r="J73" s="79" t="n">
        <f aca="false">H73+H71</f>
        <v>259</v>
      </c>
      <c r="K73" s="210"/>
      <c r="L73" s="19"/>
      <c r="M73" s="252" t="s">
        <v>74</v>
      </c>
      <c r="N73" s="139" t="n">
        <f aca="false">N72*H29</f>
        <v>99</v>
      </c>
      <c r="O73" s="207"/>
      <c r="P73" s="79" t="n">
        <f aca="false">N73+N71</f>
        <v>259</v>
      </c>
      <c r="Q73" s="210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8.75" hidden="false" customHeight="true" outlineLevel="0" collapsed="false">
      <c r="A74" s="258" t="s">
        <v>243</v>
      </c>
      <c r="B74" s="264" t="n">
        <v>165</v>
      </c>
      <c r="C74" s="207"/>
      <c r="D74" s="207"/>
      <c r="E74" s="210"/>
      <c r="F74" s="19"/>
      <c r="G74" s="258" t="s">
        <v>243</v>
      </c>
      <c r="H74" s="264" t="n">
        <v>165</v>
      </c>
      <c r="I74" s="207"/>
      <c r="J74" s="207"/>
      <c r="K74" s="210"/>
      <c r="L74" s="19"/>
      <c r="M74" s="267" t="s">
        <v>243</v>
      </c>
      <c r="N74" s="268" t="n">
        <v>0</v>
      </c>
      <c r="O74" s="207"/>
      <c r="P74" s="207"/>
      <c r="Q74" s="210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8.75" hidden="false" customHeight="true" outlineLevel="0" collapsed="false">
      <c r="A75" s="261" t="s">
        <v>244</v>
      </c>
      <c r="B75" s="265" t="n">
        <v>355</v>
      </c>
      <c r="C75" s="207"/>
      <c r="D75" s="207"/>
      <c r="E75" s="210"/>
      <c r="F75" s="19"/>
      <c r="G75" s="261" t="s">
        <v>244</v>
      </c>
      <c r="H75" s="265" t="n">
        <v>0</v>
      </c>
      <c r="I75" s="207"/>
      <c r="J75" s="207"/>
      <c r="K75" s="210"/>
      <c r="L75" s="19"/>
      <c r="M75" s="269" t="s">
        <v>244</v>
      </c>
      <c r="N75" s="270" t="n">
        <v>0</v>
      </c>
      <c r="O75" s="207"/>
      <c r="P75" s="207"/>
      <c r="Q75" s="210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8.75" hidden="false" customHeight="true" outlineLevel="0" collapsed="false">
      <c r="A76" s="252" t="s">
        <v>245</v>
      </c>
      <c r="B76" s="139" t="n">
        <f aca="false">((B74+B75)/12)*(H29-11)</f>
        <v>476.666666666667</v>
      </c>
      <c r="C76" s="207"/>
      <c r="D76" s="79" t="n">
        <f aca="false">B76</f>
        <v>476.666666666667</v>
      </c>
      <c r="E76" s="210"/>
      <c r="F76" s="19"/>
      <c r="G76" s="252" t="s">
        <v>245</v>
      </c>
      <c r="H76" s="139" t="n">
        <f aca="false">((H74+H75)/12)*(H29-11)</f>
        <v>151.25</v>
      </c>
      <c r="I76" s="207"/>
      <c r="J76" s="79" t="n">
        <f aca="false">H76</f>
        <v>151.25</v>
      </c>
      <c r="K76" s="210"/>
      <c r="L76" s="19"/>
      <c r="M76" s="271" t="s">
        <v>245</v>
      </c>
      <c r="N76" s="272" t="n">
        <f aca="false">((N74+N75)/12)*(H29-11)</f>
        <v>0</v>
      </c>
      <c r="O76" s="207"/>
      <c r="P76" s="79" t="n">
        <f aca="false">N76</f>
        <v>0</v>
      </c>
      <c r="Q76" s="210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8.75" hidden="false" customHeight="true" outlineLevel="0" collapsed="false">
      <c r="A77" s="255" t="s">
        <v>246</v>
      </c>
      <c r="B77" s="137" t="n">
        <f aca="false">B102/(1-0.1)</f>
        <v>444.444444444444</v>
      </c>
      <c r="C77" s="387"/>
      <c r="D77" s="79" t="n">
        <f aca="false">B77</f>
        <v>444.444444444444</v>
      </c>
      <c r="E77" s="380" t="n">
        <f aca="false">D77/(B58+B57)</f>
        <v>20.2020202020202</v>
      </c>
      <c r="F77" s="19"/>
      <c r="G77" s="258" t="s">
        <v>246</v>
      </c>
      <c r="H77" s="264" t="n">
        <v>0</v>
      </c>
      <c r="I77" s="207"/>
      <c r="J77" s="79" t="n">
        <f aca="false">H77</f>
        <v>0</v>
      </c>
      <c r="K77" s="210"/>
      <c r="L77" s="19"/>
      <c r="M77" s="258" t="s">
        <v>246</v>
      </c>
      <c r="N77" s="264" t="n">
        <v>0</v>
      </c>
      <c r="O77" s="207"/>
      <c r="P77" s="79" t="n">
        <f aca="false">N77</f>
        <v>0</v>
      </c>
      <c r="Q77" s="210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8.75" hidden="false" customHeight="true" outlineLevel="0" collapsed="false">
      <c r="A78" s="209" t="s">
        <v>248</v>
      </c>
      <c r="B78" s="273" t="n">
        <f aca="false">D102/(1-0.1)</f>
        <v>222.222222222222</v>
      </c>
      <c r="C78" s="387"/>
      <c r="D78" s="79" t="n">
        <f aca="false">B78</f>
        <v>222.222222222222</v>
      </c>
      <c r="E78" s="380"/>
      <c r="F78" s="19"/>
      <c r="G78" s="209" t="s">
        <v>248</v>
      </c>
      <c r="H78" s="273" t="n">
        <v>0</v>
      </c>
      <c r="I78" s="207"/>
      <c r="J78" s="79" t="n">
        <f aca="false">H78</f>
        <v>0</v>
      </c>
      <c r="K78" s="210"/>
      <c r="L78" s="19"/>
      <c r="M78" s="209" t="s">
        <v>248</v>
      </c>
      <c r="N78" s="273" t="n">
        <v>0</v>
      </c>
      <c r="O78" s="207"/>
      <c r="P78" s="79" t="n">
        <f aca="false">N78</f>
        <v>0</v>
      </c>
      <c r="Q78" s="210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8.75" hidden="false" customHeight="true" outlineLevel="0" collapsed="false">
      <c r="A79" s="261" t="s">
        <v>75</v>
      </c>
      <c r="B79" s="265" t="n">
        <v>200</v>
      </c>
      <c r="C79" s="387"/>
      <c r="D79" s="79" t="n">
        <f aca="false">B79</f>
        <v>200</v>
      </c>
      <c r="E79" s="380"/>
      <c r="F79" s="19"/>
      <c r="G79" s="261" t="s">
        <v>75</v>
      </c>
      <c r="H79" s="265" t="n">
        <v>200</v>
      </c>
      <c r="I79" s="207"/>
      <c r="J79" s="79" t="n">
        <f aca="false">H79</f>
        <v>200</v>
      </c>
      <c r="K79" s="210"/>
      <c r="L79" s="19"/>
      <c r="M79" s="261" t="s">
        <v>75</v>
      </c>
      <c r="N79" s="265" t="n">
        <v>200</v>
      </c>
      <c r="O79" s="207"/>
      <c r="P79" s="79" t="n">
        <f aca="false">N79</f>
        <v>200</v>
      </c>
      <c r="Q79" s="210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8.75" hidden="false" customHeight="true" outlineLevel="0" collapsed="false">
      <c r="A80" s="274" t="s">
        <v>76</v>
      </c>
      <c r="B80" s="275" t="n">
        <v>200</v>
      </c>
      <c r="C80" s="387"/>
      <c r="D80" s="79" t="n">
        <f aca="false">B80</f>
        <v>200</v>
      </c>
      <c r="E80" s="380" t="n">
        <f aca="false">(D73+D76+D79+D80)/(B58+B57)</f>
        <v>53.9393939393939</v>
      </c>
      <c r="F80" s="19"/>
      <c r="G80" s="274" t="s">
        <v>76</v>
      </c>
      <c r="H80" s="275" t="n">
        <v>200</v>
      </c>
      <c r="I80" s="207"/>
      <c r="J80" s="79" t="n">
        <f aca="false">H80</f>
        <v>200</v>
      </c>
      <c r="K80" s="210"/>
      <c r="L80" s="19"/>
      <c r="M80" s="274" t="s">
        <v>76</v>
      </c>
      <c r="N80" s="275" t="n">
        <v>200</v>
      </c>
      <c r="O80" s="207"/>
      <c r="P80" s="79" t="n">
        <f aca="false">N80</f>
        <v>200</v>
      </c>
      <c r="Q80" s="210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18.75" hidden="false" customHeight="true" outlineLevel="0" collapsed="false">
      <c r="A81" s="276" t="s">
        <v>77</v>
      </c>
      <c r="B81" s="277" t="n">
        <f aca="false">SUM(D64:D80)</f>
        <v>6749.43958333333</v>
      </c>
      <c r="C81" s="387"/>
      <c r="D81" s="388"/>
      <c r="E81" s="380"/>
      <c r="F81" s="19"/>
      <c r="G81" s="276" t="s">
        <v>77</v>
      </c>
      <c r="H81" s="277" t="n">
        <f aca="false">SUM(J64:J80)</f>
        <v>5706.35625</v>
      </c>
      <c r="I81" s="207"/>
      <c r="J81" s="207"/>
      <c r="K81" s="210"/>
      <c r="L81" s="19"/>
      <c r="M81" s="276" t="s">
        <v>77</v>
      </c>
      <c r="N81" s="277" t="n">
        <f aca="false">SUM(P64:P80)</f>
        <v>5555.10625</v>
      </c>
      <c r="O81" s="207"/>
      <c r="P81" s="207"/>
      <c r="Q81" s="210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18.75" hidden="false" customHeight="true" outlineLevel="0" collapsed="false">
      <c r="A82" s="209" t="s">
        <v>78</v>
      </c>
      <c r="B82" s="273" t="n">
        <f aca="false">B81/H29</f>
        <v>306.792708333333</v>
      </c>
      <c r="C82" s="387"/>
      <c r="D82" s="207"/>
      <c r="E82" s="380"/>
      <c r="F82" s="19"/>
      <c r="G82" s="209" t="s">
        <v>78</v>
      </c>
      <c r="H82" s="273" t="n">
        <f aca="false">H81/H29</f>
        <v>259.379829545455</v>
      </c>
      <c r="I82" s="207"/>
      <c r="J82" s="207"/>
      <c r="K82" s="210"/>
      <c r="L82" s="19"/>
      <c r="M82" s="209" t="s">
        <v>78</v>
      </c>
      <c r="N82" s="273" t="n">
        <f aca="false">N81/H29</f>
        <v>252.504829545455</v>
      </c>
      <c r="O82" s="207"/>
      <c r="P82" s="207"/>
      <c r="Q82" s="210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8.75" hidden="false" customHeight="true" outlineLevel="0" collapsed="false">
      <c r="A83" s="278" t="s">
        <v>79</v>
      </c>
      <c r="B83" s="279" t="n">
        <f aca="false">H47</f>
        <v>1334.55835324858</v>
      </c>
      <c r="C83" s="387"/>
      <c r="D83" s="207"/>
      <c r="E83" s="380" t="n">
        <f aca="false">B83+E80+E77+E64</f>
        <v>1631.2500514809</v>
      </c>
      <c r="F83" s="19"/>
      <c r="G83" s="278" t="s">
        <v>79</v>
      </c>
      <c r="H83" s="279" t="n">
        <f aca="false">H47</f>
        <v>1334.55835324858</v>
      </c>
      <c r="I83" s="207"/>
      <c r="J83" s="207"/>
      <c r="K83" s="210"/>
      <c r="L83" s="19"/>
      <c r="M83" s="278" t="s">
        <v>79</v>
      </c>
      <c r="N83" s="279" t="n">
        <f aca="false">H47</f>
        <v>1334.55835324858</v>
      </c>
      <c r="O83" s="207"/>
      <c r="P83" s="207"/>
      <c r="Q83" s="210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18.75" hidden="false" customHeight="true" outlineLevel="0" collapsed="false">
      <c r="A84" s="209"/>
      <c r="B84" s="79"/>
      <c r="C84" s="387"/>
      <c r="D84" s="387"/>
      <c r="E84" s="380"/>
      <c r="F84" s="19"/>
      <c r="G84" s="209"/>
      <c r="H84" s="79"/>
      <c r="I84" s="207"/>
      <c r="J84" s="207"/>
      <c r="K84" s="210"/>
      <c r="L84" s="19"/>
      <c r="M84" s="209"/>
      <c r="N84" s="79"/>
      <c r="O84" s="207"/>
      <c r="P84" s="207"/>
      <c r="Q84" s="210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8.75" hidden="false" customHeight="true" outlineLevel="0" collapsed="false">
      <c r="A85" s="255" t="s">
        <v>88</v>
      </c>
      <c r="B85" s="137" t="n">
        <f aca="false">((B83*H29)+B81)</f>
        <v>36109.723354802</v>
      </c>
      <c r="C85" s="387"/>
      <c r="D85" s="387"/>
      <c r="E85" s="380" t="n">
        <f aca="false">B85/(B58+B57)</f>
        <v>1641.35106158191</v>
      </c>
      <c r="F85" s="19"/>
      <c r="G85" s="255" t="s">
        <v>88</v>
      </c>
      <c r="H85" s="137" t="n">
        <f aca="false">((H83*H29)+H81)*1.2</f>
        <v>42079.9680257624</v>
      </c>
      <c r="I85" s="207"/>
      <c r="J85" s="207"/>
      <c r="K85" s="210"/>
      <c r="L85" s="19"/>
      <c r="M85" s="255" t="s">
        <v>88</v>
      </c>
      <c r="N85" s="137" t="n">
        <f aca="false">((N83*H29)+N81)</f>
        <v>34915.3900214687</v>
      </c>
      <c r="O85" s="207"/>
      <c r="P85" s="207"/>
      <c r="Q85" s="210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8.75" hidden="false" customHeight="true" outlineLevel="0" collapsed="false">
      <c r="A86" s="209" t="s">
        <v>89</v>
      </c>
      <c r="B86" s="273" t="n">
        <f aca="false">(((B83*H29)+B81)/(1-B70))*B70</f>
        <v>305.891161940638</v>
      </c>
      <c r="C86" s="387" t="s">
        <v>203</v>
      </c>
      <c r="D86" s="207"/>
      <c r="E86" s="380" t="n">
        <f aca="false">B86/(B58+B57)</f>
        <v>13.9041437245745</v>
      </c>
      <c r="F86" s="19"/>
      <c r="G86" s="209" t="s">
        <v>89</v>
      </c>
      <c r="H86" s="273" t="n">
        <f aca="false">((((H83*H29)+H81))/(1-H70))*H70</f>
        <v>297.055038503769</v>
      </c>
      <c r="I86" s="207"/>
      <c r="J86" s="207"/>
      <c r="K86" s="210"/>
      <c r="L86" s="19"/>
      <c r="M86" s="209" t="s">
        <v>89</v>
      </c>
      <c r="N86" s="273" t="n">
        <f aca="false">(N85/(1-N70))*N70</f>
        <v>295.773775897879</v>
      </c>
      <c r="O86" s="207"/>
      <c r="P86" s="207"/>
      <c r="Q86" s="210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8.75" hidden="false" customHeight="true" outlineLevel="0" collapsed="false">
      <c r="A87" s="252" t="s">
        <v>90</v>
      </c>
      <c r="B87" s="139" t="n">
        <f aca="false">IF(B110="YES",((B85+B86)-E114),((B85+B86)))</f>
        <v>36415.6145167427</v>
      </c>
      <c r="C87" s="387"/>
      <c r="D87" s="389"/>
      <c r="E87" s="380" t="n">
        <f aca="false">E86+E85</f>
        <v>1655.25520530649</v>
      </c>
      <c r="F87" s="19"/>
      <c r="G87" s="252" t="s">
        <v>90</v>
      </c>
      <c r="H87" s="139" t="n">
        <f aca="false">IF(H110="YES",((H85+H86)-K114),(H85+H86))</f>
        <v>42377.0230642662</v>
      </c>
      <c r="I87" s="207"/>
      <c r="J87" s="207"/>
      <c r="K87" s="210"/>
      <c r="L87" s="19"/>
      <c r="M87" s="252" t="s">
        <v>90</v>
      </c>
      <c r="N87" s="139" t="n">
        <f aca="false">IF(N110="YES",((N85+N86)-Q114),(N85+N86))</f>
        <v>35211.1637973666</v>
      </c>
      <c r="O87" s="207"/>
      <c r="P87" s="207"/>
      <c r="Q87" s="210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8.75" hidden="false" customHeight="true" outlineLevel="0" collapsed="false">
      <c r="A88" s="209"/>
      <c r="B88" s="79"/>
      <c r="C88" s="387"/>
      <c r="D88" s="207"/>
      <c r="E88" s="380"/>
      <c r="F88" s="19"/>
      <c r="G88" s="209"/>
      <c r="H88" s="79"/>
      <c r="I88" s="207"/>
      <c r="J88" s="207"/>
      <c r="K88" s="210"/>
      <c r="L88" s="19"/>
      <c r="M88" s="209"/>
      <c r="N88" s="79"/>
      <c r="O88" s="207"/>
      <c r="P88" s="207"/>
      <c r="Q88" s="210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8.75" hidden="false" customHeight="true" outlineLevel="0" collapsed="false">
      <c r="A89" s="276" t="s">
        <v>91</v>
      </c>
      <c r="B89" s="277" t="n">
        <f aca="false">IF(B99=Y98, (I32+(I32*B105))/(B58), (I32+(I32*B105))/(B57+B58))*(C45/100)</f>
        <v>49.14</v>
      </c>
      <c r="C89" s="387"/>
      <c r="D89" s="207"/>
      <c r="E89" s="210"/>
      <c r="F89" s="19"/>
      <c r="G89" s="276" t="s">
        <v>91</v>
      </c>
      <c r="H89" s="277" t="n">
        <f aca="false">IF(H99=Y98, (D40+(D40*H105))/(H58), (D40+(D40*H105))/(H57+H58))*1.2</f>
        <v>44.352</v>
      </c>
      <c r="I89" s="207"/>
      <c r="J89" s="207"/>
      <c r="K89" s="210"/>
      <c r="L89" s="19"/>
      <c r="M89" s="276" t="s">
        <v>91</v>
      </c>
      <c r="N89" s="277" t="n">
        <f aca="false">IF(N99=Y98, (D40+(D40*N105))/(N58), (D40+(D40*N105))/(N57+N58))</f>
        <v>36.96</v>
      </c>
      <c r="O89" s="207"/>
      <c r="P89" s="207"/>
      <c r="Q89" s="210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8.75" hidden="false" customHeight="true" outlineLevel="0" collapsed="false">
      <c r="A90" s="281" t="s">
        <v>92</v>
      </c>
      <c r="B90" s="282" t="n">
        <f aca="false">IF(B99=Y98, (B87-D105)/(B58), B87/(B57+B58))</f>
        <v>1655.25520530649</v>
      </c>
      <c r="C90" s="387"/>
      <c r="D90" s="207"/>
      <c r="E90" s="390"/>
      <c r="F90" s="19"/>
      <c r="G90" s="281" t="s">
        <v>92</v>
      </c>
      <c r="H90" s="282" t="n">
        <f aca="false">IF(H99=Y98, (H87-J105)/(H58), H87/(H57+H58))</f>
        <v>1569.5193727506</v>
      </c>
      <c r="I90" s="207"/>
      <c r="J90" s="207"/>
      <c r="K90" s="210"/>
      <c r="L90" s="19"/>
      <c r="M90" s="281" t="s">
        <v>92</v>
      </c>
      <c r="N90" s="282" t="n">
        <f aca="false">IF(N99=Y98, (N87-P105)/(N58), N87/(N57+N58))</f>
        <v>1304.11717768024</v>
      </c>
      <c r="O90" s="207"/>
      <c r="P90" s="207"/>
      <c r="Q90" s="210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8.75" hidden="false" customHeight="true" outlineLevel="0" collapsed="false">
      <c r="A91" s="283" t="s">
        <v>93</v>
      </c>
      <c r="B91" s="284" t="n">
        <f aca="false">IF(A105="YES", B90+B89, B90)</f>
        <v>1704.39520530649</v>
      </c>
      <c r="C91" s="387"/>
      <c r="D91" s="391"/>
      <c r="E91" s="266"/>
      <c r="F91" s="19"/>
      <c r="G91" s="283" t="s">
        <v>93</v>
      </c>
      <c r="H91" s="284" t="n">
        <f aca="false">IF(G105="YES", H90+H89, H90)</f>
        <v>1613.8713727506</v>
      </c>
      <c r="I91" s="207"/>
      <c r="J91" s="207"/>
      <c r="K91" s="210"/>
      <c r="L91" s="19"/>
      <c r="M91" s="283" t="s">
        <v>93</v>
      </c>
      <c r="N91" s="284" t="n">
        <f aca="false">IF(M105="YES", N90+N89, N90)</f>
        <v>1341.07717768024</v>
      </c>
      <c r="O91" s="207"/>
      <c r="P91" s="207"/>
      <c r="Q91" s="210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8.75" hidden="false" customHeight="true" outlineLevel="0" collapsed="false">
      <c r="A92" s="252"/>
      <c r="B92" s="392"/>
      <c r="C92" s="253"/>
      <c r="D92" s="253"/>
      <c r="E92" s="254"/>
      <c r="F92" s="19"/>
      <c r="G92" s="252"/>
      <c r="H92" s="253"/>
      <c r="I92" s="253"/>
      <c r="J92" s="253"/>
      <c r="K92" s="254"/>
      <c r="L92" s="19"/>
      <c r="M92" s="252"/>
      <c r="N92" s="253"/>
      <c r="O92" s="253"/>
      <c r="P92" s="253"/>
      <c r="Q92" s="254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8.75" hidden="false" customHeight="true" outlineLevel="0" collapsed="false">
      <c r="A93" s="207"/>
      <c r="B93" s="207"/>
      <c r="C93" s="207"/>
      <c r="D93" s="207"/>
      <c r="E93" s="207"/>
      <c r="F93" s="19"/>
      <c r="G93" s="207"/>
      <c r="H93" s="207"/>
      <c r="I93" s="207"/>
      <c r="J93" s="207"/>
      <c r="K93" s="207"/>
      <c r="L93" s="19"/>
      <c r="M93" s="207"/>
      <c r="N93" s="207"/>
      <c r="O93" s="207"/>
      <c r="P93" s="207"/>
      <c r="Q93" s="207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56.25" hidden="false" customHeight="true" outlineLevel="0" collapsed="false">
      <c r="A94" s="208" t="s">
        <v>249</v>
      </c>
      <c r="B94" s="208"/>
      <c r="C94" s="208"/>
      <c r="D94" s="208"/>
      <c r="E94" s="208"/>
      <c r="F94" s="19"/>
      <c r="G94" s="208" t="s">
        <v>250</v>
      </c>
      <c r="H94" s="208"/>
      <c r="I94" s="208"/>
      <c r="J94" s="208"/>
      <c r="K94" s="208"/>
      <c r="L94" s="19"/>
      <c r="M94" s="208" t="s">
        <v>251</v>
      </c>
      <c r="N94" s="208"/>
      <c r="O94" s="208"/>
      <c r="P94" s="208"/>
      <c r="Q94" s="208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8.75" hidden="false" customHeight="true" outlineLevel="0" collapsed="false">
      <c r="A95" s="209"/>
      <c r="B95" s="207"/>
      <c r="C95" s="207"/>
      <c r="D95" s="207"/>
      <c r="E95" s="210" t="s">
        <v>321</v>
      </c>
      <c r="F95" s="19"/>
      <c r="G95" s="209"/>
      <c r="H95" s="207"/>
      <c r="I95" s="207"/>
      <c r="J95" s="207"/>
      <c r="K95" s="210"/>
      <c r="L95" s="19"/>
      <c r="M95" s="209"/>
      <c r="N95" s="207"/>
      <c r="O95" s="207"/>
      <c r="P95" s="207"/>
      <c r="Q95" s="210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8.75" hidden="false" customHeight="true" outlineLevel="0" collapsed="false">
      <c r="A96" s="211" t="s">
        <v>26</v>
      </c>
      <c r="B96" s="211"/>
      <c r="C96" s="211"/>
      <c r="D96" s="211"/>
      <c r="E96" s="211"/>
      <c r="F96" s="19"/>
      <c r="G96" s="211" t="s">
        <v>26</v>
      </c>
      <c r="H96" s="211"/>
      <c r="I96" s="211"/>
      <c r="J96" s="211"/>
      <c r="K96" s="211"/>
      <c r="L96" s="19"/>
      <c r="M96" s="211" t="s">
        <v>26</v>
      </c>
      <c r="N96" s="211"/>
      <c r="O96" s="211"/>
      <c r="P96" s="211"/>
      <c r="Q96" s="211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8.75" hidden="false" customHeight="true" outlineLevel="0" collapsed="false">
      <c r="A97" s="209"/>
      <c r="B97" s="393"/>
      <c r="C97" s="393"/>
      <c r="D97" s="207"/>
      <c r="E97" s="210"/>
      <c r="F97" s="19"/>
      <c r="G97" s="209"/>
      <c r="H97" s="207"/>
      <c r="I97" s="207"/>
      <c r="J97" s="207"/>
      <c r="K97" s="210"/>
      <c r="L97" s="19"/>
      <c r="M97" s="209"/>
      <c r="N97" s="207"/>
      <c r="O97" s="207"/>
      <c r="P97" s="207"/>
      <c r="Q97" s="210"/>
      <c r="R97" s="19"/>
      <c r="S97" s="19"/>
      <c r="T97" s="19"/>
      <c r="U97" s="19"/>
      <c r="V97" s="19"/>
      <c r="W97" s="19"/>
      <c r="X97" s="19"/>
      <c r="Y97" s="19" t="s">
        <v>100</v>
      </c>
      <c r="Z97" s="19"/>
      <c r="AC97" s="394"/>
    </row>
    <row r="98" customFormat="false" ht="18.75" hidden="false" customHeight="true" outlineLevel="0" collapsed="false">
      <c r="A98" s="209" t="s">
        <v>98</v>
      </c>
      <c r="B98" s="207" t="s">
        <v>23</v>
      </c>
      <c r="C98" s="207"/>
      <c r="D98" s="207" t="s">
        <v>252</v>
      </c>
      <c r="E98" s="210"/>
      <c r="F98" s="19"/>
      <c r="G98" s="209" t="s">
        <v>98</v>
      </c>
      <c r="H98" s="207" t="s">
        <v>23</v>
      </c>
      <c r="I98" s="207"/>
      <c r="J98" s="207" t="s">
        <v>252</v>
      </c>
      <c r="K98" s="210"/>
      <c r="L98" s="19"/>
      <c r="M98" s="209" t="s">
        <v>98</v>
      </c>
      <c r="N98" s="207" t="s">
        <v>23</v>
      </c>
      <c r="O98" s="207"/>
      <c r="P98" s="207" t="s">
        <v>252</v>
      </c>
      <c r="Q98" s="210"/>
      <c r="R98" s="19"/>
      <c r="S98" s="19"/>
      <c r="T98" s="19"/>
      <c r="U98" s="19"/>
      <c r="V98" s="19"/>
      <c r="W98" s="19"/>
      <c r="X98" s="19"/>
      <c r="Y98" s="19" t="s">
        <v>253</v>
      </c>
      <c r="Z98" s="19"/>
    </row>
    <row r="99" customFormat="false" ht="18.75" hidden="false" customHeight="true" outlineLevel="0" collapsed="false">
      <c r="A99" s="214" t="s">
        <v>254</v>
      </c>
      <c r="B99" s="286" t="s">
        <v>315</v>
      </c>
      <c r="C99" s="286"/>
      <c r="D99" s="72" t="n">
        <v>1000</v>
      </c>
      <c r="E99" s="72"/>
      <c r="F99" s="19"/>
      <c r="G99" s="214" t="s">
        <v>254</v>
      </c>
      <c r="H99" s="286" t="s">
        <v>258</v>
      </c>
      <c r="I99" s="286"/>
      <c r="J99" s="72" t="n">
        <v>0</v>
      </c>
      <c r="K99" s="72"/>
      <c r="L99" s="19"/>
      <c r="M99" s="214" t="s">
        <v>254</v>
      </c>
      <c r="N99" s="286" t="s">
        <v>258</v>
      </c>
      <c r="O99" s="286"/>
      <c r="P99" s="72" t="n">
        <v>0</v>
      </c>
      <c r="Q99" s="72"/>
      <c r="R99" s="19"/>
      <c r="S99" s="19"/>
      <c r="T99" s="19"/>
      <c r="U99" s="19"/>
      <c r="V99" s="19"/>
      <c r="W99" s="19"/>
      <c r="X99" s="19"/>
      <c r="Y99" s="19" t="s">
        <v>257</v>
      </c>
      <c r="Z99" s="19"/>
    </row>
    <row r="100" customFormat="false" ht="18.75" hidden="false" customHeight="true" outlineLevel="0" collapsed="false">
      <c r="A100" s="209"/>
      <c r="B100" s="207"/>
      <c r="C100" s="207"/>
      <c r="D100" s="207"/>
      <c r="E100" s="210"/>
      <c r="F100" s="19"/>
      <c r="G100" s="209"/>
      <c r="H100" s="207"/>
      <c r="I100" s="207"/>
      <c r="J100" s="207"/>
      <c r="K100" s="210"/>
      <c r="L100" s="19"/>
      <c r="M100" s="209"/>
      <c r="N100" s="207"/>
      <c r="O100" s="207"/>
      <c r="P100" s="207"/>
      <c r="Q100" s="210"/>
      <c r="R100" s="19"/>
      <c r="S100" s="19"/>
      <c r="T100" s="19"/>
      <c r="U100" s="19"/>
      <c r="V100" s="19"/>
      <c r="W100" s="19"/>
      <c r="X100" s="19"/>
      <c r="Y100" s="19" t="s">
        <v>258</v>
      </c>
      <c r="Z100" s="19"/>
    </row>
    <row r="101" customFormat="false" ht="18.75" hidden="false" customHeight="true" outlineLevel="0" collapsed="false">
      <c r="A101" s="209" t="s">
        <v>259</v>
      </c>
      <c r="B101" s="207" t="s">
        <v>260</v>
      </c>
      <c r="C101" s="207"/>
      <c r="D101" s="207" t="s">
        <v>322</v>
      </c>
      <c r="E101" s="210"/>
      <c r="F101" s="19"/>
      <c r="G101" s="209" t="s">
        <v>259</v>
      </c>
      <c r="H101" s="207" t="s">
        <v>260</v>
      </c>
      <c r="I101" s="207"/>
      <c r="J101" s="207" t="s">
        <v>261</v>
      </c>
      <c r="K101" s="210"/>
      <c r="L101" s="19"/>
      <c r="M101" s="209" t="s">
        <v>259</v>
      </c>
      <c r="N101" s="207" t="s">
        <v>260</v>
      </c>
      <c r="O101" s="207"/>
      <c r="P101" s="207" t="s">
        <v>261</v>
      </c>
      <c r="Q101" s="210"/>
      <c r="R101" s="19"/>
      <c r="S101" s="19"/>
      <c r="T101" s="19"/>
      <c r="U101" s="19"/>
      <c r="V101" s="19"/>
      <c r="W101" s="19"/>
      <c r="X101" s="19"/>
      <c r="Y101" s="19" t="s">
        <v>262</v>
      </c>
      <c r="Z101" s="19"/>
    </row>
    <row r="102" customFormat="false" ht="18.75" hidden="false" customHeight="true" outlineLevel="0" collapsed="false">
      <c r="A102" s="288" t="n">
        <v>199.99</v>
      </c>
      <c r="B102" s="72" t="n">
        <v>400</v>
      </c>
      <c r="C102" s="72"/>
      <c r="D102" s="72" t="n">
        <v>200</v>
      </c>
      <c r="E102" s="72"/>
      <c r="F102" s="19"/>
      <c r="G102" s="288" t="n">
        <v>199.99</v>
      </c>
      <c r="H102" s="72" t="n">
        <v>0</v>
      </c>
      <c r="I102" s="72"/>
      <c r="J102" s="72" t="n">
        <v>0</v>
      </c>
      <c r="K102" s="72"/>
      <c r="L102" s="19"/>
      <c r="M102" s="288" t="n">
        <v>199.99</v>
      </c>
      <c r="N102" s="72" t="n">
        <v>0</v>
      </c>
      <c r="O102" s="72"/>
      <c r="P102" s="72" t="n">
        <v>0</v>
      </c>
      <c r="Q102" s="72"/>
      <c r="R102" s="19"/>
      <c r="S102" s="19"/>
      <c r="T102" s="19"/>
      <c r="U102" s="19"/>
      <c r="V102" s="19"/>
      <c r="W102" s="19"/>
      <c r="X102" s="19"/>
      <c r="Y102" s="19" t="s">
        <v>256</v>
      </c>
      <c r="Z102" s="19"/>
    </row>
    <row r="103" customFormat="false" ht="18.75" hidden="false" customHeight="true" outlineLevel="0" collapsed="false">
      <c r="A103" s="209"/>
      <c r="B103" s="207"/>
      <c r="C103" s="207"/>
      <c r="D103" s="207"/>
      <c r="E103" s="210"/>
      <c r="F103" s="19"/>
      <c r="G103" s="209"/>
      <c r="H103" s="207"/>
      <c r="I103" s="207"/>
      <c r="J103" s="207"/>
      <c r="K103" s="210"/>
      <c r="L103" s="19"/>
      <c r="M103" s="209"/>
      <c r="N103" s="207"/>
      <c r="O103" s="207"/>
      <c r="P103" s="207"/>
      <c r="Q103" s="210"/>
      <c r="R103" s="19"/>
      <c r="S103" s="19"/>
      <c r="T103" s="19"/>
      <c r="U103" s="19"/>
      <c r="V103" s="19"/>
      <c r="W103" s="19"/>
      <c r="X103" s="19"/>
      <c r="Y103" s="19" t="s">
        <v>255</v>
      </c>
      <c r="Z103" s="19"/>
    </row>
    <row r="104" customFormat="false" ht="18.75" hidden="false" customHeight="true" outlineLevel="0" collapsed="false">
      <c r="A104" s="214" t="s">
        <v>22</v>
      </c>
      <c r="B104" s="19" t="s">
        <v>101</v>
      </c>
      <c r="C104" s="207"/>
      <c r="D104" s="207" t="s">
        <v>112</v>
      </c>
      <c r="E104" s="210"/>
      <c r="F104" s="19"/>
      <c r="G104" s="214" t="s">
        <v>22</v>
      </c>
      <c r="H104" s="19" t="s">
        <v>101</v>
      </c>
      <c r="I104" s="207"/>
      <c r="J104" s="207" t="s">
        <v>112</v>
      </c>
      <c r="K104" s="210"/>
      <c r="L104" s="19"/>
      <c r="M104" s="214" t="s">
        <v>22</v>
      </c>
      <c r="N104" s="19" t="s">
        <v>101</v>
      </c>
      <c r="O104" s="207"/>
      <c r="P104" s="207" t="s">
        <v>112</v>
      </c>
      <c r="Q104" s="210"/>
      <c r="R104" s="19"/>
      <c r="S104" s="19"/>
      <c r="T104" s="19"/>
      <c r="U104" s="19"/>
      <c r="V104" s="19"/>
      <c r="W104" s="19"/>
      <c r="X104" s="19"/>
      <c r="Y104" s="19" t="s">
        <v>263</v>
      </c>
      <c r="Z104" s="19"/>
    </row>
    <row r="105" customFormat="false" ht="18.75" hidden="false" customHeight="true" outlineLevel="0" collapsed="false">
      <c r="A105" s="216" t="s">
        <v>9</v>
      </c>
      <c r="B105" s="289" t="n">
        <v>0.3</v>
      </c>
      <c r="C105" s="289"/>
      <c r="D105" s="72" t="s">
        <v>264</v>
      </c>
      <c r="E105" s="72"/>
      <c r="F105" s="19"/>
      <c r="G105" s="216" t="s">
        <v>9</v>
      </c>
      <c r="H105" s="289" t="n">
        <v>0.2</v>
      </c>
      <c r="I105" s="289"/>
      <c r="J105" s="72"/>
      <c r="K105" s="72"/>
      <c r="L105" s="19"/>
      <c r="M105" s="216" t="s">
        <v>9</v>
      </c>
      <c r="N105" s="289" t="n">
        <v>0.2</v>
      </c>
      <c r="O105" s="289"/>
      <c r="P105" s="72" t="n">
        <v>0</v>
      </c>
      <c r="Q105" s="72"/>
      <c r="R105" s="19"/>
      <c r="S105" s="19"/>
      <c r="T105" s="19"/>
      <c r="U105" s="19"/>
      <c r="V105" s="19"/>
      <c r="W105" s="19"/>
      <c r="X105" s="19"/>
      <c r="Y105" s="19" t="s">
        <v>265</v>
      </c>
      <c r="Z105" s="19"/>
    </row>
    <row r="106" customFormat="false" ht="18.75" hidden="false" customHeight="true" outlineLevel="0" collapsed="false">
      <c r="A106" s="209"/>
      <c r="B106" s="207"/>
      <c r="C106" s="207"/>
      <c r="D106" s="207"/>
      <c r="E106" s="210"/>
      <c r="F106" s="19"/>
      <c r="G106" s="209"/>
      <c r="H106" s="207"/>
      <c r="I106" s="207"/>
      <c r="J106" s="207"/>
      <c r="K106" s="210"/>
      <c r="L106" s="19"/>
      <c r="M106" s="209"/>
      <c r="N106" s="207"/>
      <c r="O106" s="207"/>
      <c r="P106" s="207"/>
      <c r="Q106" s="210"/>
      <c r="R106" s="19"/>
      <c r="S106" s="19"/>
      <c r="T106" s="19"/>
      <c r="U106" s="19"/>
      <c r="V106" s="19"/>
      <c r="W106" s="19"/>
      <c r="X106" s="19"/>
      <c r="Y106" s="19"/>
      <c r="Z106" s="19"/>
    </row>
    <row r="107" customFormat="false" ht="18.75" hidden="false" customHeight="true" outlineLevel="0" collapsed="false">
      <c r="A107" s="209"/>
      <c r="B107" s="207"/>
      <c r="C107" s="207"/>
      <c r="D107" s="207"/>
      <c r="E107" s="210"/>
      <c r="F107" s="19"/>
      <c r="G107" s="209"/>
      <c r="H107" s="207"/>
      <c r="I107" s="207"/>
      <c r="J107" s="207"/>
      <c r="K107" s="210"/>
      <c r="L107" s="19"/>
      <c r="M107" s="209"/>
      <c r="N107" s="207" t="s">
        <v>266</v>
      </c>
      <c r="O107" s="216" t="s">
        <v>9</v>
      </c>
      <c r="P107" s="207"/>
      <c r="Q107" s="210"/>
      <c r="R107" s="19"/>
      <c r="S107" s="19"/>
      <c r="T107" s="19"/>
      <c r="U107" s="19"/>
      <c r="V107" s="19"/>
      <c r="W107" s="19"/>
      <c r="X107" s="19"/>
      <c r="Y107" s="19"/>
      <c r="Z107" s="19"/>
    </row>
    <row r="108" customFormat="false" ht="18.75" hidden="false" customHeight="true" outlineLevel="0" collapsed="false">
      <c r="A108" s="211" t="n">
        <v>199.99</v>
      </c>
      <c r="B108" s="211" t="n">
        <v>0</v>
      </c>
      <c r="C108" s="211"/>
      <c r="D108" s="211"/>
      <c r="E108" s="211"/>
      <c r="F108" s="19"/>
      <c r="G108" s="211" t="s">
        <v>267</v>
      </c>
      <c r="H108" s="211"/>
      <c r="I108" s="211"/>
      <c r="J108" s="211"/>
      <c r="K108" s="211"/>
      <c r="L108" s="19"/>
      <c r="M108" s="211" t="s">
        <v>267</v>
      </c>
      <c r="N108" s="211"/>
      <c r="O108" s="211"/>
      <c r="P108" s="211"/>
      <c r="Q108" s="211"/>
      <c r="R108" s="19"/>
      <c r="S108" s="19"/>
      <c r="T108" s="19"/>
      <c r="U108" s="19"/>
      <c r="V108" s="19"/>
      <c r="W108" s="19"/>
      <c r="X108" s="19"/>
      <c r="Y108" s="19"/>
      <c r="Z108" s="19"/>
    </row>
    <row r="109" customFormat="false" ht="18.75" hidden="false" customHeight="true" outlineLevel="0" collapsed="false">
      <c r="A109" s="209"/>
      <c r="B109" s="207"/>
      <c r="C109" s="207"/>
      <c r="D109" s="207"/>
      <c r="E109" s="210"/>
      <c r="F109" s="19"/>
      <c r="G109" s="209"/>
      <c r="H109" s="207"/>
      <c r="I109" s="207"/>
      <c r="J109" s="207"/>
      <c r="K109" s="210"/>
      <c r="L109" s="19"/>
      <c r="M109" s="209"/>
      <c r="N109" s="207"/>
      <c r="O109" s="207"/>
      <c r="P109" s="207"/>
      <c r="Q109" s="210"/>
      <c r="R109" s="19"/>
      <c r="S109" s="19"/>
      <c r="T109" s="19"/>
      <c r="U109" s="19"/>
      <c r="V109" s="19"/>
      <c r="W109" s="19"/>
      <c r="X109" s="19"/>
      <c r="Y109" s="19"/>
      <c r="Z109" s="19"/>
    </row>
    <row r="110" customFormat="false" ht="18.75" hidden="false" customHeight="true" outlineLevel="0" collapsed="false">
      <c r="A110" s="209" t="s">
        <v>268</v>
      </c>
      <c r="B110" s="216" t="s">
        <v>10</v>
      </c>
      <c r="C110" s="207"/>
      <c r="D110" s="207"/>
      <c r="E110" s="210"/>
      <c r="F110" s="19"/>
      <c r="G110" s="209" t="s">
        <v>268</v>
      </c>
      <c r="H110" s="216" t="s">
        <v>10</v>
      </c>
      <c r="I110" s="207"/>
      <c r="J110" s="207"/>
      <c r="K110" s="210"/>
      <c r="L110" s="19"/>
      <c r="M110" s="209" t="s">
        <v>268</v>
      </c>
      <c r="N110" s="216" t="s">
        <v>10</v>
      </c>
      <c r="O110" s="207"/>
      <c r="P110" s="207"/>
      <c r="Q110" s="210"/>
      <c r="R110" s="19"/>
      <c r="S110" s="19"/>
      <c r="T110" s="19"/>
      <c r="U110" s="19"/>
      <c r="V110" s="19"/>
      <c r="W110" s="19"/>
      <c r="X110" s="19"/>
      <c r="Y110" s="19"/>
      <c r="Z110" s="19"/>
    </row>
    <row r="111" customFormat="false" ht="18.75" hidden="false" customHeight="true" outlineLevel="0" collapsed="false">
      <c r="A111" s="209" t="s">
        <v>10</v>
      </c>
      <c r="B111" s="207"/>
      <c r="C111" s="207"/>
      <c r="D111" s="207"/>
      <c r="E111" s="210"/>
      <c r="F111" s="19"/>
      <c r="G111" s="209"/>
      <c r="H111" s="207"/>
      <c r="I111" s="207"/>
      <c r="J111" s="207"/>
      <c r="K111" s="210"/>
      <c r="L111" s="19"/>
      <c r="M111" s="209"/>
      <c r="N111" s="207"/>
      <c r="O111" s="207"/>
      <c r="P111" s="207"/>
      <c r="Q111" s="210"/>
      <c r="R111" s="19"/>
      <c r="S111" s="19"/>
      <c r="T111" s="19"/>
      <c r="U111" s="19"/>
      <c r="V111" s="19"/>
      <c r="W111" s="19"/>
      <c r="X111" s="19"/>
      <c r="Y111" s="19"/>
      <c r="Z111" s="19"/>
    </row>
    <row r="112" customFormat="false" ht="18.75" hidden="false" customHeight="true" outlineLevel="0" collapsed="false">
      <c r="A112" s="209" t="s">
        <v>146</v>
      </c>
      <c r="B112" s="207"/>
      <c r="C112" s="207"/>
      <c r="D112" s="288" t="n">
        <v>10000</v>
      </c>
      <c r="E112" s="72" t="n">
        <v>6000</v>
      </c>
      <c r="F112" s="19"/>
      <c r="G112" s="209" t="s">
        <v>146</v>
      </c>
      <c r="H112" s="207"/>
      <c r="I112" s="207"/>
      <c r="J112" s="288" t="n">
        <v>0</v>
      </c>
      <c r="K112" s="72" t="n">
        <v>0</v>
      </c>
      <c r="L112" s="19"/>
      <c r="M112" s="209" t="s">
        <v>146</v>
      </c>
      <c r="N112" s="207"/>
      <c r="O112" s="207"/>
      <c r="P112" s="288" t="n">
        <v>500</v>
      </c>
      <c r="Q112" s="72" t="n">
        <v>300</v>
      </c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8.75" hidden="false" customHeight="true" outlineLevel="0" collapsed="false">
      <c r="A113" s="209" t="s">
        <v>147</v>
      </c>
      <c r="B113" s="207"/>
      <c r="C113" s="207"/>
      <c r="D113" s="38" t="n">
        <f aca="false">E113</f>
        <v>2000</v>
      </c>
      <c r="E113" s="72" t="n">
        <v>2000</v>
      </c>
      <c r="F113" s="19"/>
      <c r="G113" s="209" t="s">
        <v>147</v>
      </c>
      <c r="H113" s="207"/>
      <c r="I113" s="207"/>
      <c r="J113" s="38" t="n">
        <f aca="false">K113</f>
        <v>0</v>
      </c>
      <c r="K113" s="72" t="n">
        <v>0</v>
      </c>
      <c r="L113" s="19"/>
      <c r="M113" s="209" t="s">
        <v>147</v>
      </c>
      <c r="N113" s="207"/>
      <c r="O113" s="207"/>
      <c r="P113" s="38" t="n">
        <f aca="false">Q113</f>
        <v>100</v>
      </c>
      <c r="Q113" s="72" t="n">
        <v>100</v>
      </c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8.75" hidden="false" customHeight="true" outlineLevel="0" collapsed="false">
      <c r="A114" s="209" t="s">
        <v>148</v>
      </c>
      <c r="B114" s="207"/>
      <c r="C114" s="207"/>
      <c r="D114" s="38" t="n">
        <f aca="false">D112-D113</f>
        <v>8000</v>
      </c>
      <c r="E114" s="163" t="n">
        <f aca="false">E112-E113</f>
        <v>4000</v>
      </c>
      <c r="F114" s="19"/>
      <c r="G114" s="209" t="s">
        <v>148</v>
      </c>
      <c r="H114" s="207"/>
      <c r="I114" s="207"/>
      <c r="J114" s="38" t="n">
        <f aca="false">J112-J113</f>
        <v>0</v>
      </c>
      <c r="K114" s="163" t="n">
        <f aca="false">K112-K113</f>
        <v>0</v>
      </c>
      <c r="L114" s="19"/>
      <c r="M114" s="209" t="s">
        <v>148</v>
      </c>
      <c r="N114" s="207"/>
      <c r="O114" s="207"/>
      <c r="P114" s="38" t="n">
        <f aca="false">P112-P113</f>
        <v>400</v>
      </c>
      <c r="Q114" s="163" t="n">
        <f aca="false">Q112-Q113</f>
        <v>200</v>
      </c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8.75" hidden="false" customHeight="true" outlineLevel="0" collapsed="false">
      <c r="A115" s="209" t="s">
        <v>149</v>
      </c>
      <c r="B115" s="207"/>
      <c r="C115" s="207"/>
      <c r="D115" s="38" t="n">
        <f aca="false">D114-E114</f>
        <v>4000</v>
      </c>
      <c r="E115" s="210"/>
      <c r="F115" s="19"/>
      <c r="G115" s="209" t="s">
        <v>149</v>
      </c>
      <c r="H115" s="207"/>
      <c r="I115" s="207"/>
      <c r="J115" s="38" t="n">
        <f aca="false">J114-K114</f>
        <v>0</v>
      </c>
      <c r="K115" s="210"/>
      <c r="L115" s="19"/>
      <c r="M115" s="209" t="s">
        <v>149</v>
      </c>
      <c r="N115" s="207"/>
      <c r="O115" s="207"/>
      <c r="P115" s="38" t="n">
        <f aca="false">P114-Q114</f>
        <v>200</v>
      </c>
      <c r="Q115" s="210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8.75" hidden="false" customHeight="true" outlineLevel="0" collapsed="false">
      <c r="A116" s="209"/>
      <c r="B116" s="207"/>
      <c r="C116" s="207"/>
      <c r="D116" s="207"/>
      <c r="E116" s="210"/>
      <c r="F116" s="19"/>
      <c r="G116" s="209"/>
      <c r="H116" s="207"/>
      <c r="I116" s="207"/>
      <c r="J116" s="207"/>
      <c r="K116" s="210"/>
      <c r="L116" s="19"/>
      <c r="M116" s="209"/>
      <c r="N116" s="207"/>
      <c r="O116" s="207"/>
      <c r="P116" s="207"/>
      <c r="Q116" s="210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8.75" hidden="false" customHeight="true" outlineLevel="0" collapsed="false">
      <c r="A117" s="255" t="s">
        <v>108</v>
      </c>
      <c r="B117" s="256"/>
      <c r="C117" s="256"/>
      <c r="D117" s="256"/>
      <c r="E117" s="137" t="n">
        <v>1000</v>
      </c>
      <c r="F117" s="19"/>
      <c r="G117" s="255" t="s">
        <v>108</v>
      </c>
      <c r="H117" s="256"/>
      <c r="I117" s="256"/>
      <c r="J117" s="256"/>
      <c r="K117" s="137" t="n">
        <f aca="false">J99</f>
        <v>0</v>
      </c>
      <c r="L117" s="19"/>
      <c r="M117" s="255" t="s">
        <v>108</v>
      </c>
      <c r="N117" s="256"/>
      <c r="O117" s="256"/>
      <c r="P117" s="256"/>
      <c r="Q117" s="137" t="n">
        <f aca="false">P99</f>
        <v>0</v>
      </c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8.75" hidden="false" customHeight="true" outlineLevel="0" collapsed="false">
      <c r="A118" s="209" t="s">
        <v>152</v>
      </c>
      <c r="B118" s="207"/>
      <c r="C118" s="207"/>
      <c r="D118" s="207"/>
      <c r="E118" s="273" t="n">
        <v>199.99</v>
      </c>
      <c r="F118" s="19"/>
      <c r="G118" s="209" t="s">
        <v>152</v>
      </c>
      <c r="H118" s="207"/>
      <c r="I118" s="207"/>
      <c r="J118" s="207"/>
      <c r="K118" s="273" t="n">
        <f aca="false">G102</f>
        <v>199.99</v>
      </c>
      <c r="L118" s="19"/>
      <c r="M118" s="209" t="s">
        <v>152</v>
      </c>
      <c r="N118" s="207"/>
      <c r="O118" s="207"/>
      <c r="P118" s="207"/>
      <c r="Q118" s="273" t="n">
        <f aca="false">M102</f>
        <v>199.99</v>
      </c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8.75" hidden="false" customHeight="true" outlineLevel="0" collapsed="false">
      <c r="A119" s="290" t="s">
        <v>269</v>
      </c>
      <c r="B119" s="253"/>
      <c r="C119" s="253"/>
      <c r="D119" s="253"/>
      <c r="E119" s="139" t="n">
        <f aca="false">IF(B110="YES",((E118*1.2)+E117)-E114,((E118*1.2)+E117))</f>
        <v>1239.988</v>
      </c>
      <c r="F119" s="19"/>
      <c r="G119" s="290" t="s">
        <v>269</v>
      </c>
      <c r="H119" s="253"/>
      <c r="I119" s="253"/>
      <c r="J119" s="253"/>
      <c r="K119" s="139" t="n">
        <f aca="false">((K118/1.2)+K117)-(J115-K113)</f>
        <v>166.658333333333</v>
      </c>
      <c r="L119" s="19"/>
      <c r="M119" s="290" t="s">
        <v>269</v>
      </c>
      <c r="N119" s="253"/>
      <c r="O119" s="253"/>
      <c r="P119" s="253"/>
      <c r="Q119" s="139" t="n">
        <f aca="false">(Q118+Q117)-P115</f>
        <v>-0.00999999999999091</v>
      </c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8.75" hidden="false" customHeight="true" outlineLevel="0" collapsed="false">
      <c r="A120" s="209"/>
      <c r="B120" s="207"/>
      <c r="C120" s="207"/>
      <c r="D120" s="207"/>
      <c r="E120" s="210"/>
      <c r="F120" s="19"/>
      <c r="G120" s="209"/>
      <c r="H120" s="207"/>
      <c r="I120" s="207"/>
      <c r="J120" s="207"/>
      <c r="K120" s="210"/>
      <c r="L120" s="19"/>
      <c r="M120" s="209"/>
      <c r="N120" s="207"/>
      <c r="O120" s="207"/>
      <c r="P120" s="207"/>
      <c r="Q120" s="210"/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8.75" hidden="false" customHeight="true" outlineLevel="0" collapsed="false">
      <c r="A121" s="209"/>
      <c r="B121" s="207"/>
      <c r="C121" s="207"/>
      <c r="D121" s="207"/>
      <c r="E121" s="210"/>
      <c r="F121" s="19"/>
      <c r="G121" s="209"/>
      <c r="H121" s="207"/>
      <c r="I121" s="207"/>
      <c r="J121" s="207"/>
      <c r="K121" s="210"/>
      <c r="L121" s="19"/>
      <c r="M121" s="209"/>
      <c r="N121" s="207"/>
      <c r="O121" s="207"/>
      <c r="P121" s="207"/>
      <c r="Q121" s="210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8.75" hidden="false" customHeight="true" outlineLevel="0" collapsed="false">
      <c r="A122" s="211" t="s">
        <v>270</v>
      </c>
      <c r="B122" s="211"/>
      <c r="C122" s="211"/>
      <c r="D122" s="211"/>
      <c r="E122" s="211"/>
      <c r="F122" s="19"/>
      <c r="G122" s="211" t="s">
        <v>270</v>
      </c>
      <c r="H122" s="211"/>
      <c r="I122" s="211"/>
      <c r="J122" s="211"/>
      <c r="K122" s="211"/>
      <c r="L122" s="19"/>
      <c r="M122" s="211" t="s">
        <v>270</v>
      </c>
      <c r="N122" s="211"/>
      <c r="O122" s="211"/>
      <c r="P122" s="211"/>
      <c r="Q122" s="211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8.75" hidden="false" customHeight="true" outlineLevel="0" collapsed="false">
      <c r="A123" s="291"/>
      <c r="B123" s="292"/>
      <c r="C123" s="292"/>
      <c r="D123" s="292"/>
      <c r="E123" s="293"/>
      <c r="F123" s="19"/>
      <c r="G123" s="209"/>
      <c r="H123" s="207"/>
      <c r="I123" s="207"/>
      <c r="J123" s="207"/>
      <c r="K123" s="210"/>
      <c r="L123" s="19"/>
      <c r="M123" s="209"/>
      <c r="N123" s="207"/>
      <c r="O123" s="207"/>
      <c r="P123" s="207"/>
      <c r="Q123" s="210"/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8.75" hidden="false" customHeight="true" outlineLevel="0" collapsed="false">
      <c r="A124" s="294" t="s">
        <v>98</v>
      </c>
      <c r="B124" s="295" t="n">
        <v>0</v>
      </c>
      <c r="C124" s="296"/>
      <c r="D124" s="295" t="s">
        <v>33</v>
      </c>
      <c r="E124" s="297"/>
      <c r="F124" s="19"/>
      <c r="G124" s="209" t="s">
        <v>29</v>
      </c>
      <c r="H124" s="168" t="n">
        <v>0</v>
      </c>
      <c r="I124" s="168"/>
      <c r="J124" s="207"/>
      <c r="K124" s="210"/>
      <c r="L124" s="19"/>
      <c r="M124" s="209" t="s">
        <v>29</v>
      </c>
      <c r="N124" s="168" t="n">
        <v>0</v>
      </c>
      <c r="O124" s="168"/>
      <c r="P124" s="207"/>
      <c r="Q124" s="210"/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8.75" hidden="false" customHeight="true" outlineLevel="0" collapsed="false">
      <c r="A125" s="298" t="s">
        <v>254</v>
      </c>
      <c r="B125" s="299" t="n">
        <f aca="false">A161</f>
        <v>22</v>
      </c>
      <c r="C125" s="300"/>
      <c r="D125" s="299" t="n">
        <f aca="false">B160</f>
        <v>22000</v>
      </c>
      <c r="E125" s="297"/>
      <c r="F125" s="19"/>
      <c r="G125" s="209"/>
      <c r="H125" s="207"/>
      <c r="I125" s="207"/>
      <c r="J125" s="207"/>
      <c r="K125" s="210"/>
      <c r="L125" s="19"/>
      <c r="M125" s="209"/>
      <c r="N125" s="207"/>
      <c r="O125" s="207"/>
      <c r="P125" s="207"/>
      <c r="Q125" s="210"/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8.75" hidden="false" customHeight="true" outlineLevel="0" collapsed="false">
      <c r="A126" s="294"/>
      <c r="B126" s="295"/>
      <c r="C126" s="295"/>
      <c r="D126" s="295"/>
      <c r="E126" s="297"/>
      <c r="F126" s="19"/>
      <c r="G126" s="302" t="s">
        <v>273</v>
      </c>
      <c r="H126" s="303" t="s">
        <v>274</v>
      </c>
      <c r="I126" s="303"/>
      <c r="J126" s="303" t="s">
        <v>275</v>
      </c>
      <c r="K126" s="210"/>
      <c r="L126" s="19"/>
      <c r="M126" s="302" t="s">
        <v>276</v>
      </c>
      <c r="N126" s="303" t="s">
        <v>227</v>
      </c>
      <c r="O126" s="303"/>
      <c r="P126" s="303" t="s">
        <v>93</v>
      </c>
      <c r="Q126" s="210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8.75" hidden="false" customHeight="true" outlineLevel="0" collapsed="false">
      <c r="A127" s="294" t="s">
        <v>92</v>
      </c>
      <c r="B127" s="295" t="s">
        <v>271</v>
      </c>
      <c r="C127" s="296"/>
      <c r="D127" s="295" t="s">
        <v>272</v>
      </c>
      <c r="E127" s="297"/>
      <c r="F127" s="19"/>
      <c r="G127" s="307" t="n">
        <f aca="false">H90</f>
        <v>1569.5193727506</v>
      </c>
      <c r="H127" s="172" t="n">
        <f aca="false">IF(G105="YES", H89*H57, 0)</f>
        <v>266.112</v>
      </c>
      <c r="I127" s="172"/>
      <c r="J127" s="308" t="n">
        <f aca="false">H91</f>
        <v>1613.8713727506</v>
      </c>
      <c r="K127" s="210"/>
      <c r="L127" s="19"/>
      <c r="M127" s="307" t="n">
        <f aca="false">N90</f>
        <v>1304.11717768024</v>
      </c>
      <c r="N127" s="172" t="n">
        <f aca="false">IF(M105="YES", N89*N57, 0)</f>
        <v>221.76</v>
      </c>
      <c r="O127" s="172"/>
      <c r="P127" s="172" t="n">
        <f aca="false">N91</f>
        <v>1341.07717768024</v>
      </c>
      <c r="Q127" s="210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8.75" hidden="false" customHeight="true" outlineLevel="0" collapsed="false">
      <c r="A128" s="298" t="n">
        <f aca="false">B90</f>
        <v>1655.25520530649</v>
      </c>
      <c r="B128" s="296" t="n">
        <f aca="false">IF(A105="YES", B89, 0)</f>
        <v>49.14</v>
      </c>
      <c r="C128" s="300"/>
      <c r="D128" s="296" t="n">
        <f aca="false">B91</f>
        <v>1704.39520530649</v>
      </c>
      <c r="E128" s="297"/>
      <c r="F128" s="19"/>
      <c r="G128" s="209"/>
      <c r="H128" s="207"/>
      <c r="I128" s="207"/>
      <c r="J128" s="207"/>
      <c r="K128" s="210"/>
      <c r="L128" s="19"/>
      <c r="M128" s="209"/>
      <c r="N128" s="207"/>
      <c r="O128" s="207"/>
      <c r="P128" s="207"/>
      <c r="Q128" s="210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8.75" hidden="false" customHeight="true" outlineLevel="0" collapsed="false">
      <c r="A129" s="291"/>
      <c r="B129" s="292"/>
      <c r="C129" s="292"/>
      <c r="D129" s="292"/>
      <c r="E129" s="293"/>
      <c r="F129" s="19"/>
      <c r="G129" s="209" t="s">
        <v>28</v>
      </c>
      <c r="H129" s="207" t="s">
        <v>33</v>
      </c>
      <c r="I129" s="207"/>
      <c r="J129" s="207" t="s">
        <v>60</v>
      </c>
      <c r="K129" s="210"/>
      <c r="L129" s="19"/>
      <c r="M129" s="209" t="s">
        <v>28</v>
      </c>
      <c r="N129" s="207" t="s">
        <v>33</v>
      </c>
      <c r="O129" s="207"/>
      <c r="P129" s="207" t="s">
        <v>60</v>
      </c>
      <c r="Q129" s="210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8.75" hidden="false" customHeight="true" outlineLevel="0" collapsed="false">
      <c r="A130" s="304" t="s">
        <v>23</v>
      </c>
      <c r="B130" s="305" t="s">
        <v>277</v>
      </c>
      <c r="C130" s="306"/>
      <c r="D130" s="305" t="s">
        <v>278</v>
      </c>
      <c r="E130" s="293"/>
      <c r="F130" s="19"/>
      <c r="G130" s="222" t="n">
        <f aca="false">G152</f>
        <v>22</v>
      </c>
      <c r="H130" s="174" t="n">
        <f aca="false">B151</f>
        <v>0</v>
      </c>
      <c r="I130" s="223"/>
      <c r="J130" s="174" t="n">
        <f aca="false">B58</f>
        <v>13</v>
      </c>
      <c r="K130" s="210"/>
      <c r="L130" s="19"/>
      <c r="M130" s="222" t="n">
        <f aca="false">M155</f>
        <v>22</v>
      </c>
      <c r="N130" s="174" t="n">
        <f aca="false">B151</f>
        <v>0</v>
      </c>
      <c r="O130" s="223"/>
      <c r="P130" s="174" t="n">
        <f aca="false">B58</f>
        <v>13</v>
      </c>
      <c r="Q130" s="210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8.75" hidden="false" customHeight="true" outlineLevel="0" collapsed="false">
      <c r="A131" s="309" t="str">
        <f aca="false">B99</f>
        <v>Terminal pause with 9 down</v>
      </c>
      <c r="B131" s="201" t="n">
        <f aca="false">B90*B57</f>
        <v>14897.2968477584</v>
      </c>
      <c r="C131" s="292"/>
      <c r="D131" s="201" t="n">
        <f aca="false">IF(A105="YES", B89*B57, 0)</f>
        <v>442.26</v>
      </c>
      <c r="E131" s="293"/>
      <c r="F131" s="19"/>
      <c r="G131" s="209"/>
      <c r="H131" s="207"/>
      <c r="I131" s="207"/>
      <c r="J131" s="207"/>
      <c r="K131" s="210"/>
      <c r="L131" s="19"/>
      <c r="M131" s="209"/>
      <c r="N131" s="207"/>
      <c r="O131" s="207"/>
      <c r="P131" s="207"/>
      <c r="Q131" s="210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8.75" hidden="false" customHeight="true" outlineLevel="0" collapsed="false">
      <c r="A132" s="291"/>
      <c r="B132" s="292"/>
      <c r="C132" s="292"/>
      <c r="D132" s="292"/>
      <c r="E132" s="293"/>
      <c r="F132" s="19"/>
      <c r="G132" s="209" t="s">
        <v>279</v>
      </c>
      <c r="H132" s="207" t="s">
        <v>280</v>
      </c>
      <c r="I132" s="207"/>
      <c r="J132" s="207" t="s">
        <v>281</v>
      </c>
      <c r="K132" s="210"/>
      <c r="L132" s="19"/>
      <c r="M132" s="209" t="s">
        <v>282</v>
      </c>
      <c r="N132" s="207" t="s">
        <v>216</v>
      </c>
      <c r="O132" s="207"/>
      <c r="P132" s="207" t="s">
        <v>220</v>
      </c>
      <c r="Q132" s="210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8.75" hidden="false" customHeight="true" outlineLevel="0" collapsed="false">
      <c r="A133" s="123" t="s">
        <v>283</v>
      </c>
      <c r="B133" s="200" t="s">
        <v>284</v>
      </c>
      <c r="C133" s="310"/>
      <c r="D133" s="240" t="s">
        <v>177</v>
      </c>
      <c r="E133" s="293"/>
      <c r="F133" s="19"/>
      <c r="G133" s="69" t="n">
        <f aca="false">H90*H57</f>
        <v>9417.1162365036</v>
      </c>
      <c r="H133" s="37" t="n">
        <f aca="false">IF(G105="YES", H89*H57, 0)</f>
        <v>266.112</v>
      </c>
      <c r="I133" s="215"/>
      <c r="J133" s="232" t="n">
        <f aca="false">H91*H57</f>
        <v>9683.2282365036</v>
      </c>
      <c r="K133" s="210"/>
      <c r="L133" s="19"/>
      <c r="M133" s="69" t="n">
        <f aca="false">N90*N57</f>
        <v>7824.70306608146</v>
      </c>
      <c r="N133" s="37" t="n">
        <f aca="false">IF(M105="YES", N89*N57, 0)</f>
        <v>221.76</v>
      </c>
      <c r="O133" s="215"/>
      <c r="P133" s="232" t="n">
        <f aca="false">N91*N57</f>
        <v>8046.46306608146</v>
      </c>
      <c r="Q133" s="210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8.75" hidden="false" customHeight="true" outlineLevel="0" collapsed="false">
      <c r="A134" s="70" t="n">
        <f aca="false">B91*B57</f>
        <v>15339.5568477584</v>
      </c>
      <c r="B134" s="201" t="n">
        <f aca="false">E114</f>
        <v>4000</v>
      </c>
      <c r="C134" s="292"/>
      <c r="D134" s="311" t="n">
        <f aca="false">B58</f>
        <v>13</v>
      </c>
      <c r="E134" s="293"/>
      <c r="F134" s="19"/>
      <c r="G134" s="209"/>
      <c r="H134" s="207"/>
      <c r="I134" s="207"/>
      <c r="J134" s="207"/>
      <c r="K134" s="210"/>
      <c r="L134" s="19"/>
      <c r="M134" s="209"/>
      <c r="N134" s="207"/>
      <c r="O134" s="207"/>
      <c r="P134" s="207"/>
      <c r="Q134" s="210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8.75" hidden="false" customHeight="true" outlineLevel="0" collapsed="false">
      <c r="A135" s="70"/>
      <c r="B135" s="312"/>
      <c r="C135" s="292"/>
      <c r="D135" s="292"/>
      <c r="E135" s="293"/>
      <c r="F135" s="19"/>
      <c r="G135" s="209" t="s">
        <v>285</v>
      </c>
      <c r="H135" s="207" t="s">
        <v>286</v>
      </c>
      <c r="I135" s="207"/>
      <c r="J135" s="207" t="s">
        <v>287</v>
      </c>
      <c r="K135" s="210"/>
      <c r="L135" s="19"/>
      <c r="M135" s="209" t="s">
        <v>229</v>
      </c>
      <c r="N135" s="207" t="s">
        <v>230</v>
      </c>
      <c r="O135" s="207"/>
      <c r="P135" s="207" t="s">
        <v>235</v>
      </c>
      <c r="Q135" s="210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8.75" hidden="false" customHeight="true" outlineLevel="0" collapsed="false">
      <c r="A136" s="78" t="s">
        <v>92</v>
      </c>
      <c r="B136" s="313" t="s">
        <v>271</v>
      </c>
      <c r="C136" s="292"/>
      <c r="D136" s="292" t="s">
        <v>272</v>
      </c>
      <c r="E136" s="293"/>
      <c r="F136" s="19"/>
      <c r="G136" s="70" t="n">
        <f aca="false">E15*0.000006</f>
        <v>0.35115</v>
      </c>
      <c r="H136" s="37" t="n">
        <f aca="false">IF(G105="YES", E15*0.000002, 0)</f>
        <v>0.11705</v>
      </c>
      <c r="I136" s="37"/>
      <c r="J136" s="37" t="n">
        <f aca="false">G136+H136</f>
        <v>0.4682</v>
      </c>
      <c r="K136" s="177"/>
      <c r="L136" s="19"/>
      <c r="M136" s="70" t="n">
        <f aca="false">E15*0.000006</f>
        <v>0.35115</v>
      </c>
      <c r="N136" s="37" t="n">
        <f aca="false">IF(M105="YES", E15*0.000002, 0)</f>
        <v>0.11705</v>
      </c>
      <c r="O136" s="37"/>
      <c r="P136" s="37" t="n">
        <f aca="false">M136+N136</f>
        <v>0.4682</v>
      </c>
      <c r="Q136" s="177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8.75" hidden="false" customHeight="true" outlineLevel="0" collapsed="false">
      <c r="A137" s="70" t="n">
        <f aca="false">B90</f>
        <v>1655.25520530649</v>
      </c>
      <c r="B137" s="201" t="n">
        <f aca="false">IF(A105="YES", B89, 0)</f>
        <v>49.14</v>
      </c>
      <c r="C137" s="292"/>
      <c r="D137" s="201" t="n">
        <f aca="false">B91</f>
        <v>1704.39520530649</v>
      </c>
      <c r="E137" s="293"/>
      <c r="F137" s="19"/>
      <c r="G137" s="209"/>
      <c r="H137" s="207"/>
      <c r="I137" s="207"/>
      <c r="J137" s="207"/>
      <c r="K137" s="210"/>
      <c r="L137" s="19"/>
      <c r="M137" s="209"/>
      <c r="N137" s="207"/>
      <c r="O137" s="207"/>
      <c r="P137" s="207"/>
      <c r="Q137" s="210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8.75" hidden="false" customHeight="true" outlineLevel="0" collapsed="false">
      <c r="A138" s="291"/>
      <c r="B138" s="292"/>
      <c r="C138" s="292"/>
      <c r="D138" s="292"/>
      <c r="E138" s="293"/>
      <c r="F138" s="19"/>
      <c r="G138" s="209" t="s">
        <v>288</v>
      </c>
      <c r="H138" s="207" t="s">
        <v>289</v>
      </c>
      <c r="I138" s="207"/>
      <c r="J138" s="207" t="s">
        <v>290</v>
      </c>
      <c r="K138" s="210"/>
      <c r="L138" s="19"/>
      <c r="M138" s="209" t="s">
        <v>111</v>
      </c>
      <c r="N138" s="207" t="s">
        <v>289</v>
      </c>
      <c r="O138" s="207"/>
      <c r="P138" s="207" t="s">
        <v>290</v>
      </c>
      <c r="Q138" s="210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8.75" hidden="false" customHeight="true" outlineLevel="0" collapsed="false">
      <c r="A139" s="314" t="s">
        <v>180</v>
      </c>
      <c r="B139" s="315" t="s">
        <v>291</v>
      </c>
      <c r="C139" s="201"/>
      <c r="D139" s="315" t="s">
        <v>182</v>
      </c>
      <c r="E139" s="177"/>
      <c r="F139" s="19"/>
      <c r="G139" s="70" t="n">
        <f aca="false">G102</f>
        <v>199.99</v>
      </c>
      <c r="H139" s="37" t="n">
        <f aca="false">H67</f>
        <v>683.364583333333</v>
      </c>
      <c r="I139" s="37"/>
      <c r="J139" s="37" t="n">
        <f aca="false">H102*0.9</f>
        <v>0</v>
      </c>
      <c r="K139" s="177"/>
      <c r="L139" s="19"/>
      <c r="M139" s="70" t="n">
        <f aca="false">M102</f>
        <v>199.99</v>
      </c>
      <c r="N139" s="37" t="n">
        <f aca="false">N67</f>
        <v>683.364583333333</v>
      </c>
      <c r="O139" s="37"/>
      <c r="P139" s="37" t="n">
        <f aca="false">N102*0.9</f>
        <v>0</v>
      </c>
      <c r="Q139" s="177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8.75" hidden="false" customHeight="true" outlineLevel="0" collapsed="false">
      <c r="A140" s="316" t="n">
        <f aca="false">(G18*0.000006)*1.2*100</f>
        <v>41.6772</v>
      </c>
      <c r="B140" s="317" t="n">
        <f aca="false">IF(A105="YES", G18*0.000002, 0)*1.2*100</f>
        <v>13.8924</v>
      </c>
      <c r="C140" s="292"/>
      <c r="D140" s="317" t="n">
        <f aca="false">A140+B140</f>
        <v>55.5696</v>
      </c>
      <c r="E140" s="293"/>
      <c r="F140" s="19"/>
      <c r="G140" s="209"/>
      <c r="H140" s="207"/>
      <c r="I140" s="207"/>
      <c r="J140" s="207"/>
      <c r="K140" s="210"/>
      <c r="L140" s="19"/>
      <c r="M140" s="209"/>
      <c r="N140" s="207"/>
      <c r="O140" s="207"/>
      <c r="P140" s="207"/>
      <c r="Q140" s="210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8.75" hidden="false" customHeight="true" outlineLevel="0" collapsed="false">
      <c r="A141" s="316"/>
      <c r="B141" s="317"/>
      <c r="C141" s="292"/>
      <c r="D141" s="317"/>
      <c r="E141" s="293"/>
      <c r="F141" s="19"/>
      <c r="G141" s="209" t="s">
        <v>292</v>
      </c>
      <c r="H141" s="207" t="s">
        <v>293</v>
      </c>
      <c r="I141" s="207"/>
      <c r="J141" s="207" t="s">
        <v>294</v>
      </c>
      <c r="K141" s="210"/>
      <c r="L141" s="19"/>
      <c r="M141" s="209" t="s">
        <v>292</v>
      </c>
      <c r="N141" s="207" t="s">
        <v>293</v>
      </c>
      <c r="O141" s="207"/>
      <c r="P141" s="207" t="s">
        <v>294</v>
      </c>
      <c r="Q141" s="210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8.75" hidden="false" customHeight="true" outlineLevel="0" collapsed="false">
      <c r="A142" s="314" t="s">
        <v>295</v>
      </c>
      <c r="B142" s="315" t="s">
        <v>152</v>
      </c>
      <c r="C142" s="201"/>
      <c r="D142" s="315" t="s">
        <v>246</v>
      </c>
      <c r="E142" s="293"/>
      <c r="F142" s="19"/>
      <c r="G142" s="70" t="n">
        <f aca="false">IF(G105="YES", ((B36*H105)*0.1)*(G130), 0)</f>
        <v>16.632</v>
      </c>
      <c r="H142" s="37" t="n">
        <f aca="false">G102-100</f>
        <v>99.99</v>
      </c>
      <c r="I142" s="37"/>
      <c r="J142" s="37" t="n">
        <f aca="false">(H139+J139+G142+H142)-H145</f>
        <v>799.986583333333</v>
      </c>
      <c r="K142" s="177"/>
      <c r="L142" s="19"/>
      <c r="M142" s="70" t="n">
        <f aca="false">IF(M105="YES", ((B36*N105)*0.1)*(M130), 0)</f>
        <v>16.632</v>
      </c>
      <c r="N142" s="37" t="n">
        <f aca="false">M102-100</f>
        <v>99.99</v>
      </c>
      <c r="O142" s="37"/>
      <c r="P142" s="37" t="n">
        <f aca="false">(N139+P139+M142+N142)-N145</f>
        <v>799.986583333333</v>
      </c>
      <c r="Q142" s="177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8.75" hidden="false" customHeight="true" outlineLevel="0" collapsed="false">
      <c r="A143" s="70" t="n">
        <v>0</v>
      </c>
      <c r="B143" s="201" t="n">
        <f aca="false">E118</f>
        <v>199.99</v>
      </c>
      <c r="C143" s="292"/>
      <c r="D143" s="152" t="n">
        <f aca="false">B102</f>
        <v>400</v>
      </c>
      <c r="E143" s="293"/>
      <c r="F143" s="19"/>
      <c r="G143" s="209"/>
      <c r="H143" s="207"/>
      <c r="I143" s="207"/>
      <c r="J143" s="207"/>
      <c r="K143" s="210"/>
      <c r="L143" s="19"/>
      <c r="M143" s="209"/>
      <c r="N143" s="207"/>
      <c r="O143" s="207"/>
      <c r="P143" s="207"/>
      <c r="Q143" s="210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8.75" hidden="false" customHeight="true" outlineLevel="0" collapsed="false">
      <c r="A144" s="70"/>
      <c r="B144" s="201"/>
      <c r="C144" s="292"/>
      <c r="D144" s="201"/>
      <c r="E144" s="293"/>
      <c r="F144" s="19"/>
      <c r="G144" s="209" t="s">
        <v>296</v>
      </c>
      <c r="H144" s="207" t="s">
        <v>297</v>
      </c>
      <c r="I144" s="207"/>
      <c r="J144" s="207"/>
      <c r="K144" s="210"/>
      <c r="L144" s="19"/>
      <c r="M144" s="209" t="s">
        <v>296</v>
      </c>
      <c r="N144" s="207" t="s">
        <v>297</v>
      </c>
      <c r="O144" s="207"/>
      <c r="P144" s="207"/>
      <c r="Q144" s="210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8.75" hidden="false" customHeight="true" outlineLevel="0" collapsed="false">
      <c r="A145" s="318" t="s">
        <v>298</v>
      </c>
      <c r="B145" s="319"/>
      <c r="C145" s="320"/>
      <c r="D145" s="319"/>
      <c r="E145" s="321"/>
      <c r="F145" s="19"/>
      <c r="G145" s="70" t="n">
        <v>0</v>
      </c>
      <c r="H145" s="37" t="n">
        <f aca="false">(H139+J139+G142+H142)*(G145/H64)</f>
        <v>0</v>
      </c>
      <c r="I145" s="207"/>
      <c r="J145" s="207"/>
      <c r="K145" s="210"/>
      <c r="L145" s="19"/>
      <c r="M145" s="70" t="n">
        <v>0</v>
      </c>
      <c r="N145" s="37" t="n">
        <f aca="false">(N139+P139+M142+N142)*(M145/N64)</f>
        <v>0</v>
      </c>
      <c r="O145" s="207"/>
      <c r="P145" s="207"/>
      <c r="Q145" s="210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8.75" hidden="false" customHeight="true" outlineLevel="0" collapsed="false">
      <c r="A146" s="316"/>
      <c r="B146" s="317"/>
      <c r="C146" s="292"/>
      <c r="D146" s="317"/>
      <c r="E146" s="293"/>
      <c r="F146" s="19"/>
      <c r="G146" s="209"/>
      <c r="H146" s="207"/>
      <c r="I146" s="207"/>
      <c r="J146" s="207"/>
      <c r="K146" s="210"/>
      <c r="L146" s="19"/>
      <c r="M146" s="70"/>
      <c r="N146" s="37"/>
      <c r="O146" s="207"/>
      <c r="P146" s="207"/>
      <c r="Q146" s="210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8.75" hidden="false" customHeight="true" outlineLevel="0" collapsed="false">
      <c r="A147" s="291" t="s">
        <v>299</v>
      </c>
      <c r="B147" s="292" t="s">
        <v>300</v>
      </c>
      <c r="C147" s="292"/>
      <c r="D147" s="292" t="s">
        <v>301</v>
      </c>
      <c r="E147" s="293"/>
      <c r="F147" s="19"/>
      <c r="G147" s="209"/>
      <c r="H147" s="207"/>
      <c r="I147" s="207"/>
      <c r="J147" s="207"/>
      <c r="K147" s="210"/>
      <c r="L147" s="19"/>
      <c r="M147" s="78" t="s">
        <v>302</v>
      </c>
      <c r="N147" s="38" t="s">
        <v>303</v>
      </c>
      <c r="O147" s="207"/>
      <c r="P147" s="207"/>
      <c r="Q147" s="210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8.75" hidden="false" customHeight="true" outlineLevel="0" collapsed="false">
      <c r="A148" s="70" t="n">
        <f aca="false">B67</f>
        <v>820.0375</v>
      </c>
      <c r="B148" s="37" t="n">
        <f aca="false">B102</f>
        <v>400</v>
      </c>
      <c r="C148" s="201"/>
      <c r="D148" s="201" t="n">
        <f aca="false">IF(A105="YES", (B40*B105)*B125, 0)*0.1</f>
        <v>24.948</v>
      </c>
      <c r="E148" s="177"/>
      <c r="F148" s="19"/>
      <c r="G148" s="243" t="s">
        <v>304</v>
      </c>
      <c r="H148" s="207"/>
      <c r="I148" s="207"/>
      <c r="J148" s="244"/>
      <c r="K148" s="245"/>
      <c r="L148" s="19"/>
      <c r="M148" s="322" t="n">
        <v>18000</v>
      </c>
      <c r="N148" s="323" t="n">
        <v>0.99</v>
      </c>
      <c r="O148" s="323"/>
      <c r="P148" s="207"/>
      <c r="Q148" s="210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8.75" hidden="false" customHeight="true" outlineLevel="0" collapsed="false">
      <c r="A149" s="291"/>
      <c r="B149" s="292"/>
      <c r="C149" s="292"/>
      <c r="D149" s="292"/>
      <c r="E149" s="293"/>
      <c r="F149" s="19"/>
      <c r="G149" s="209"/>
      <c r="H149" s="246"/>
      <c r="I149" s="246"/>
      <c r="J149" s="207"/>
      <c r="K149" s="210"/>
      <c r="L149" s="19"/>
      <c r="M149" s="209"/>
      <c r="N149" s="207"/>
      <c r="O149" s="207"/>
      <c r="P149" s="207"/>
      <c r="Q149" s="210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8.75" hidden="false" customHeight="true" outlineLevel="0" collapsed="false">
      <c r="A150" s="291" t="s">
        <v>305</v>
      </c>
      <c r="B150" s="292" t="s">
        <v>297</v>
      </c>
      <c r="C150" s="292"/>
      <c r="D150" s="292" t="s">
        <v>294</v>
      </c>
      <c r="E150" s="293"/>
      <c r="F150" s="19"/>
      <c r="G150" s="248" t="s">
        <v>28</v>
      </c>
      <c r="H150" s="249" t="s">
        <v>33</v>
      </c>
      <c r="I150" s="249"/>
      <c r="J150" s="207"/>
      <c r="K150" s="210"/>
      <c r="L150" s="19"/>
      <c r="M150" s="209"/>
      <c r="N150" s="207"/>
      <c r="O150" s="207"/>
      <c r="P150" s="207"/>
      <c r="Q150" s="210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8.75" hidden="false" customHeight="true" outlineLevel="0" collapsed="false">
      <c r="A151" s="70" t="n">
        <f aca="false">E118-100</f>
        <v>99.99</v>
      </c>
      <c r="B151" s="201" t="n">
        <f aca="false">(A148+B148+D148+A151)*(A143/B64)</f>
        <v>0</v>
      </c>
      <c r="C151" s="201"/>
      <c r="D151" s="201" t="n">
        <f aca="false">(A148+B148+D148+A151)-B151</f>
        <v>1344.9755</v>
      </c>
      <c r="E151" s="177"/>
      <c r="F151" s="19"/>
      <c r="G151" s="248"/>
      <c r="H151" s="250" t="n">
        <f aca="false">B51</f>
        <v>22000</v>
      </c>
      <c r="I151" s="250"/>
      <c r="J151" s="207"/>
      <c r="K151" s="210"/>
      <c r="L151" s="19"/>
      <c r="M151" s="243" t="s">
        <v>304</v>
      </c>
      <c r="N151" s="207"/>
      <c r="O151" s="207"/>
      <c r="P151" s="244"/>
      <c r="Q151" s="245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8.75" hidden="false" customHeight="true" outlineLevel="0" collapsed="false">
      <c r="A152" s="291"/>
      <c r="B152" s="292"/>
      <c r="C152" s="292"/>
      <c r="D152" s="292"/>
      <c r="E152" s="293"/>
      <c r="F152" s="19"/>
      <c r="G152" s="251" t="n">
        <f aca="false">A52</f>
        <v>22</v>
      </c>
      <c r="H152" s="92" t="n">
        <f aca="false">H91</f>
        <v>1613.8713727506</v>
      </c>
      <c r="I152" s="92"/>
      <c r="J152" s="207"/>
      <c r="K152" s="210"/>
      <c r="L152" s="19"/>
      <c r="M152" s="209"/>
      <c r="N152" s="246"/>
      <c r="O152" s="246"/>
      <c r="P152" s="207"/>
      <c r="Q152" s="210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8.75" hidden="false" customHeight="true" outlineLevel="0" collapsed="false">
      <c r="A153" s="291" t="s">
        <v>306</v>
      </c>
      <c r="B153" s="292"/>
      <c r="C153" s="292"/>
      <c r="D153" s="292"/>
      <c r="E153" s="293"/>
      <c r="F153" s="19"/>
      <c r="G153" s="209"/>
      <c r="H153" s="207"/>
      <c r="I153" s="207"/>
      <c r="J153" s="207"/>
      <c r="K153" s="210"/>
      <c r="L153" s="19"/>
      <c r="M153" s="248" t="s">
        <v>28</v>
      </c>
      <c r="N153" s="249" t="s">
        <v>33</v>
      </c>
      <c r="O153" s="249"/>
      <c r="P153" s="207"/>
      <c r="Q153" s="210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8.75" hidden="false" customHeight="true" outlineLevel="0" collapsed="false">
      <c r="A154" s="70" t="n">
        <f aca="false">D102</f>
        <v>200</v>
      </c>
      <c r="B154" s="201"/>
      <c r="C154" s="292"/>
      <c r="D154" s="292"/>
      <c r="E154" s="293"/>
      <c r="F154" s="19"/>
      <c r="G154" s="209"/>
      <c r="H154" s="207"/>
      <c r="I154" s="207"/>
      <c r="J154" s="207"/>
      <c r="K154" s="210"/>
      <c r="L154" s="19"/>
      <c r="M154" s="248"/>
      <c r="N154" s="250" t="n">
        <f aca="false">B51</f>
        <v>22000</v>
      </c>
      <c r="O154" s="250"/>
      <c r="P154" s="207"/>
      <c r="Q154" s="210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8.75" hidden="false" customHeight="true" outlineLevel="0" collapsed="false">
      <c r="A155" s="291"/>
      <c r="B155" s="292"/>
      <c r="C155" s="292"/>
      <c r="D155" s="292"/>
      <c r="E155" s="293"/>
      <c r="F155" s="19"/>
      <c r="G155" s="209"/>
      <c r="H155" s="207"/>
      <c r="I155" s="207"/>
      <c r="J155" s="207"/>
      <c r="K155" s="210"/>
      <c r="L155" s="19"/>
      <c r="M155" s="251" t="n">
        <f aca="false">A52</f>
        <v>22</v>
      </c>
      <c r="N155" s="92" t="n">
        <f aca="false">N91</f>
        <v>1341.07717768024</v>
      </c>
      <c r="O155" s="92"/>
      <c r="P155" s="207"/>
      <c r="Q155" s="210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8.75" hidden="false" customHeight="true" outlineLevel="0" collapsed="false">
      <c r="A156" s="291"/>
      <c r="B156" s="292"/>
      <c r="C156" s="292"/>
      <c r="D156" s="292"/>
      <c r="E156" s="293"/>
      <c r="F156" s="19"/>
      <c r="G156" s="209"/>
      <c r="H156" s="207"/>
      <c r="I156" s="207"/>
      <c r="J156" s="207"/>
      <c r="K156" s="210"/>
      <c r="L156" s="19"/>
      <c r="M156" s="209"/>
      <c r="N156" s="207"/>
      <c r="O156" s="207"/>
      <c r="P156" s="207"/>
      <c r="Q156" s="210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8.75" hidden="false" customHeight="true" outlineLevel="0" collapsed="false">
      <c r="A157" s="324" t="s">
        <v>304</v>
      </c>
      <c r="B157" s="292"/>
      <c r="C157" s="292"/>
      <c r="D157" s="325"/>
      <c r="E157" s="326"/>
      <c r="F157" s="19"/>
      <c r="G157" s="252"/>
      <c r="H157" s="253"/>
      <c r="I157" s="253"/>
      <c r="J157" s="253"/>
      <c r="K157" s="254"/>
      <c r="L157" s="19"/>
      <c r="M157" s="209"/>
      <c r="N157" s="207"/>
      <c r="O157" s="207"/>
      <c r="P157" s="207"/>
      <c r="Q157" s="210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8.75" hidden="false" customHeight="true" outlineLevel="0" collapsed="false">
      <c r="A158" s="291"/>
      <c r="B158" s="327"/>
      <c r="C158" s="327"/>
      <c r="D158" s="292"/>
      <c r="E158" s="293"/>
      <c r="F158" s="19"/>
      <c r="G158" s="19"/>
      <c r="H158" s="19"/>
      <c r="I158" s="19"/>
      <c r="J158" s="19"/>
      <c r="K158" s="19"/>
      <c r="L158" s="19"/>
      <c r="M158" s="209"/>
      <c r="N158" s="207"/>
      <c r="O158" s="207"/>
      <c r="P158" s="207"/>
      <c r="Q158" s="210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8.75" hidden="false" customHeight="true" outlineLevel="0" collapsed="false">
      <c r="A159" s="248" t="s">
        <v>28</v>
      </c>
      <c r="B159" s="249" t="s">
        <v>33</v>
      </c>
      <c r="C159" s="249"/>
      <c r="D159" s="292"/>
      <c r="E159" s="293"/>
      <c r="F159" s="19"/>
      <c r="G159" s="19"/>
      <c r="H159" s="19"/>
      <c r="I159" s="19"/>
      <c r="J159" s="19"/>
      <c r="K159" s="19"/>
      <c r="L159" s="19"/>
      <c r="M159" s="209"/>
      <c r="N159" s="207"/>
      <c r="O159" s="207"/>
      <c r="P159" s="207"/>
      <c r="Q159" s="210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8.75" hidden="false" customHeight="true" outlineLevel="0" collapsed="false">
      <c r="A160" s="248"/>
      <c r="B160" s="250" t="n">
        <f aca="false">B51</f>
        <v>22000</v>
      </c>
      <c r="C160" s="250"/>
      <c r="D160" s="292"/>
      <c r="E160" s="293"/>
      <c r="F160" s="19"/>
      <c r="G160" s="19"/>
      <c r="H160" s="19"/>
      <c r="I160" s="19"/>
      <c r="J160" s="19"/>
      <c r="K160" s="19"/>
      <c r="L160" s="19"/>
      <c r="M160" s="209"/>
      <c r="N160" s="207"/>
      <c r="O160" s="207"/>
      <c r="P160" s="207"/>
      <c r="Q160" s="210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8.75" hidden="false" customHeight="true" outlineLevel="0" collapsed="false">
      <c r="A161" s="251" t="n">
        <f aca="false">A52</f>
        <v>22</v>
      </c>
      <c r="B161" s="92" t="n">
        <f aca="false">B91</f>
        <v>1704.39520530649</v>
      </c>
      <c r="C161" s="92"/>
      <c r="D161" s="292"/>
      <c r="E161" s="293"/>
      <c r="F161" s="19"/>
      <c r="G161" s="19"/>
      <c r="H161" s="19"/>
      <c r="I161" s="19"/>
      <c r="J161" s="19"/>
      <c r="K161" s="19"/>
      <c r="L161" s="19"/>
      <c r="M161" s="209"/>
      <c r="N161" s="207"/>
      <c r="O161" s="207"/>
      <c r="P161" s="207"/>
      <c r="Q161" s="210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8.75" hidden="false" customHeight="true" outlineLevel="0" collapsed="false">
      <c r="A162" s="291"/>
      <c r="B162" s="292"/>
      <c r="C162" s="292"/>
      <c r="D162" s="292"/>
      <c r="E162" s="293"/>
      <c r="F162" s="19"/>
      <c r="G162" s="19"/>
      <c r="H162" s="19"/>
      <c r="I162" s="19"/>
      <c r="J162" s="19"/>
      <c r="K162" s="19"/>
      <c r="L162" s="19"/>
      <c r="M162" s="252"/>
      <c r="N162" s="253"/>
      <c r="O162" s="253"/>
      <c r="P162" s="253"/>
      <c r="Q162" s="254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8.75" hidden="false" customHeight="true" outlineLevel="0" collapsed="false">
      <c r="A163" s="291"/>
      <c r="B163" s="292"/>
      <c r="C163" s="292"/>
      <c r="D163" s="292"/>
      <c r="E163" s="293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8.75" hidden="false" customHeight="true" outlineLevel="0" collapsed="false">
      <c r="A164" s="291"/>
      <c r="B164" s="292"/>
      <c r="C164" s="292"/>
      <c r="D164" s="292"/>
      <c r="E164" s="293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8.75" hidden="false" customHeight="true" outlineLevel="0" collapsed="false">
      <c r="A165" s="291"/>
      <c r="B165" s="292"/>
      <c r="C165" s="292"/>
      <c r="D165" s="292"/>
      <c r="E165" s="293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8.75" hidden="false" customHeight="true" outlineLevel="0" collapsed="false">
      <c r="A166" s="342"/>
      <c r="B166" s="343"/>
      <c r="C166" s="343"/>
      <c r="D166" s="343"/>
      <c r="E166" s="344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8.75" hidden="false" customHeight="true" outlineLevel="0" collapsed="false">
      <c r="A167" s="394"/>
      <c r="B167" s="394"/>
      <c r="C167" s="394"/>
      <c r="D167" s="394"/>
      <c r="E167" s="394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8.75" hidden="false" customHeight="true" outlineLevel="0" collapsed="false">
      <c r="A168" s="394"/>
      <c r="B168" s="394"/>
      <c r="C168" s="394"/>
      <c r="D168" s="394"/>
      <c r="E168" s="394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8.75" hidden="false" customHeight="true" outlineLevel="0" collapsed="false">
      <c r="A169" s="394"/>
      <c r="B169" s="394"/>
      <c r="C169" s="394"/>
      <c r="D169" s="394"/>
      <c r="E169" s="394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8.75" hidden="false" customHeight="true" outlineLevel="0" collapsed="false">
      <c r="A170" s="394"/>
      <c r="B170" s="394"/>
      <c r="C170" s="394"/>
      <c r="D170" s="394"/>
      <c r="E170" s="394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8.75" hidden="false" customHeight="true" outlineLevel="0" collapsed="false">
      <c r="A171" s="328" t="s">
        <v>270</v>
      </c>
      <c r="B171" s="328"/>
      <c r="C171" s="328"/>
      <c r="D171" s="328"/>
      <c r="E171" s="328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8.75" hidden="false" customHeight="true" outlineLevel="0" collapsed="false">
      <c r="A172" s="291"/>
      <c r="B172" s="329"/>
      <c r="C172" s="329"/>
      <c r="D172" s="329"/>
      <c r="E172" s="293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8.75" hidden="false" customHeight="true" outlineLevel="0" collapsed="false">
      <c r="A173" s="294" t="s">
        <v>98</v>
      </c>
      <c r="B173" s="330" t="s">
        <v>174</v>
      </c>
      <c r="C173" s="331"/>
      <c r="D173" s="330" t="s">
        <v>33</v>
      </c>
      <c r="E173" s="297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8.75" hidden="false" customHeight="true" outlineLevel="0" collapsed="false">
      <c r="A174" s="298" t="s">
        <v>254</v>
      </c>
      <c r="B174" s="299" t="n">
        <f aca="false">A161</f>
        <v>22</v>
      </c>
      <c r="C174" s="333"/>
      <c r="D174" s="299" t="n">
        <f aca="false">D125</f>
        <v>22000</v>
      </c>
      <c r="E174" s="297"/>
      <c r="F174" s="19"/>
      <c r="G174" s="367" t="s">
        <v>323</v>
      </c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8.75" hidden="false" customHeight="true" outlineLevel="0" collapsed="false">
      <c r="A175" s="294"/>
      <c r="B175" s="330"/>
      <c r="C175" s="330"/>
      <c r="D175" s="330"/>
      <c r="E175" s="297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8.75" hidden="false" customHeight="true" outlineLevel="0" collapsed="false">
      <c r="A176" s="294" t="s">
        <v>92</v>
      </c>
      <c r="B176" s="330" t="s">
        <v>271</v>
      </c>
      <c r="C176" s="331"/>
      <c r="D176" s="330" t="s">
        <v>272</v>
      </c>
      <c r="E176" s="297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8.75" hidden="false" customHeight="true" outlineLevel="0" collapsed="false">
      <c r="A177" s="298" t="n">
        <f aca="false">B90</f>
        <v>1655.25520530649</v>
      </c>
      <c r="B177" s="331" t="n">
        <f aca="false">IF(A105="YES", B89, 0)</f>
        <v>49.14</v>
      </c>
      <c r="C177" s="333"/>
      <c r="D177" s="331" t="n">
        <f aca="false">B91</f>
        <v>1704.39520530649</v>
      </c>
      <c r="E177" s="297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8.75" hidden="false" customHeight="true" outlineLevel="0" collapsed="false">
      <c r="A178" s="291"/>
      <c r="B178" s="329"/>
      <c r="C178" s="329"/>
      <c r="D178" s="329"/>
      <c r="E178" s="293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8.75" hidden="false" customHeight="true" outlineLevel="0" collapsed="false">
      <c r="A179" s="304" t="s">
        <v>23</v>
      </c>
      <c r="B179" s="335" t="s">
        <v>277</v>
      </c>
      <c r="C179" s="223"/>
      <c r="D179" s="335" t="s">
        <v>278</v>
      </c>
      <c r="E179" s="293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8.75" hidden="false" customHeight="true" outlineLevel="0" collapsed="false">
      <c r="A180" s="309" t="str">
        <f aca="false">B99</f>
        <v>Terminal pause with 9 down</v>
      </c>
      <c r="B180" s="37" t="n">
        <f aca="false">B90*B57</f>
        <v>14897.2968477584</v>
      </c>
      <c r="C180" s="329"/>
      <c r="D180" s="37" t="n">
        <f aca="false">IF(A105="YES", B89*B57, 0)</f>
        <v>442.26</v>
      </c>
      <c r="E180" s="293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8.75" hidden="false" customHeight="true" outlineLevel="0" collapsed="false">
      <c r="A181" s="291"/>
      <c r="B181" s="329"/>
      <c r="C181" s="329"/>
      <c r="D181" s="329"/>
      <c r="E181" s="293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8.75" hidden="false" customHeight="true" outlineLevel="0" collapsed="false">
      <c r="A182" s="123" t="s">
        <v>283</v>
      </c>
      <c r="B182" s="38" t="s">
        <v>284</v>
      </c>
      <c r="C182" s="336"/>
      <c r="D182" s="233" t="s">
        <v>177</v>
      </c>
      <c r="E182" s="293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8.75" hidden="false" customHeight="true" outlineLevel="0" collapsed="false">
      <c r="A183" s="70" t="n">
        <f aca="false">B91*B57</f>
        <v>15339.5568477584</v>
      </c>
      <c r="B183" s="37" t="n">
        <f aca="false">E114</f>
        <v>4000</v>
      </c>
      <c r="C183" s="329"/>
      <c r="D183" s="337" t="n">
        <f aca="false">B58</f>
        <v>13</v>
      </c>
      <c r="E183" s="293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8.75" hidden="false" customHeight="true" outlineLevel="0" collapsed="false">
      <c r="A184" s="70"/>
      <c r="B184" s="338"/>
      <c r="C184" s="329"/>
      <c r="D184" s="329"/>
      <c r="E184" s="293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8.75" hidden="false" customHeight="true" outlineLevel="0" collapsed="false">
      <c r="A185" s="78" t="s">
        <v>92</v>
      </c>
      <c r="B185" s="339" t="s">
        <v>271</v>
      </c>
      <c r="C185" s="329"/>
      <c r="D185" s="329" t="s">
        <v>272</v>
      </c>
      <c r="E185" s="293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8.75" hidden="false" customHeight="true" outlineLevel="0" collapsed="false">
      <c r="A186" s="70" t="n">
        <f aca="false">B90</f>
        <v>1655.25520530649</v>
      </c>
      <c r="B186" s="37" t="n">
        <f aca="false">IF(A105="YES", B89, 0)</f>
        <v>49.14</v>
      </c>
      <c r="C186" s="329"/>
      <c r="D186" s="37" t="n">
        <f aca="false">B91</f>
        <v>1704.39520530649</v>
      </c>
      <c r="E186" s="293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8.75" hidden="false" customHeight="true" outlineLevel="0" collapsed="false">
      <c r="A187" s="291"/>
      <c r="B187" s="329"/>
      <c r="C187" s="329"/>
      <c r="D187" s="329"/>
      <c r="E187" s="293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8.75" hidden="false" customHeight="true" outlineLevel="0" collapsed="false">
      <c r="A188" s="314" t="s">
        <v>180</v>
      </c>
      <c r="B188" s="340" t="s">
        <v>291</v>
      </c>
      <c r="C188" s="37"/>
      <c r="D188" s="340" t="s">
        <v>182</v>
      </c>
      <c r="E188" s="177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8.75" hidden="false" customHeight="true" outlineLevel="0" collapsed="false">
      <c r="A189" s="316" t="n">
        <f aca="false">(G18*0.000006)*1.2*100</f>
        <v>41.6772</v>
      </c>
      <c r="B189" s="341" t="n">
        <f aca="false">IF(A105="YES", G18*0.000002, 0)*1.2*100</f>
        <v>13.8924</v>
      </c>
      <c r="C189" s="329"/>
      <c r="D189" s="341" t="n">
        <f aca="false">A189+B189</f>
        <v>55.5696</v>
      </c>
      <c r="E189" s="293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8.75" hidden="false" customHeight="true" outlineLevel="0" collapsed="false">
      <c r="A190" s="316"/>
      <c r="B190" s="341"/>
      <c r="C190" s="329"/>
      <c r="D190" s="341"/>
      <c r="E190" s="293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8.75" hidden="false" customHeight="true" outlineLevel="0" collapsed="false">
      <c r="A191" s="314" t="s">
        <v>295</v>
      </c>
      <c r="B191" s="340" t="s">
        <v>152</v>
      </c>
      <c r="C191" s="37"/>
      <c r="D191" s="340" t="s">
        <v>246</v>
      </c>
      <c r="E191" s="293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8.75" hidden="false" customHeight="true" outlineLevel="0" collapsed="false">
      <c r="A192" s="70" t="n">
        <v>0</v>
      </c>
      <c r="B192" s="37" t="n">
        <f aca="false">E118</f>
        <v>199.99</v>
      </c>
      <c r="C192" s="329"/>
      <c r="D192" s="152" t="n">
        <f aca="false">B102</f>
        <v>400</v>
      </c>
      <c r="E192" s="293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8.75" hidden="false" customHeight="true" outlineLevel="0" collapsed="false">
      <c r="A193" s="70"/>
      <c r="B193" s="37"/>
      <c r="C193" s="329"/>
      <c r="D193" s="37"/>
      <c r="E193" s="293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8.75" hidden="false" customHeight="true" outlineLevel="0" collapsed="false">
      <c r="A194" s="318" t="s">
        <v>298</v>
      </c>
      <c r="B194" s="319"/>
      <c r="C194" s="320"/>
      <c r="D194" s="319"/>
      <c r="E194" s="321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8.75" hidden="false" customHeight="true" outlineLevel="0" collapsed="false">
      <c r="A195" s="316"/>
      <c r="B195" s="341"/>
      <c r="C195" s="329"/>
      <c r="D195" s="341"/>
      <c r="E195" s="293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8.75" hidden="false" customHeight="true" outlineLevel="0" collapsed="false">
      <c r="A196" s="291" t="s">
        <v>299</v>
      </c>
      <c r="B196" s="329" t="s">
        <v>300</v>
      </c>
      <c r="C196" s="329"/>
      <c r="D196" s="329" t="s">
        <v>301</v>
      </c>
      <c r="E196" s="293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8.75" hidden="false" customHeight="true" outlineLevel="0" collapsed="false">
      <c r="A197" s="70" t="n">
        <f aca="false">B67</f>
        <v>820.0375</v>
      </c>
      <c r="B197" s="37" t="n">
        <f aca="false">B102</f>
        <v>400</v>
      </c>
      <c r="C197" s="37"/>
      <c r="D197" s="37" t="n">
        <f aca="false">IF(A105="YES", (B40*B105)*B125, 0)*0.1</f>
        <v>24.948</v>
      </c>
      <c r="E197" s="177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8.75" hidden="false" customHeight="true" outlineLevel="0" collapsed="false">
      <c r="A198" s="291"/>
      <c r="B198" s="329"/>
      <c r="C198" s="329"/>
      <c r="D198" s="329"/>
      <c r="E198" s="293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8.75" hidden="false" customHeight="true" outlineLevel="0" collapsed="false">
      <c r="A199" s="291" t="s">
        <v>305</v>
      </c>
      <c r="B199" s="329" t="s">
        <v>297</v>
      </c>
      <c r="C199" s="329"/>
      <c r="D199" s="329" t="s">
        <v>294</v>
      </c>
      <c r="E199" s="293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8.75" hidden="false" customHeight="true" outlineLevel="0" collapsed="false">
      <c r="A200" s="70" t="n">
        <f aca="false">E118-100</f>
        <v>99.99</v>
      </c>
      <c r="B200" s="37" t="n">
        <f aca="false">(A148+B148+D148+A151)*(A143/B64)</f>
        <v>0</v>
      </c>
      <c r="C200" s="37"/>
      <c r="D200" s="37" t="n">
        <f aca="false">(A148+B148+D148+A151)-B151</f>
        <v>1344.9755</v>
      </c>
      <c r="E200" s="177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8.75" hidden="false" customHeight="true" outlineLevel="0" collapsed="false">
      <c r="A201" s="291"/>
      <c r="B201" s="329"/>
      <c r="C201" s="329"/>
      <c r="D201" s="329"/>
      <c r="E201" s="293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8.75" hidden="false" customHeight="true" outlineLevel="0" collapsed="false">
      <c r="A202" s="291" t="s">
        <v>306</v>
      </c>
      <c r="B202" s="329"/>
      <c r="C202" s="329"/>
      <c r="D202" s="329"/>
      <c r="E202" s="293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8.75" hidden="false" customHeight="true" outlineLevel="0" collapsed="false">
      <c r="A203" s="70" t="n">
        <f aca="false">D102</f>
        <v>200</v>
      </c>
      <c r="B203" s="37"/>
      <c r="C203" s="329"/>
      <c r="D203" s="329"/>
      <c r="E203" s="293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8.75" hidden="false" customHeight="true" outlineLevel="0" collapsed="false">
      <c r="A204" s="342"/>
      <c r="B204" s="343"/>
      <c r="C204" s="343"/>
      <c r="D204" s="343"/>
      <c r="E204" s="344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8.75" hidden="false" customHeight="true" outlineLevel="0" collapsed="false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8.75" hidden="false" customHeight="true" outlineLevel="0" collapsed="false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8.75" hidden="false" customHeight="true" outlineLevel="0" collapsed="false">
      <c r="A207" s="328" t="s">
        <v>185</v>
      </c>
      <c r="B207" s="328"/>
      <c r="C207" s="328"/>
      <c r="D207" s="328"/>
      <c r="E207" s="328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8.75" hidden="false" customHeight="true" outlineLevel="0" collapsed="false">
      <c r="A208" s="291"/>
      <c r="B208" s="292"/>
      <c r="C208" s="292"/>
      <c r="D208" s="292"/>
      <c r="E208" s="293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8.75" hidden="false" customHeight="true" outlineLevel="0" collapsed="false">
      <c r="A209" s="294" t="s">
        <v>186</v>
      </c>
      <c r="B209" s="345" t="n">
        <f aca="false">H35</f>
        <v>0.065</v>
      </c>
      <c r="C209" s="296" t="s">
        <v>188</v>
      </c>
      <c r="D209" s="346" t="n">
        <f aca="false">D64</f>
        <v>4896.10625</v>
      </c>
      <c r="E209" s="297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8.75" hidden="false" customHeight="true" outlineLevel="0" collapsed="false">
      <c r="A210" s="298"/>
      <c r="B210" s="299"/>
      <c r="C210" s="300"/>
      <c r="D210" s="299"/>
      <c r="E210" s="297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8.75" hidden="false" customHeight="true" outlineLevel="0" collapsed="false">
      <c r="A211" s="294" t="s">
        <v>189</v>
      </c>
      <c r="B211" s="296" t="n">
        <f aca="false">B219</f>
        <v>820.0375</v>
      </c>
      <c r="C211" s="295" t="s">
        <v>190</v>
      </c>
      <c r="D211" s="346" t="n">
        <f aca="false">B225+E221+B221+B223</f>
        <v>589.47</v>
      </c>
      <c r="E211" s="297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8.75" hidden="false" customHeight="true" outlineLevel="0" collapsed="false">
      <c r="A212" s="294"/>
      <c r="B212" s="347"/>
      <c r="C212" s="296"/>
      <c r="D212" s="295"/>
      <c r="E212" s="297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8.75" hidden="false" customHeight="true" outlineLevel="0" collapsed="false">
      <c r="A213" s="298" t="s">
        <v>191</v>
      </c>
      <c r="B213" s="296" t="n">
        <f aca="false">E223</f>
        <v>4665.53875</v>
      </c>
      <c r="C213" s="300"/>
      <c r="D213" s="296"/>
      <c r="E213" s="297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8.75" hidden="false" customHeight="true" outlineLevel="0" collapsed="false">
      <c r="A214" s="291"/>
      <c r="B214" s="313"/>
      <c r="C214" s="292"/>
      <c r="D214" s="292"/>
      <c r="E214" s="293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8.75" hidden="false" customHeight="true" outlineLevel="0" collapsed="false">
      <c r="A215" s="222" t="s">
        <v>186</v>
      </c>
      <c r="B215" s="348" t="n">
        <v>0.065</v>
      </c>
      <c r="C215" s="306"/>
      <c r="D215" s="305"/>
      <c r="E215" s="293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8.75" hidden="false" customHeight="true" outlineLevel="0" collapsed="false">
      <c r="A216" s="349"/>
      <c r="B216" s="200"/>
      <c r="C216" s="292"/>
      <c r="D216" s="201"/>
      <c r="E216" s="293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8.75" hidden="false" customHeight="true" outlineLevel="0" collapsed="false">
      <c r="A217" s="350" t="s">
        <v>188</v>
      </c>
      <c r="B217" s="60" t="n">
        <f aca="false">D64</f>
        <v>4896.10625</v>
      </c>
      <c r="C217" s="351" t="s">
        <v>194</v>
      </c>
      <c r="D217" s="292"/>
      <c r="E217" s="352" t="n">
        <f aca="false">B66</f>
        <v>0.0141666666666667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8.75" hidden="false" customHeight="true" outlineLevel="0" collapsed="false">
      <c r="A218" s="69"/>
      <c r="B218" s="200"/>
      <c r="C218" s="310"/>
      <c r="D218" s="240"/>
      <c r="E218" s="293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8.75" hidden="false" customHeight="true" outlineLevel="0" collapsed="false">
      <c r="A219" s="70" t="s">
        <v>194</v>
      </c>
      <c r="B219" s="60" t="n">
        <f aca="false">B67</f>
        <v>820.0375</v>
      </c>
      <c r="C219" s="310" t="s">
        <v>307</v>
      </c>
      <c r="D219" s="353"/>
      <c r="E219" s="103" t="n">
        <v>0.001</v>
      </c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8.75" hidden="false" customHeight="true" outlineLevel="0" collapsed="false">
      <c r="A220" s="70"/>
      <c r="B220" s="313"/>
      <c r="C220" s="310"/>
      <c r="D220" s="292"/>
      <c r="E220" s="293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8.75" hidden="false" customHeight="true" outlineLevel="0" collapsed="false">
      <c r="A221" s="70" t="s">
        <v>307</v>
      </c>
      <c r="B221" s="233" t="n">
        <f aca="false">(B77-(B77*(E219*100)))*0.1</f>
        <v>40</v>
      </c>
      <c r="C221" s="310" t="s">
        <v>196</v>
      </c>
      <c r="D221" s="292"/>
      <c r="E221" s="20" t="n">
        <f aca="false">A200</f>
        <v>99.99</v>
      </c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18.75" hidden="false" customHeight="true" outlineLevel="0" collapsed="false">
      <c r="A222" s="70"/>
      <c r="B222" s="200"/>
      <c r="C222" s="310"/>
      <c r="D222" s="201"/>
      <c r="E222" s="293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18.75" hidden="false" customHeight="true" outlineLevel="0" collapsed="false">
      <c r="A223" s="350" t="s">
        <v>308</v>
      </c>
      <c r="B223" s="233" t="n">
        <f aca="false">B78-(B78*(E219*100))</f>
        <v>200</v>
      </c>
      <c r="C223" s="310" t="s">
        <v>191</v>
      </c>
      <c r="D223" s="292"/>
      <c r="E223" s="20" t="n">
        <f aca="false">(B217-B211+D211)</f>
        <v>4665.53875</v>
      </c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18.75" hidden="false" customHeight="true" outlineLevel="0" collapsed="false">
      <c r="A224" s="354"/>
      <c r="B224" s="315"/>
      <c r="C224" s="201"/>
      <c r="D224" s="315"/>
      <c r="E224" s="163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18.75" hidden="false" customHeight="true" outlineLevel="0" collapsed="false">
      <c r="A225" s="354" t="s">
        <v>309</v>
      </c>
      <c r="B225" s="315" t="n">
        <f aca="false">D197/0.1</f>
        <v>249.48</v>
      </c>
      <c r="C225" s="201"/>
      <c r="D225" s="315"/>
      <c r="E225" s="163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18.75" hidden="false" customHeight="true" outlineLevel="0" collapsed="false">
      <c r="A226" s="354"/>
      <c r="B226" s="315"/>
      <c r="C226" s="201"/>
      <c r="D226" s="315"/>
      <c r="E226" s="163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="395" customFormat="true" ht="18.75" hidden="false" customHeight="true" outlineLevel="0" collapsed="false">
      <c r="A227" s="318" t="s">
        <v>310</v>
      </c>
      <c r="B227" s="355"/>
      <c r="C227" s="320"/>
      <c r="D227" s="319"/>
      <c r="E227" s="321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18.75" hidden="false" customHeight="true" outlineLevel="0" collapsed="false">
      <c r="A228" s="316"/>
      <c r="B228" s="356"/>
      <c r="C228" s="292"/>
      <c r="D228" s="317"/>
      <c r="E228" s="293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18.75" hidden="false" customHeight="true" outlineLevel="0" collapsed="false">
      <c r="A229" s="316" t="s">
        <v>198</v>
      </c>
      <c r="B229" s="60" t="n">
        <f aca="false">B71</f>
        <v>200</v>
      </c>
      <c r="C229" s="310" t="s">
        <v>199</v>
      </c>
      <c r="D229" s="317"/>
      <c r="E229" s="150" t="n">
        <f aca="false">B72</f>
        <v>5</v>
      </c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18.75" hidden="false" customHeight="true" outlineLevel="0" collapsed="false">
      <c r="A230" s="316"/>
      <c r="B230" s="356"/>
      <c r="C230" s="310" t="s">
        <v>200</v>
      </c>
      <c r="D230" s="317"/>
      <c r="E230" s="20" t="n">
        <f aca="false">D73</f>
        <v>310</v>
      </c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18.75" hidden="false" customHeight="true" outlineLevel="0" collapsed="false">
      <c r="A231" s="316" t="s">
        <v>201</v>
      </c>
      <c r="B231" s="357" t="n">
        <f aca="false">B68</f>
        <v>0.0075</v>
      </c>
      <c r="C231" s="310" t="s">
        <v>202</v>
      </c>
      <c r="D231" s="317"/>
      <c r="E231" s="352" t="n">
        <f aca="false">B69</f>
        <v>0.12</v>
      </c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8.75" hidden="false" customHeight="true" outlineLevel="0" collapsed="false">
      <c r="A232" s="316"/>
      <c r="B232" s="356"/>
      <c r="C232" s="310" t="s">
        <v>203</v>
      </c>
      <c r="D232" s="317"/>
      <c r="E232" s="20" t="n">
        <f aca="false">B86</f>
        <v>305.891161940638</v>
      </c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18.75" hidden="false" customHeight="true" outlineLevel="0" collapsed="false">
      <c r="A233" s="316" t="s">
        <v>204</v>
      </c>
      <c r="B233" s="60" t="n">
        <f aca="false">B79</f>
        <v>200</v>
      </c>
      <c r="C233" s="358" t="s">
        <v>311</v>
      </c>
      <c r="D233" s="359"/>
      <c r="E233" s="150" t="n">
        <f aca="false">B74</f>
        <v>165</v>
      </c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18.75" hidden="false" customHeight="true" outlineLevel="0" collapsed="false">
      <c r="A234" s="350"/>
      <c r="B234" s="313"/>
      <c r="C234" s="358"/>
      <c r="D234" s="360"/>
      <c r="E234" s="361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18.75" hidden="false" customHeight="true" outlineLevel="0" collapsed="false">
      <c r="A235" s="70" t="s">
        <v>205</v>
      </c>
      <c r="B235" s="60" t="n">
        <f aca="false">B80</f>
        <v>200</v>
      </c>
      <c r="C235" s="362" t="s">
        <v>312</v>
      </c>
      <c r="D235" s="362"/>
      <c r="E235" s="150" t="n">
        <f aca="false">B75</f>
        <v>355</v>
      </c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18.75" hidden="false" customHeight="true" outlineLevel="0" collapsed="false">
      <c r="A236" s="291"/>
      <c r="B236" s="292"/>
      <c r="C236" s="292"/>
      <c r="D236" s="292"/>
      <c r="E236" s="293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18.75" hidden="false" customHeight="true" outlineLevel="0" collapsed="false">
      <c r="A237" s="291"/>
      <c r="B237" s="292"/>
      <c r="C237" s="292"/>
      <c r="D237" s="292"/>
      <c r="E237" s="293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18.75" hidden="false" customHeight="true" outlineLevel="0" collapsed="false">
      <c r="A238" s="70"/>
      <c r="B238" s="201"/>
      <c r="C238" s="201"/>
      <c r="D238" s="201"/>
      <c r="E238" s="177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18.75" hidden="false" customHeight="true" outlineLevel="0" collapsed="false">
      <c r="A239" s="291"/>
      <c r="B239" s="292"/>
      <c r="C239" s="292"/>
      <c r="D239" s="292"/>
      <c r="E239" s="293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18.75" hidden="false" customHeight="true" outlineLevel="0" collapsed="false">
      <c r="A240" s="291"/>
      <c r="B240" s="292"/>
      <c r="C240" s="292"/>
      <c r="D240" s="292"/>
      <c r="E240" s="293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18.75" hidden="false" customHeight="true" outlineLevel="0" collapsed="false">
      <c r="A241" s="70"/>
      <c r="B241" s="201"/>
      <c r="C241" s="292"/>
      <c r="D241" s="292"/>
      <c r="E241" s="293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18.75" hidden="false" customHeight="true" outlineLevel="0" collapsed="false">
      <c r="A242" s="342"/>
      <c r="B242" s="343"/>
      <c r="C242" s="343"/>
      <c r="D242" s="343"/>
      <c r="E242" s="344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18.75" hidden="false" customHeight="tru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18.75" hidden="false" customHeight="tru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18.75" hidden="false" customHeight="tru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18.75" hidden="false" customHeight="tru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18.75" hidden="false" customHeight="tru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18.75" hidden="false" customHeight="tru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18.75" hidden="false" customHeight="tru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18.75" hidden="false" customHeight="tru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18.75" hidden="false" customHeight="tru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18.75" hidden="false" customHeight="tru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18.75" hidden="false" customHeight="tru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18.75" hidden="false" customHeight="tru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18.75" hidden="false" customHeight="tru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18.75" hidden="false" customHeight="tru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18.75" hidden="false" customHeight="tru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18.75" hidden="false" customHeight="tru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18.75" hidden="false" customHeight="tru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18.75" hidden="false" customHeight="tru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18.75" hidden="false" customHeight="tru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18.75" hidden="false" customHeight="tru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18.75" hidden="false" customHeight="tru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18.75" hidden="false" customHeight="tru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18.75" hidden="false" customHeight="tru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18.75" hidden="false" customHeight="tru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18.75" hidden="false" customHeight="tru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18.75" hidden="false" customHeight="tru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18.75" hidden="false" customHeight="tru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18.75" hidden="false" customHeight="tru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18.75" hidden="false" customHeight="tru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18.75" hidden="false" customHeight="tru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18.75" hidden="false" customHeight="tru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18.75" hidden="false" customHeight="tru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18.75" hidden="false" customHeight="tru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18.75" hidden="false" customHeight="tru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18.75" hidden="false" customHeight="tru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18.75" hidden="false" customHeight="tru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18.75" hidden="false" customHeight="tru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18.75" hidden="false" customHeight="tru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18.75" hidden="false" customHeight="tru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18.75" hidden="false" customHeight="tru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18.75" hidden="false" customHeight="tru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18.75" hidden="false" customHeight="tru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18.75" hidden="false" customHeight="tru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18.75" hidden="false" customHeight="tru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18.75" hidden="false" customHeight="tru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18.75" hidden="false" customHeight="tru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18.75" hidden="false" customHeight="tru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18.75" hidden="false" customHeight="tru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18.75" hidden="false" customHeight="tru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18.75" hidden="false" customHeight="tru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18.75" hidden="false" customHeight="tru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18.75" hidden="false" customHeight="tru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18.75" hidden="false" customHeight="tru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18.75" hidden="false" customHeight="tru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18.75" hidden="false" customHeight="tru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18.75" hidden="false" customHeight="tru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18.75" hidden="false" customHeight="tru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18.75" hidden="false" customHeight="tru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18.75" hidden="false" customHeight="tru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18.75" hidden="false" customHeight="tru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18.75" hidden="false" customHeight="tru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18.75" hidden="false" customHeight="tru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18.75" hidden="false" customHeight="tru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18.75" hidden="false" customHeight="tru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18.75" hidden="false" customHeight="tru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18.75" hidden="false" customHeight="tru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18.75" hidden="false" customHeight="tru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18.75" hidden="false" customHeight="tru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18.75" hidden="false" customHeight="tru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18.75" hidden="false" customHeight="tru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18.75" hidden="false" customHeight="tru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18.75" hidden="false" customHeight="tru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18.75" hidden="false" customHeight="tru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18.75" hidden="false" customHeight="tru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18.75" hidden="false" customHeight="tru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18.75" hidden="false" customHeight="tru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18.75" hidden="false" customHeight="tru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18.75" hidden="false" customHeight="tru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18.75" hidden="false" customHeight="tru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18.75" hidden="false" customHeight="tru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18.75" hidden="false" customHeight="tru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18.75" hidden="false" customHeight="tru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18.75" hidden="false" customHeight="tru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18.75" hidden="false" customHeight="tru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18.75" hidden="false" customHeight="tru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18.75" hidden="false" customHeight="tru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18.75" hidden="false" customHeight="tru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18.75" hidden="false" customHeight="tru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18.75" hidden="false" customHeight="tru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18.75" hidden="false" customHeight="tru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18.75" hidden="false" customHeight="tru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18.75" hidden="false" customHeight="tru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18.75" hidden="false" customHeight="tru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18.75" hidden="false" customHeight="tru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18.75" hidden="false" customHeight="tru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18.75" hidden="false" customHeight="tru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18.75" hidden="false" customHeight="tru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18.75" hidden="false" customHeight="tru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18.75" hidden="false" customHeight="tru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18.75" hidden="false" customHeight="tru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18.75" hidden="false" customHeight="tru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18.75" hidden="false" customHeight="tru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18.75" hidden="false" customHeight="tru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18.75" hidden="false" customHeight="tru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18.75" hidden="false" customHeight="tru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18.75" hidden="false" customHeight="tru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18.75" hidden="false" customHeight="tru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18.75" hidden="false" customHeight="tru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18.75" hidden="false" customHeight="tru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18.75" hidden="false" customHeight="tru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18.75" hidden="false" customHeight="true" outlineLevel="0" collapsed="false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customFormat="false" ht="18.75" hidden="false" customHeight="true" outlineLevel="0" collapsed="false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customFormat="false" ht="18.75" hidden="false" customHeight="tru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customFormat="false" ht="18.75" hidden="false" customHeight="true" outlineLevel="0" collapsed="false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customFormat="false" ht="18.75" hidden="false" customHeight="true" outlineLevel="0" collapsed="false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7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operator="between" showDropDown="false" showErrorMessage="true" showInputMessage="false" sqref="H99 N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B99" type="list">
      <formula1>'Formula1-BCH'!$Y$97:$Y$105</formula1>
      <formula2>0</formula2>
    </dataValidation>
    <dataValidation allowBlank="true" operator="between" showDropDown="false" showErrorMessage="true" showInputMessage="false" sqref="B26" type="list">
      <formula1>'Formula1-BCH'!$I$3:$I$4</formula1>
      <formula2>0</formula2>
    </dataValidation>
    <dataValidation allowBlank="true" operator="between" showDropDown="false" showErrorMessage="true" showInputMessage="false" sqref="A105 B110" type="list">
      <formula1>'Formula1-BCH'!$I$3:$I$4</formula1>
      <formula2>0</formula2>
    </dataValidation>
    <dataValidation allowBlank="true" operator="between" showDropDown="false" showErrorMessage="true" showInputMessage="false" sqref="A18:A20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12" colorId="64" zoomScale="75" zoomScaleNormal="75" zoomScalePageLayoutView="100" workbookViewId="0">
      <selection pane="topLeft" activeCell="G124" activeCellId="0" sqref="G124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6" customWidth="true" hidden="false" style="1" width="18.88" collapsed="false" outlineLevel="0"/>
    <col min="7" max="7" customWidth="true" hidden="false" style="1" width="23.13" collapsed="false" outlineLevel="0"/>
    <col min="8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4" t="s">
        <v>324</v>
      </c>
      <c r="B1" s="4"/>
      <c r="C1" s="4"/>
      <c r="D1" s="4"/>
      <c r="E1" s="4"/>
      <c r="F1" s="4"/>
      <c r="G1" s="4"/>
      <c r="H1" s="4"/>
      <c r="I1" s="2"/>
      <c r="J1" s="2"/>
    </row>
    <row r="2" customFormat="false" ht="19.7" hidden="false" customHeight="false" outlineLevel="0" collapsed="false">
      <c r="A2" s="99"/>
      <c r="B2" s="8" t="s">
        <v>115</v>
      </c>
      <c r="C2" s="8"/>
      <c r="D2" s="8" t="s">
        <v>116</v>
      </c>
      <c r="E2" s="8"/>
      <c r="F2" s="8" t="s">
        <v>117</v>
      </c>
      <c r="G2" s="8"/>
      <c r="H2" s="9" t="s">
        <v>118</v>
      </c>
      <c r="I2" s="2"/>
      <c r="J2" s="2"/>
    </row>
    <row r="3" customFormat="false" ht="17.35" hidden="false" customHeight="false" outlineLevel="0" collapsed="false">
      <c r="A3" s="55" t="s">
        <v>121</v>
      </c>
      <c r="B3" s="13" t="n">
        <v>46854.17</v>
      </c>
      <c r="C3" s="13" t="n">
        <v>0</v>
      </c>
      <c r="D3" s="13" t="n">
        <v>0</v>
      </c>
      <c r="E3" s="13"/>
      <c r="F3" s="13" t="n">
        <v>833.33</v>
      </c>
      <c r="G3" s="13"/>
      <c r="H3" s="14" t="n">
        <v>0</v>
      </c>
      <c r="I3" s="2"/>
      <c r="J3" s="2"/>
    </row>
    <row r="4" customFormat="false" ht="17.35" hidden="false" customHeight="false" outlineLevel="0" collapsed="false">
      <c r="A4" s="55" t="s">
        <v>122</v>
      </c>
      <c r="B4" s="17" t="n">
        <v>0</v>
      </c>
      <c r="C4" s="17" t="n">
        <v>0</v>
      </c>
      <c r="D4" s="17" t="n">
        <v>0</v>
      </c>
      <c r="E4" s="17"/>
      <c r="F4" s="17" t="n">
        <v>0</v>
      </c>
      <c r="G4" s="17"/>
      <c r="H4" s="18"/>
      <c r="I4" s="2"/>
      <c r="J4" s="2"/>
    </row>
    <row r="5" customFormat="false" ht="17.35" hidden="false" customHeight="false" outlineLevel="0" collapsed="false">
      <c r="A5" s="55" t="s">
        <v>123</v>
      </c>
      <c r="B5" s="13" t="n">
        <v>0</v>
      </c>
      <c r="C5" s="13" t="n">
        <v>0</v>
      </c>
      <c r="D5" s="13" t="n">
        <v>0</v>
      </c>
      <c r="E5" s="13"/>
      <c r="F5" s="13" t="n">
        <v>0</v>
      </c>
      <c r="G5" s="13"/>
      <c r="H5" s="20"/>
      <c r="I5" s="2"/>
      <c r="J5" s="2"/>
    </row>
    <row r="6" customFormat="false" ht="17.35" hidden="false" customHeight="false" outlineLevel="0" collapsed="false">
      <c r="A6" s="55" t="s">
        <v>124</v>
      </c>
      <c r="B6" s="21" t="n">
        <f aca="false">(B3*B4/100)+B5</f>
        <v>0</v>
      </c>
      <c r="C6" s="21" t="n">
        <f aca="false">(C3*C4/100)+C5</f>
        <v>0</v>
      </c>
      <c r="D6" s="21" t="n">
        <f aca="false">(D3*D4/100)+D5</f>
        <v>0</v>
      </c>
      <c r="E6" s="21"/>
      <c r="F6" s="21" t="n">
        <f aca="false">(F3*F4/100)+F5</f>
        <v>0</v>
      </c>
      <c r="G6" s="21"/>
      <c r="H6" s="20"/>
      <c r="I6" s="2"/>
      <c r="J6" s="2"/>
    </row>
    <row r="7" customFormat="false" ht="17.35" hidden="false" customHeight="false" outlineLevel="0" collapsed="false">
      <c r="A7" s="55" t="s">
        <v>125</v>
      </c>
      <c r="B7" s="21" t="n">
        <f aca="false">B3-B6</f>
        <v>46854.17</v>
      </c>
      <c r="C7" s="21" t="n">
        <f aca="false">C3-C6</f>
        <v>0</v>
      </c>
      <c r="D7" s="21" t="n">
        <f aca="false">D3-D6</f>
        <v>0</v>
      </c>
      <c r="E7" s="21"/>
      <c r="F7" s="21" t="n">
        <f aca="false">F3-F6</f>
        <v>833.33</v>
      </c>
      <c r="G7" s="21"/>
      <c r="H7" s="20"/>
      <c r="I7" s="2"/>
      <c r="J7" s="2"/>
    </row>
    <row r="8" customFormat="false" ht="17.35" hidden="false" customHeight="false" outlineLevel="0" collapsed="false">
      <c r="A8" s="55"/>
      <c r="B8" s="25"/>
      <c r="C8" s="25"/>
      <c r="D8" s="25"/>
      <c r="E8" s="25"/>
      <c r="F8" s="25"/>
      <c r="G8" s="25"/>
      <c r="H8" s="20"/>
      <c r="I8" s="2"/>
      <c r="J8" s="2"/>
      <c r="L8" s="26" t="s">
        <v>3</v>
      </c>
      <c r="M8" s="27" t="n">
        <f aca="false">H13+H14</f>
        <v>640</v>
      </c>
    </row>
    <row r="9" customFormat="false" ht="19.7" hidden="false" customHeight="false" outlineLevel="0" collapsed="false">
      <c r="A9" s="153" t="s">
        <v>133</v>
      </c>
      <c r="B9" s="153"/>
      <c r="C9" s="153"/>
      <c r="D9" s="153"/>
      <c r="E9" s="153" t="n">
        <f aca="false">(B7+C7+D7+E3)</f>
        <v>46854.17</v>
      </c>
      <c r="F9" s="153"/>
      <c r="G9" s="29"/>
      <c r="H9" s="30" t="n">
        <f aca="false">B7+D7+F7+H3</f>
        <v>47687.5</v>
      </c>
      <c r="I9" s="2"/>
      <c r="J9" s="2"/>
      <c r="L9" s="27"/>
      <c r="M9" s="27"/>
    </row>
    <row r="10" customFormat="false" ht="17.35" hidden="false" customHeight="false" outlineLevel="0" collapsed="false">
      <c r="A10" s="155" t="s">
        <v>134</v>
      </c>
      <c r="B10" s="155"/>
      <c r="C10" s="155"/>
      <c r="D10" s="155"/>
      <c r="E10" s="155" t="n">
        <v>50</v>
      </c>
      <c r="F10" s="155"/>
      <c r="G10" s="21"/>
      <c r="H10" s="14" t="n">
        <v>550</v>
      </c>
      <c r="I10" s="2"/>
      <c r="J10" s="2"/>
      <c r="L10" s="32" t="s">
        <v>1</v>
      </c>
      <c r="M10" s="27" t="n">
        <f aca="false">H15-H11-M8</f>
        <v>48237.5</v>
      </c>
    </row>
    <row r="11" customFormat="false" ht="17.35" hidden="false" customHeight="false" outlineLevel="0" collapsed="false">
      <c r="A11" s="155" t="s">
        <v>135</v>
      </c>
      <c r="B11" s="155"/>
      <c r="C11" s="155"/>
      <c r="D11" s="155"/>
      <c r="E11" s="155"/>
      <c r="F11" s="155"/>
      <c r="G11" s="21"/>
      <c r="H11" s="20" t="n">
        <f aca="false">(H9+H10)*20%</f>
        <v>9647.5</v>
      </c>
      <c r="I11" s="2"/>
      <c r="J11" s="2"/>
      <c r="L11" s="27"/>
      <c r="M11" s="27"/>
    </row>
    <row r="12" customFormat="false" ht="17.35" hidden="false" customHeight="false" outlineLevel="0" collapsed="false">
      <c r="A12" s="155" t="s">
        <v>136</v>
      </c>
      <c r="B12" s="155"/>
      <c r="C12" s="155"/>
      <c r="D12" s="155"/>
      <c r="E12" s="155"/>
      <c r="F12" s="155"/>
      <c r="G12" s="21"/>
      <c r="H12" s="14" t="n">
        <v>0</v>
      </c>
      <c r="I12" s="2"/>
      <c r="J12" s="2"/>
    </row>
    <row r="13" customFormat="false" ht="17.35" hidden="false" customHeight="false" outlineLevel="0" collapsed="false">
      <c r="A13" s="155" t="s">
        <v>137</v>
      </c>
      <c r="B13" s="155"/>
      <c r="C13" s="155"/>
      <c r="D13" s="155"/>
      <c r="E13" s="155" t="n">
        <v>585</v>
      </c>
      <c r="F13" s="155"/>
      <c r="G13" s="21"/>
      <c r="H13" s="14" t="n">
        <v>585</v>
      </c>
      <c r="I13" s="2"/>
      <c r="J13" s="2"/>
    </row>
    <row r="14" customFormat="false" ht="17.35" hidden="false" customHeight="false" outlineLevel="0" collapsed="false">
      <c r="A14" s="155" t="s">
        <v>138</v>
      </c>
      <c r="B14" s="155"/>
      <c r="C14" s="155"/>
      <c r="D14" s="155"/>
      <c r="E14" s="155" t="n">
        <v>55</v>
      </c>
      <c r="F14" s="155"/>
      <c r="G14" s="21"/>
      <c r="H14" s="14" t="n">
        <v>55</v>
      </c>
      <c r="I14" s="2"/>
      <c r="J14" s="2" t="s">
        <v>13</v>
      </c>
    </row>
    <row r="15" customFormat="false" ht="17.35" hidden="false" customHeight="false" outlineLevel="0" collapsed="false">
      <c r="A15" s="155" t="s">
        <v>139</v>
      </c>
      <c r="B15" s="155"/>
      <c r="C15" s="155"/>
      <c r="D15" s="155"/>
      <c r="E15" s="155"/>
      <c r="F15" s="155"/>
      <c r="G15" s="21"/>
      <c r="H15" s="33" t="n">
        <f aca="false">(H9+H10+H13+H14+H11)-H12</f>
        <v>58525</v>
      </c>
      <c r="I15" s="2"/>
      <c r="J15" s="34" t="n">
        <f aca="false">H15</f>
        <v>58525</v>
      </c>
    </row>
    <row r="16" customFormat="false" ht="17.35" hidden="false" customHeight="false" outlineLevel="0" collapsed="false">
      <c r="A16" s="155" t="s">
        <v>140</v>
      </c>
      <c r="B16" s="155"/>
      <c r="C16" s="155"/>
      <c r="D16" s="155"/>
      <c r="E16" s="155" t="n">
        <v>120</v>
      </c>
      <c r="F16" s="155"/>
      <c r="G16" s="21"/>
      <c r="H16" s="14" t="n">
        <v>0</v>
      </c>
      <c r="I16" s="2"/>
      <c r="J16" s="2"/>
      <c r="Y16" s="36" t="s">
        <v>15</v>
      </c>
    </row>
    <row r="17" customFormat="false" ht="17.35" hidden="false" customHeight="false" outlineLevel="0" collapsed="false">
      <c r="A17" s="70" t="s">
        <v>141</v>
      </c>
      <c r="B17" s="70"/>
      <c r="C17" s="70"/>
      <c r="D17" s="70"/>
      <c r="E17" s="70"/>
      <c r="F17" s="70"/>
      <c r="G17" s="37"/>
      <c r="H17" s="20"/>
      <c r="I17" s="2"/>
      <c r="J17" s="2" t="s">
        <v>16</v>
      </c>
      <c r="Y17" s="36" t="s">
        <v>17</v>
      </c>
    </row>
    <row r="18" customFormat="false" ht="17.35" hidden="false" customHeight="false" outlineLevel="0" collapsed="false">
      <c r="A18" s="158" t="s">
        <v>15</v>
      </c>
      <c r="B18" s="159" t="s">
        <v>142</v>
      </c>
      <c r="C18" s="159"/>
      <c r="D18" s="159"/>
      <c r="E18" s="159"/>
      <c r="F18" s="159"/>
      <c r="G18" s="38"/>
      <c r="H18" s="39" t="n">
        <v>0</v>
      </c>
      <c r="I18" s="2"/>
      <c r="J18" s="34" t="n">
        <f aca="false">(B3+D3+F3+H3+H10)*1.2</f>
        <v>57885</v>
      </c>
      <c r="Y18" s="36" t="s">
        <v>18</v>
      </c>
    </row>
    <row r="19" customFormat="false" ht="17.35" hidden="false" customHeight="false" outlineLevel="0" collapsed="false">
      <c r="A19" s="158" t="s">
        <v>17</v>
      </c>
      <c r="B19" s="159" t="s">
        <v>142</v>
      </c>
      <c r="C19" s="159"/>
      <c r="D19" s="159"/>
      <c r="E19" s="159"/>
      <c r="F19" s="159"/>
      <c r="G19" s="38"/>
      <c r="H19" s="39" t="n">
        <v>0</v>
      </c>
      <c r="I19" s="2"/>
      <c r="J19" s="2"/>
      <c r="Z19" s="2" t="s">
        <v>9</v>
      </c>
    </row>
    <row r="20" customFormat="false" ht="17.35" hidden="false" customHeight="false" outlineLevel="0" collapsed="false">
      <c r="A20" s="158" t="s">
        <v>18</v>
      </c>
      <c r="B20" s="159" t="s">
        <v>142</v>
      </c>
      <c r="C20" s="159"/>
      <c r="D20" s="159"/>
      <c r="E20" s="159"/>
      <c r="F20" s="159"/>
      <c r="G20" s="38"/>
      <c r="H20" s="39" t="n">
        <v>0</v>
      </c>
      <c r="I20" s="2"/>
      <c r="J20" s="2"/>
      <c r="Z20" s="2" t="s">
        <v>10</v>
      </c>
    </row>
    <row r="21" customFormat="false" ht="19.7" hidden="false" customHeight="false" outlineLevel="0" collapsed="false">
      <c r="A21" s="449" t="s">
        <v>143</v>
      </c>
      <c r="B21" s="449"/>
      <c r="C21" s="449"/>
      <c r="D21" s="449"/>
      <c r="E21" s="449"/>
      <c r="F21" s="449"/>
      <c r="G21" s="43"/>
      <c r="H21" s="44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45"/>
      <c r="B22" s="45"/>
      <c r="C22" s="45"/>
      <c r="D22" s="45"/>
      <c r="E22" s="45"/>
      <c r="F22" s="45"/>
      <c r="G22" s="45"/>
      <c r="H22" s="45"/>
      <c r="J22" s="2"/>
      <c r="K22" s="2"/>
      <c r="P22" s="46"/>
    </row>
    <row r="23" customFormat="false" ht="17.35" hidden="false" customHeight="false" outlineLevel="0" collapsed="false">
      <c r="A23" s="45"/>
      <c r="B23" s="45"/>
      <c r="C23" s="45"/>
      <c r="D23" s="45"/>
      <c r="E23" s="45"/>
      <c r="F23" s="45"/>
      <c r="G23" s="45"/>
      <c r="H23" s="45"/>
      <c r="J23" s="2"/>
      <c r="K23" s="2"/>
      <c r="P23" s="46"/>
    </row>
    <row r="24" customFormat="false" ht="46.5" hidden="false" customHeight="true" outlineLevel="0" collapsed="false">
      <c r="A24" s="208" t="s">
        <v>208</v>
      </c>
      <c r="B24" s="208"/>
      <c r="C24" s="208"/>
      <c r="D24" s="208"/>
      <c r="E24" s="208"/>
      <c r="F24" s="19"/>
      <c r="G24" s="19"/>
      <c r="H24" s="19"/>
      <c r="I24" s="0"/>
      <c r="J24" s="0"/>
      <c r="K24" s="0"/>
      <c r="P24" s="46"/>
    </row>
    <row r="25" customFormat="false" ht="17.35" hidden="false" customHeight="false" outlineLevel="0" collapsed="false">
      <c r="A25" s="209"/>
      <c r="B25" s="207"/>
      <c r="C25" s="207"/>
      <c r="D25" s="207"/>
      <c r="E25" s="210"/>
      <c r="F25" s="19"/>
      <c r="G25" s="19"/>
      <c r="H25" s="19"/>
      <c r="I25" s="0"/>
      <c r="J25" s="0"/>
      <c r="K25" s="0"/>
      <c r="P25" s="46"/>
    </row>
    <row r="26" customFormat="false" ht="22.05" hidden="false" customHeight="false" outlineLevel="0" collapsed="false">
      <c r="A26" s="211" t="s">
        <v>209</v>
      </c>
      <c r="B26" s="211"/>
      <c r="C26" s="211"/>
      <c r="D26" s="211"/>
      <c r="E26" s="211"/>
      <c r="F26" s="19"/>
      <c r="G26" s="212"/>
      <c r="H26" s="212"/>
      <c r="I26" s="0"/>
      <c r="J26" s="0"/>
      <c r="K26" s="0"/>
      <c r="P26" s="46"/>
    </row>
    <row r="27" customFormat="false" ht="17.35" hidden="false" customHeight="false" outlineLevel="0" collapsed="false">
      <c r="A27" s="209"/>
      <c r="B27" s="207"/>
      <c r="C27" s="207"/>
      <c r="D27" s="207"/>
      <c r="E27" s="210"/>
      <c r="F27" s="19"/>
      <c r="G27" s="213" t="s">
        <v>46</v>
      </c>
      <c r="H27" s="213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6"/>
    </row>
    <row r="28" customFormat="false" ht="31.8" hidden="false" customHeight="false" outlineLevel="0" collapsed="false">
      <c r="A28" s="214" t="s">
        <v>210</v>
      </c>
      <c r="B28" s="215" t="s">
        <v>211</v>
      </c>
      <c r="C28" s="207"/>
      <c r="D28" s="215" t="s">
        <v>212</v>
      </c>
      <c r="E28" s="210"/>
      <c r="F28" s="19"/>
      <c r="G28" s="213" t="s">
        <v>60</v>
      </c>
      <c r="H28" s="213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6"/>
    </row>
    <row r="29" customFormat="false" ht="17.35" hidden="false" customHeight="false" outlineLevel="0" collapsed="false">
      <c r="A29" s="216" t="s">
        <v>213</v>
      </c>
      <c r="B29" s="217" t="n">
        <v>12345</v>
      </c>
      <c r="C29" s="217"/>
      <c r="D29" s="218" t="n">
        <f aca="true">TODAY()+1</f>
        <v>45008</v>
      </c>
      <c r="E29" s="218"/>
      <c r="F29" s="19"/>
      <c r="G29" s="212" t="s">
        <v>214</v>
      </c>
      <c r="H29" s="212" t="str">
        <f aca="false">B35</f>
        <v>33</v>
      </c>
      <c r="I29" s="0"/>
      <c r="J29" s="0"/>
      <c r="K29" s="0"/>
      <c r="P29" s="46"/>
    </row>
    <row r="30" customFormat="false" ht="17.35" hidden="false" customHeight="false" outlineLevel="0" collapsed="false">
      <c r="A30" s="209"/>
      <c r="B30" s="21"/>
      <c r="C30" s="21"/>
      <c r="D30" s="207"/>
      <c r="E30" s="210"/>
      <c r="F30" s="19"/>
      <c r="G30" s="212" t="s">
        <v>31</v>
      </c>
      <c r="H30" s="212" t="str">
        <f aca="false">D35</f>
        <v>5000</v>
      </c>
      <c r="I30" s="0"/>
      <c r="J30" s="0"/>
      <c r="K30" s="0"/>
      <c r="P30" s="46"/>
    </row>
    <row r="31" customFormat="false" ht="31.8" hidden="false" customHeight="false" outlineLevel="0" collapsed="false">
      <c r="A31" s="214" t="s">
        <v>23</v>
      </c>
      <c r="B31" s="215" t="s">
        <v>215</v>
      </c>
      <c r="C31" s="207"/>
      <c r="D31" s="215" t="s">
        <v>216</v>
      </c>
      <c r="E31" s="210"/>
      <c r="F31" s="19"/>
      <c r="G31" s="212" t="s">
        <v>217</v>
      </c>
      <c r="H31" s="219" t="str">
        <f aca="false">D38</f>
        <v>500</v>
      </c>
      <c r="I31" s="0"/>
      <c r="J31" s="0"/>
      <c r="K31" s="0"/>
      <c r="P31" s="46"/>
    </row>
    <row r="32" customFormat="false" ht="17.35" hidden="false" customHeight="false" outlineLevel="0" collapsed="false">
      <c r="A32" s="216" t="s">
        <v>100</v>
      </c>
      <c r="B32" s="220" t="str">
        <f aca="false">IF(A32=Z103,D38,IF(A32=Z104,D38,IF(A32=Z105,(D38*3),IF(A32=Z106,(D38*6),IF(A32=Z107,(D38*9),IF(A32=Z108,(D38*12),IF(A32=Z109,D38,IF(A32=Z110,D38,IF(A32=Z111,D38,0)))))))))</f>
        <v>500</v>
      </c>
      <c r="C32" s="220"/>
      <c r="D32" s="220" t="n">
        <f aca="false">IF(A32=Z103,A41,IF(A32=Z104,A41,IF(A32=Z105,(A41*3),IF(A32=Z106,(A41*6),IF(A32=Z107,(A41*9),IF(A32=Z108,(A41*12),IF(A32=Z109,A41,IF(A32=Z110,A41,IF(A32=Z111,A41,0)))))))))</f>
        <v>14.2424242424242</v>
      </c>
      <c r="E32" s="220"/>
      <c r="F32" s="19"/>
      <c r="G32" s="221" t="s">
        <v>218</v>
      </c>
      <c r="H32" s="219" t="n">
        <f aca="false">A41</f>
        <v>14.2424242424242</v>
      </c>
      <c r="I32" s="0"/>
      <c r="J32" s="481" t="s">
        <v>365</v>
      </c>
      <c r="K32" s="482" t="s">
        <v>366</v>
      </c>
      <c r="P32" s="46"/>
    </row>
    <row r="33" customFormat="false" ht="17.35" hidden="false" customHeight="false" outlineLevel="0" collapsed="false">
      <c r="A33" s="222"/>
      <c r="B33" s="174"/>
      <c r="C33" s="223"/>
      <c r="D33" s="176"/>
      <c r="E33" s="210"/>
      <c r="F33" s="19"/>
      <c r="G33" s="221" t="s">
        <v>219</v>
      </c>
      <c r="H33" s="219" t="n">
        <f aca="false">D41</f>
        <v>6000</v>
      </c>
      <c r="I33" s="0"/>
      <c r="J33" s="481"/>
      <c r="K33" s="483"/>
      <c r="P33" s="46"/>
    </row>
    <row r="34" customFormat="false" ht="17.35" hidden="false" customHeight="false" outlineLevel="0" collapsed="false">
      <c r="A34" s="222" t="s">
        <v>220</v>
      </c>
      <c r="B34" s="224" t="s">
        <v>221</v>
      </c>
      <c r="C34" s="223"/>
      <c r="D34" s="64" t="s">
        <v>175</v>
      </c>
      <c r="E34" s="210"/>
      <c r="F34" s="19"/>
      <c r="G34" s="221" t="s">
        <v>222</v>
      </c>
      <c r="H34" s="219" t="str">
        <f aca="false">A44</f>
        <v>12</v>
      </c>
      <c r="I34" s="0"/>
      <c r="J34" s="481" t="s">
        <v>367</v>
      </c>
      <c r="K34" s="484" t="s">
        <v>328</v>
      </c>
      <c r="P34" s="46"/>
    </row>
    <row r="35" customFormat="false" ht="17.35" hidden="false" customHeight="false" outlineLevel="0" collapsed="false">
      <c r="A35" s="220" t="n">
        <f aca="false">B32+D32</f>
        <v>514.242424242424</v>
      </c>
      <c r="B35" s="217" t="s">
        <v>356</v>
      </c>
      <c r="C35" s="217"/>
      <c r="D35" s="217" t="s">
        <v>326</v>
      </c>
      <c r="E35" s="217"/>
      <c r="F35" s="19"/>
      <c r="G35" s="225"/>
      <c r="H35" s="226"/>
      <c r="I35" s="0"/>
      <c r="J35" s="481"/>
      <c r="K35" s="483" t="n">
        <v>0.065</v>
      </c>
      <c r="P35" s="46"/>
    </row>
    <row r="36" customFormat="false" ht="17.35" hidden="false" customHeight="false" outlineLevel="0" collapsed="false">
      <c r="A36" s="209"/>
      <c r="B36" s="207"/>
      <c r="C36" s="207"/>
      <c r="D36" s="207"/>
      <c r="E36" s="210"/>
      <c r="F36" s="19"/>
      <c r="G36" s="19" t="s">
        <v>361</v>
      </c>
      <c r="H36" s="455" t="s">
        <v>362</v>
      </c>
      <c r="I36" s="0"/>
      <c r="J36" s="481" t="s">
        <v>368</v>
      </c>
      <c r="K36" s="485" t="n">
        <f aca="false">K32-K34</f>
        <v>47877.5</v>
      </c>
      <c r="P36" s="46"/>
    </row>
    <row r="37" customFormat="false" ht="17.35" hidden="false" customHeight="false" outlineLevel="0" collapsed="false">
      <c r="A37" s="214" t="s">
        <v>223</v>
      </c>
      <c r="B37" s="215" t="s">
        <v>224</v>
      </c>
      <c r="C37" s="207"/>
      <c r="D37" s="215" t="s">
        <v>225</v>
      </c>
      <c r="E37" s="210"/>
      <c r="F37" s="19"/>
      <c r="G37" s="19"/>
      <c r="H37" s="19"/>
      <c r="I37" s="0"/>
      <c r="J37" s="0"/>
      <c r="K37" s="0"/>
      <c r="P37" s="46"/>
    </row>
    <row r="38" customFormat="false" ht="17.35" hidden="false" customHeight="false" outlineLevel="0" collapsed="false">
      <c r="A38" s="227" t="n">
        <f aca="false">(B35/12)*D35</f>
        <v>13750</v>
      </c>
      <c r="B38" s="217" t="s">
        <v>9</v>
      </c>
      <c r="C38" s="217"/>
      <c r="D38" s="60" t="s">
        <v>226</v>
      </c>
      <c r="E38" s="60"/>
      <c r="F38" s="19"/>
      <c r="G38" s="19"/>
      <c r="H38" s="19"/>
      <c r="I38" s="0"/>
      <c r="J38" s="486"/>
      <c r="K38" s="486"/>
      <c r="L38" s="2"/>
      <c r="N38" s="1" t="n">
        <f aca="false">80.88*36</f>
        <v>2911.68</v>
      </c>
      <c r="P38" s="46"/>
    </row>
    <row r="39" customFormat="false" ht="17.35" hidden="false" customHeight="false" outlineLevel="0" collapsed="false">
      <c r="A39" s="229"/>
      <c r="B39" s="223"/>
      <c r="C39" s="223"/>
      <c r="D39" s="207"/>
      <c r="E39" s="210"/>
      <c r="F39" s="19"/>
      <c r="G39" s="19"/>
      <c r="H39" s="228"/>
      <c r="I39" s="0"/>
      <c r="J39" s="0"/>
      <c r="K39" s="0"/>
      <c r="L39" s="2"/>
      <c r="N39" s="1" t="n">
        <f aca="false">K39-L39</f>
        <v>0</v>
      </c>
      <c r="P39" s="46"/>
    </row>
    <row r="40" customFormat="false" ht="17.35" hidden="false" customHeight="false" outlineLevel="0" collapsed="false">
      <c r="A40" s="230" t="s">
        <v>227</v>
      </c>
      <c r="B40" s="231" t="s">
        <v>93</v>
      </c>
      <c r="C40" s="223"/>
      <c r="D40" s="232" t="s">
        <v>228</v>
      </c>
      <c r="E40" s="210"/>
      <c r="F40" s="19"/>
      <c r="G40" s="19"/>
      <c r="H40" s="228"/>
      <c r="I40" s="0"/>
      <c r="J40" s="0"/>
      <c r="K40" s="0"/>
      <c r="L40" s="2"/>
      <c r="N40" s="1" t="n">
        <f aca="false">N38-N39</f>
        <v>2911.68</v>
      </c>
      <c r="P40" s="46"/>
    </row>
    <row r="41" customFormat="false" ht="17.35" hidden="false" customHeight="false" outlineLevel="0" collapsed="false">
      <c r="A41" s="60" t="n">
        <f aca="false">H36/B35</f>
        <v>14.2424242424242</v>
      </c>
      <c r="B41" s="233" t="n">
        <f aca="false">IF(B38="YES", D38+A41, D38)</f>
        <v>514.242424242424</v>
      </c>
      <c r="C41" s="233"/>
      <c r="D41" s="60" t="n">
        <v>6000</v>
      </c>
      <c r="E41" s="60"/>
      <c r="F41" s="19"/>
      <c r="G41" s="19"/>
      <c r="H41" s="235"/>
      <c r="J41" s="2"/>
      <c r="K41" s="2"/>
      <c r="L41" s="2"/>
      <c r="P41" s="46"/>
    </row>
    <row r="42" customFormat="false" ht="17.35" hidden="false" customHeight="false" outlineLevel="0" collapsed="false">
      <c r="A42" s="229"/>
      <c r="B42" s="223"/>
      <c r="C42" s="223"/>
      <c r="D42" s="223"/>
      <c r="E42" s="236"/>
      <c r="F42" s="19"/>
      <c r="G42" s="237" t="s">
        <v>42</v>
      </c>
      <c r="H42" s="237"/>
      <c r="J42" s="2"/>
      <c r="K42" s="2"/>
      <c r="L42" s="2"/>
      <c r="P42" s="46"/>
    </row>
    <row r="43" customFormat="false" ht="17.35" hidden="false" customHeight="false" outlineLevel="0" collapsed="false">
      <c r="A43" s="230" t="s">
        <v>111</v>
      </c>
      <c r="B43" s="231" t="s">
        <v>229</v>
      </c>
      <c r="C43" s="223"/>
      <c r="D43" s="231" t="s">
        <v>230</v>
      </c>
      <c r="E43" s="236"/>
      <c r="F43" s="19"/>
      <c r="G43" s="19" t="s">
        <v>231</v>
      </c>
      <c r="H43" s="228" t="n">
        <f aca="false">((((D38*(B35-1))+B32)/B35) + (A44/B35))</f>
        <v>500.363636363636</v>
      </c>
      <c r="J43" s="2"/>
      <c r="K43" s="2"/>
      <c r="L43" s="2"/>
      <c r="P43" s="46"/>
    </row>
    <row r="44" customFormat="false" ht="17.35" hidden="false" customHeight="false" outlineLevel="0" collapsed="false">
      <c r="A44" s="60" t="s">
        <v>232</v>
      </c>
      <c r="B44" s="234" t="n">
        <v>0</v>
      </c>
      <c r="C44" s="234"/>
      <c r="D44" s="234" t="n">
        <v>0</v>
      </c>
      <c r="E44" s="234"/>
      <c r="F44" s="19"/>
      <c r="G44" s="19" t="s">
        <v>233</v>
      </c>
      <c r="H44" s="228" t="n">
        <f aca="false">H32</f>
        <v>14.2424242424242</v>
      </c>
      <c r="J44" s="2"/>
      <c r="K44" s="2"/>
      <c r="L44" s="2"/>
      <c r="P44" s="46"/>
    </row>
    <row r="45" customFormat="false" ht="17.35" hidden="false" customHeight="false" outlineLevel="0" collapsed="false">
      <c r="A45" s="229"/>
      <c r="B45" s="223"/>
      <c r="C45" s="223"/>
      <c r="D45" s="223"/>
      <c r="E45" s="236"/>
      <c r="F45" s="19"/>
      <c r="G45" s="19" t="s">
        <v>234</v>
      </c>
      <c r="H45" s="239" t="n">
        <f aca="false">H43+H44</f>
        <v>514.606060606061</v>
      </c>
      <c r="J45" s="2"/>
      <c r="K45" s="2"/>
      <c r="L45" s="2"/>
      <c r="P45" s="46"/>
    </row>
    <row r="46" customFormat="false" ht="17.35" hidden="false" customHeight="false" outlineLevel="0" collapsed="false">
      <c r="A46" s="230" t="s">
        <v>235</v>
      </c>
      <c r="B46" s="231" t="s">
        <v>236</v>
      </c>
      <c r="C46" s="223"/>
      <c r="D46" s="231" t="s">
        <v>237</v>
      </c>
      <c r="E46" s="236"/>
      <c r="F46" s="19"/>
      <c r="G46" s="19" t="s">
        <v>238</v>
      </c>
      <c r="H46" s="228" t="n">
        <f aca="false">H43</f>
        <v>500.363636363636</v>
      </c>
      <c r="J46" s="2"/>
      <c r="K46" s="2"/>
      <c r="L46" s="2"/>
      <c r="P46" s="46"/>
    </row>
    <row r="47" customFormat="false" ht="17.35" hidden="false" customHeight="false" outlineLevel="0" collapsed="false">
      <c r="A47" s="240" t="n">
        <v>0</v>
      </c>
      <c r="B47" s="241" t="n">
        <v>0</v>
      </c>
      <c r="C47" s="241"/>
      <c r="D47" s="234" t="n">
        <v>0</v>
      </c>
      <c r="E47" s="234"/>
      <c r="F47" s="19"/>
      <c r="G47" s="19"/>
      <c r="H47" s="228"/>
      <c r="J47" s="2"/>
      <c r="K47" s="2"/>
      <c r="L47" s="2"/>
      <c r="P47" s="46"/>
    </row>
    <row r="48" customFormat="false" ht="17.35" hidden="false" customHeight="false" outlineLevel="0" collapsed="false">
      <c r="A48" s="0"/>
      <c r="B48" s="223"/>
      <c r="C48" s="223"/>
      <c r="D48" s="223"/>
      <c r="E48" s="236"/>
      <c r="F48" s="19"/>
      <c r="G48" s="19"/>
      <c r="H48" s="228"/>
      <c r="J48" s="86"/>
      <c r="K48" s="2"/>
      <c r="L48" s="2"/>
      <c r="P48" s="46"/>
    </row>
    <row r="49" customFormat="false" ht="17.35" hidden="false" customHeight="false" outlineLevel="0" collapsed="false">
      <c r="A49" s="229"/>
      <c r="B49" s="223"/>
      <c r="C49" s="223"/>
      <c r="D49" s="223"/>
      <c r="E49" s="236"/>
      <c r="F49" s="19"/>
      <c r="G49" s="19"/>
      <c r="H49" s="228"/>
      <c r="J49" s="2"/>
      <c r="K49" s="2"/>
      <c r="L49" s="2"/>
      <c r="P49" s="46"/>
    </row>
    <row r="50" customFormat="false" ht="17.35" hidden="false" customHeight="false" outlineLevel="0" collapsed="false">
      <c r="A50" s="209"/>
      <c r="B50" s="246"/>
      <c r="C50" s="246"/>
      <c r="D50" s="207"/>
      <c r="E50" s="210"/>
      <c r="F50" s="0"/>
      <c r="G50" s="0"/>
      <c r="H50" s="0"/>
      <c r="I50" s="2"/>
      <c r="J50" s="2"/>
      <c r="K50" s="2"/>
      <c r="P50" s="46"/>
    </row>
    <row r="51" customFormat="false" ht="19.5" hidden="false" customHeight="true" outlineLevel="0" collapsed="false">
      <c r="A51" s="248" t="s">
        <v>28</v>
      </c>
      <c r="B51" s="249" t="s">
        <v>33</v>
      </c>
      <c r="C51" s="249"/>
      <c r="D51" s="207"/>
      <c r="E51" s="210"/>
      <c r="F51" s="0"/>
      <c r="G51" s="0"/>
      <c r="H51" s="0"/>
      <c r="I51" s="2"/>
      <c r="J51" s="2"/>
      <c r="K51" s="2"/>
      <c r="P51" s="46"/>
    </row>
    <row r="52" customFormat="false" ht="17.35" hidden="false" customHeight="false" outlineLevel="0" collapsed="false">
      <c r="A52" s="248"/>
      <c r="B52" s="250" t="str">
        <f aca="false">H30</f>
        <v>5000</v>
      </c>
      <c r="C52" s="250"/>
      <c r="D52" s="487" t="s">
        <v>4</v>
      </c>
      <c r="E52" s="210"/>
      <c r="F52" s="0"/>
      <c r="G52" s="0"/>
      <c r="H52" s="0"/>
      <c r="I52" s="2"/>
      <c r="J52" s="2"/>
      <c r="K52" s="2"/>
      <c r="P52" s="46"/>
    </row>
    <row r="53" customFormat="false" ht="17.35" hidden="false" customHeight="false" outlineLevel="0" collapsed="false">
      <c r="A53" s="251" t="str">
        <f aca="false">H29</f>
        <v>33</v>
      </c>
      <c r="B53" s="92" t="n">
        <f aca="false">H45</f>
        <v>514.606060606061</v>
      </c>
      <c r="C53" s="92"/>
      <c r="D53" s="207"/>
      <c r="E53" s="210"/>
      <c r="F53" s="0"/>
      <c r="G53" s="0"/>
      <c r="H53" s="0"/>
      <c r="I53" s="2"/>
      <c r="J53" s="2"/>
      <c r="K53" s="2"/>
      <c r="P53" s="46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2"/>
      <c r="J54" s="2"/>
      <c r="K54" s="2"/>
      <c r="P54" s="46"/>
    </row>
    <row r="55" customFormat="false" ht="17.35" hidden="false" customHeight="false" outlineLevel="0" collapsed="false">
      <c r="A55" s="45"/>
      <c r="B55" s="45"/>
      <c r="C55" s="45"/>
      <c r="D55" s="45"/>
      <c r="E55" s="45"/>
      <c r="F55" s="45"/>
      <c r="G55" s="45"/>
      <c r="H55" s="45"/>
      <c r="J55" s="2"/>
      <c r="K55" s="2"/>
      <c r="P55" s="46"/>
    </row>
    <row r="56" customFormat="false" ht="17.35" hidden="false" customHeight="false" outlineLevel="0" collapsed="false">
      <c r="A56" s="45"/>
      <c r="B56" s="45"/>
      <c r="C56" s="45"/>
      <c r="D56" s="45"/>
      <c r="E56" s="45"/>
      <c r="F56" s="45"/>
      <c r="G56" s="45"/>
      <c r="H56" s="45"/>
      <c r="J56" s="2"/>
      <c r="K56" s="2"/>
      <c r="P56" s="46"/>
    </row>
    <row r="57" customFormat="false" ht="17.35" hidden="false" customHeight="false" outlineLevel="0" collapsed="false">
      <c r="A57" s="48"/>
      <c r="B57" s="49"/>
      <c r="C57" s="49"/>
      <c r="D57" s="49"/>
      <c r="E57" s="93"/>
      <c r="F57" s="93"/>
      <c r="G57" s="93"/>
      <c r="H57" s="5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55" t="s">
        <v>46</v>
      </c>
      <c r="B58" s="25" t="n">
        <v>1</v>
      </c>
      <c r="C58" s="488"/>
      <c r="D58" s="25"/>
      <c r="E58" s="94"/>
      <c r="F58" s="94"/>
      <c r="G58" s="94"/>
      <c r="H58" s="2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55" t="s">
        <v>60</v>
      </c>
      <c r="B59" s="25" t="n">
        <f aca="false">B35-B58</f>
        <v>32</v>
      </c>
      <c r="C59" s="488"/>
      <c r="D59" s="25"/>
      <c r="E59" s="94"/>
      <c r="F59" s="94"/>
      <c r="G59" s="94"/>
      <c r="H59" s="2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95" t="s">
        <v>61</v>
      </c>
      <c r="B60" s="96" t="n">
        <v>10</v>
      </c>
      <c r="C60" s="488"/>
      <c r="D60" s="25"/>
      <c r="E60" s="94"/>
      <c r="F60" s="94"/>
      <c r="G60" s="94"/>
      <c r="H60" s="2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55" t="s">
        <v>16</v>
      </c>
      <c r="B61" s="25" t="n">
        <f aca="false">J18</f>
        <v>57885</v>
      </c>
      <c r="C61" s="488"/>
      <c r="D61" s="25"/>
      <c r="E61" s="94"/>
      <c r="F61" s="94"/>
      <c r="G61" s="94"/>
      <c r="H61" s="2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97" t="s">
        <v>62</v>
      </c>
      <c r="B62" s="98" t="n">
        <v>0</v>
      </c>
      <c r="C62" s="488"/>
      <c r="D62" s="25"/>
      <c r="E62" s="94"/>
      <c r="F62" s="94"/>
      <c r="G62" s="94"/>
      <c r="H62" s="20"/>
      <c r="J62" s="0"/>
      <c r="K62" s="489"/>
      <c r="L62" s="0"/>
      <c r="M62" s="0"/>
      <c r="N62" s="0"/>
      <c r="O62" s="0"/>
      <c r="P62" s="0"/>
      <c r="Q62" s="0"/>
      <c r="R62" s="0"/>
      <c r="S62" s="0"/>
      <c r="T62" s="489"/>
      <c r="U62" s="0"/>
      <c r="V62" s="0"/>
      <c r="W62" s="0"/>
      <c r="X62" s="0"/>
      <c r="Y62" s="0"/>
      <c r="Z62" s="0"/>
      <c r="AA62" s="0"/>
      <c r="AB62" s="0"/>
      <c r="AC62" s="489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99" t="s">
        <v>63</v>
      </c>
      <c r="B63" s="100" t="n">
        <v>0.065</v>
      </c>
      <c r="C63" s="488"/>
      <c r="D63" s="25"/>
      <c r="E63" s="94"/>
      <c r="F63" s="94"/>
      <c r="G63" s="94"/>
      <c r="H63" s="20"/>
      <c r="J63" s="0"/>
      <c r="K63" s="489"/>
      <c r="L63" s="0"/>
      <c r="M63" s="0"/>
      <c r="N63" s="0"/>
      <c r="O63" s="0"/>
      <c r="P63" s="0"/>
      <c r="Q63" s="0"/>
      <c r="R63" s="0"/>
      <c r="S63" s="0"/>
      <c r="T63" s="489"/>
      <c r="U63" s="0"/>
      <c r="V63" s="0"/>
      <c r="W63" s="0"/>
      <c r="X63" s="0"/>
      <c r="Y63" s="0"/>
      <c r="Z63" s="0"/>
      <c r="AA63" s="0"/>
      <c r="AB63" s="0"/>
      <c r="AC63" s="489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101" t="s">
        <v>64</v>
      </c>
      <c r="B64" s="102" t="n">
        <v>0.05</v>
      </c>
      <c r="C64" s="25"/>
      <c r="D64" s="25"/>
      <c r="E64" s="94"/>
      <c r="F64" s="94"/>
      <c r="G64" s="94"/>
      <c r="H64" s="20"/>
      <c r="J64" s="0"/>
      <c r="K64" s="489"/>
      <c r="L64" s="0"/>
      <c r="M64" s="0"/>
      <c r="N64" s="0"/>
      <c r="O64" s="0"/>
      <c r="P64" s="0"/>
      <c r="Q64" s="0"/>
      <c r="R64" s="0"/>
      <c r="S64" s="0"/>
      <c r="T64" s="489"/>
      <c r="U64" s="0"/>
      <c r="V64" s="0"/>
      <c r="W64" s="0"/>
      <c r="X64" s="0"/>
      <c r="Y64" s="0"/>
      <c r="Z64" s="0"/>
      <c r="AA64" s="0"/>
      <c r="AB64" s="0"/>
      <c r="AC64" s="489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74" t="s">
        <v>65</v>
      </c>
      <c r="B65" s="82" t="n">
        <f aca="false">(B89*B59)-B53</f>
        <v>50199.5187831396</v>
      </c>
      <c r="C65" s="25"/>
      <c r="D65" s="25"/>
      <c r="E65" s="94"/>
      <c r="F65" s="94"/>
      <c r="G65" s="94"/>
      <c r="H65" s="2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97" t="s">
        <v>66</v>
      </c>
      <c r="B66" s="98" t="n">
        <v>0.005</v>
      </c>
      <c r="C66" s="25"/>
      <c r="D66" s="25"/>
      <c r="E66" s="94"/>
      <c r="F66" s="94"/>
      <c r="G66" s="94"/>
      <c r="H66" s="20"/>
      <c r="J66" s="0"/>
      <c r="K66" s="489"/>
      <c r="L66" s="0"/>
      <c r="M66" s="0"/>
      <c r="N66" s="0"/>
      <c r="O66" s="0"/>
      <c r="P66" s="0"/>
      <c r="Q66" s="0"/>
      <c r="R66" s="0"/>
      <c r="S66" s="0"/>
      <c r="T66" s="489"/>
      <c r="U66" s="0"/>
      <c r="V66" s="0"/>
      <c r="W66" s="0"/>
      <c r="X66" s="0"/>
      <c r="Y66" s="0"/>
      <c r="Z66" s="0"/>
      <c r="AA66" s="0"/>
      <c r="AB66" s="0"/>
      <c r="AC66" s="489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55" t="s">
        <v>67</v>
      </c>
      <c r="B67" s="103" t="n">
        <f aca="false">B66+(B66*0.5*(H29/12-1))</f>
        <v>0.009375</v>
      </c>
      <c r="C67" s="25"/>
      <c r="D67" s="25"/>
      <c r="E67" s="94"/>
      <c r="F67" s="94"/>
      <c r="G67" s="94"/>
      <c r="H67" s="20"/>
      <c r="J67" s="0"/>
      <c r="K67" s="489"/>
      <c r="L67" s="0"/>
      <c r="M67" s="0"/>
      <c r="N67" s="0"/>
      <c r="O67" s="0"/>
      <c r="P67" s="0"/>
      <c r="Q67" s="0"/>
      <c r="R67" s="0"/>
      <c r="S67" s="0"/>
      <c r="T67" s="489"/>
      <c r="U67" s="0"/>
      <c r="V67" s="0"/>
      <c r="W67" s="0"/>
      <c r="X67" s="0"/>
      <c r="Y67" s="0"/>
      <c r="Z67" s="0"/>
      <c r="AA67" s="0"/>
      <c r="AB67" s="0"/>
      <c r="AC67" s="489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74" t="s">
        <v>68</v>
      </c>
      <c r="B68" s="82" t="n">
        <f aca="false">(G158*B67)</f>
        <v>548.671875</v>
      </c>
      <c r="C68" s="25"/>
      <c r="D68" s="25"/>
      <c r="E68" s="94"/>
      <c r="F68" s="94"/>
      <c r="G68" s="94"/>
      <c r="H68" s="2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97" t="s">
        <v>69</v>
      </c>
      <c r="B69" s="98" t="n">
        <v>0</v>
      </c>
      <c r="C69" s="490"/>
      <c r="D69" s="25"/>
      <c r="E69" s="94"/>
      <c r="F69" s="94"/>
      <c r="G69" s="94"/>
      <c r="H69" s="20"/>
      <c r="J69" s="0"/>
      <c r="K69" s="489"/>
      <c r="L69" s="0"/>
      <c r="M69" s="0"/>
      <c r="N69" s="0"/>
      <c r="O69" s="0"/>
      <c r="P69" s="0"/>
      <c r="Q69" s="0"/>
      <c r="R69" s="0"/>
      <c r="S69" s="0"/>
      <c r="T69" s="489"/>
      <c r="U69" s="0"/>
      <c r="V69" s="0"/>
      <c r="W69" s="0"/>
      <c r="X69" s="0"/>
      <c r="Y69" s="0"/>
      <c r="Z69" s="0"/>
      <c r="AA69" s="0"/>
      <c r="AB69" s="0"/>
      <c r="AC69" s="489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99" t="s">
        <v>70</v>
      </c>
      <c r="B70" s="100" t="n">
        <v>0</v>
      </c>
      <c r="C70" s="490"/>
      <c r="D70" s="25"/>
      <c r="E70" s="94"/>
      <c r="F70" s="94"/>
      <c r="G70" s="94"/>
      <c r="H70" s="20"/>
      <c r="J70" s="0"/>
      <c r="K70" s="489"/>
      <c r="L70" s="0"/>
      <c r="M70" s="0"/>
      <c r="N70" s="0"/>
      <c r="O70" s="0"/>
      <c r="P70" s="0"/>
      <c r="Q70" s="0"/>
      <c r="R70" s="0"/>
      <c r="S70" s="0"/>
      <c r="T70" s="489"/>
      <c r="U70" s="0"/>
      <c r="V70" s="0"/>
      <c r="W70" s="0"/>
      <c r="X70" s="0"/>
      <c r="Y70" s="0"/>
      <c r="Z70" s="0"/>
      <c r="AA70" s="0"/>
      <c r="AB70" s="0"/>
      <c r="AC70" s="489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74" t="s">
        <v>71</v>
      </c>
      <c r="B71" s="104" t="n">
        <f aca="false">B69*(1+B70)</f>
        <v>0</v>
      </c>
      <c r="C71" s="490"/>
      <c r="D71" s="25"/>
      <c r="E71" s="94"/>
      <c r="F71" s="94"/>
      <c r="G71" s="94"/>
      <c r="H71" s="20"/>
      <c r="J71" s="0"/>
      <c r="K71" s="489"/>
      <c r="L71" s="0"/>
      <c r="M71" s="0"/>
      <c r="N71" s="0"/>
      <c r="O71" s="0"/>
      <c r="P71" s="0"/>
      <c r="Q71" s="0"/>
      <c r="R71" s="0"/>
      <c r="S71" s="0"/>
      <c r="T71" s="489"/>
      <c r="U71" s="0"/>
      <c r="V71" s="0"/>
      <c r="W71" s="0"/>
      <c r="X71" s="0"/>
      <c r="Y71" s="0"/>
      <c r="Z71" s="0"/>
      <c r="AA71" s="0"/>
      <c r="AB71" s="0"/>
      <c r="AC71" s="489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97" t="s">
        <v>72</v>
      </c>
      <c r="B72" s="105" t="n">
        <v>0</v>
      </c>
      <c r="C72" s="490"/>
      <c r="D72" s="25"/>
      <c r="E72" s="94"/>
      <c r="F72" s="94"/>
      <c r="G72" s="94"/>
      <c r="H72" s="2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99" t="s">
        <v>73</v>
      </c>
      <c r="B73" s="96" t="n">
        <v>0</v>
      </c>
      <c r="C73" s="490"/>
      <c r="D73" s="25"/>
      <c r="E73" s="94"/>
      <c r="F73" s="94"/>
      <c r="G73" s="94"/>
      <c r="H73" s="2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74" t="s">
        <v>74</v>
      </c>
      <c r="B74" s="82" t="n">
        <f aca="false">B73*B35</f>
        <v>0</v>
      </c>
      <c r="C74" s="490"/>
      <c r="D74" s="25" t="n">
        <f aca="false">B74+B72</f>
        <v>0</v>
      </c>
      <c r="E74" s="94"/>
      <c r="F74" s="94"/>
      <c r="G74" s="94"/>
      <c r="H74" s="2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99" t="s">
        <v>75</v>
      </c>
      <c r="B75" s="96" t="n">
        <v>0</v>
      </c>
      <c r="C75" s="490"/>
      <c r="D75" s="25" t="n">
        <f aca="false">B75</f>
        <v>0</v>
      </c>
      <c r="E75" s="94"/>
      <c r="F75" s="94"/>
      <c r="G75" s="94"/>
      <c r="H75" s="2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101" t="s">
        <v>76</v>
      </c>
      <c r="B76" s="106" t="n">
        <v>0</v>
      </c>
      <c r="C76" s="490"/>
      <c r="D76" s="25" t="n">
        <f aca="false">B76</f>
        <v>0</v>
      </c>
      <c r="E76" s="94"/>
      <c r="F76" s="25"/>
      <c r="G76" s="94"/>
      <c r="H76" s="2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107" t="s">
        <v>77</v>
      </c>
      <c r="B77" s="108" t="n">
        <f aca="false">SUM(D65:D76)</f>
        <v>0</v>
      </c>
      <c r="C77" s="25"/>
      <c r="D77" s="25"/>
      <c r="E77" s="94"/>
      <c r="F77" s="25"/>
      <c r="G77" s="25"/>
      <c r="H77" s="2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55" t="s">
        <v>78</v>
      </c>
      <c r="B78" s="20" t="n">
        <f aca="false">B77/B35</f>
        <v>0</v>
      </c>
      <c r="C78" s="25"/>
      <c r="D78" s="25"/>
      <c r="E78" s="94"/>
      <c r="F78" s="94"/>
      <c r="G78" s="94"/>
      <c r="H78" s="2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109" t="s">
        <v>79</v>
      </c>
      <c r="B79" s="77" t="n">
        <f aca="false">H46</f>
        <v>500.363636363636</v>
      </c>
      <c r="C79" s="25"/>
      <c r="D79" s="25"/>
      <c r="E79" s="94"/>
      <c r="F79" s="94"/>
      <c r="G79" s="94"/>
      <c r="H79" s="2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55"/>
      <c r="B80" s="25"/>
      <c r="C80" s="25"/>
      <c r="D80" s="25"/>
      <c r="E80" s="94"/>
      <c r="F80" s="94"/>
      <c r="G80" s="94"/>
      <c r="H80" s="2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48" t="s">
        <v>80</v>
      </c>
      <c r="B81" s="50" t="n">
        <f aca="false">K36</f>
        <v>47877.5</v>
      </c>
      <c r="C81" s="25"/>
      <c r="D81" s="25"/>
      <c r="E81" s="94"/>
      <c r="F81" s="94"/>
      <c r="G81" s="94"/>
      <c r="H81" s="2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55" t="s">
        <v>47</v>
      </c>
      <c r="B82" s="20" t="n">
        <f aca="false">D41</f>
        <v>6000</v>
      </c>
      <c r="C82" s="25"/>
      <c r="D82" s="25"/>
      <c r="E82" s="94"/>
      <c r="F82" s="94"/>
      <c r="G82" s="94"/>
      <c r="H82" s="2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55" t="s">
        <v>81</v>
      </c>
      <c r="B83" s="110" t="n">
        <f aca="false">B62+B63+B64</f>
        <v>0.115</v>
      </c>
      <c r="C83" s="25"/>
      <c r="D83" s="25"/>
      <c r="E83" s="94"/>
      <c r="F83" s="94"/>
      <c r="G83" s="94"/>
      <c r="H83" s="20"/>
      <c r="J83" s="0"/>
      <c r="K83" s="489"/>
      <c r="L83" s="0"/>
      <c r="M83" s="0"/>
      <c r="N83" s="0"/>
      <c r="O83" s="0"/>
      <c r="P83" s="0"/>
      <c r="Q83" s="0"/>
      <c r="R83" s="0"/>
      <c r="S83" s="0"/>
      <c r="T83" s="489"/>
      <c r="U83" s="0"/>
      <c r="V83" s="0"/>
      <c r="W83" s="0"/>
      <c r="X83" s="0"/>
      <c r="Y83" s="0"/>
      <c r="Z83" s="0"/>
      <c r="AA83" s="0"/>
      <c r="AB83" s="0"/>
      <c r="AC83" s="489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55" t="s">
        <v>82</v>
      </c>
      <c r="B84" s="103" t="n">
        <f aca="false">B83/12</f>
        <v>0.00958333333333333</v>
      </c>
      <c r="C84" s="25"/>
      <c r="D84" s="25"/>
      <c r="E84" s="94"/>
      <c r="F84" s="94"/>
      <c r="G84" s="94"/>
      <c r="H84" s="20"/>
      <c r="J84" s="0"/>
      <c r="K84" s="489"/>
      <c r="L84" s="0"/>
      <c r="M84" s="0"/>
      <c r="N84" s="0"/>
      <c r="O84" s="0"/>
      <c r="P84" s="0"/>
      <c r="Q84" s="0"/>
      <c r="R84" s="0"/>
      <c r="S84" s="0"/>
      <c r="T84" s="489"/>
      <c r="U84" s="0"/>
      <c r="V84" s="0"/>
      <c r="W84" s="0"/>
      <c r="X84" s="0"/>
      <c r="Y84" s="0"/>
      <c r="Z84" s="0"/>
      <c r="AA84" s="0"/>
      <c r="AB84" s="0"/>
      <c r="AC84" s="489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55" t="s">
        <v>83</v>
      </c>
      <c r="B85" s="20" t="n">
        <f aca="false">IF(B82=0, (B59+B58), (B59))</f>
        <v>32</v>
      </c>
      <c r="C85" s="25"/>
      <c r="D85" s="25"/>
      <c r="E85" s="94"/>
      <c r="F85" s="94"/>
      <c r="G85" s="94"/>
      <c r="H85" s="2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55" t="s">
        <v>84</v>
      </c>
      <c r="B86" s="20" t="n">
        <f aca="false">(B82/((1+B84)^(B85+1)))</f>
        <v>4379.8532592462</v>
      </c>
      <c r="C86" s="25" t="n">
        <f aca="false">(B82/((1+B84)^(B85+1)))</f>
        <v>4379.8532592462</v>
      </c>
      <c r="D86" s="25"/>
      <c r="E86" s="94"/>
      <c r="F86" s="94"/>
      <c r="G86" s="94"/>
      <c r="H86" s="2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55" t="s">
        <v>85</v>
      </c>
      <c r="B87" s="20" t="n">
        <f aca="false">((1-(1/((1+B84)^B85)))/B84)</f>
        <v>27.4464895133802</v>
      </c>
      <c r="C87" s="25" t="n">
        <f aca="false">((1-(1/((1+B84)^B85)))/B84)</f>
        <v>27.4464895133802</v>
      </c>
      <c r="D87" s="25"/>
      <c r="E87" s="94"/>
      <c r="F87" s="94"/>
      <c r="G87" s="94"/>
      <c r="H87" s="2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55" t="s">
        <v>86</v>
      </c>
      <c r="B88" s="20" t="n">
        <f aca="false">B81-B86</f>
        <v>43497.6467407538</v>
      </c>
      <c r="C88" s="25" t="n">
        <f aca="false">B81-B86</f>
        <v>43497.6467407538</v>
      </c>
      <c r="D88" s="25"/>
      <c r="E88" s="94"/>
      <c r="F88" s="94"/>
      <c r="G88" s="94"/>
      <c r="H88" s="2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55" t="s">
        <v>87</v>
      </c>
      <c r="B89" s="20" t="n">
        <f aca="false">(B88/B87)</f>
        <v>1584.81640136705</v>
      </c>
      <c r="C89" s="25" t="n">
        <f aca="false">(B88/B87)</f>
        <v>1584.81640136705</v>
      </c>
      <c r="D89" s="25"/>
      <c r="E89" s="94"/>
      <c r="F89" s="94"/>
      <c r="G89" s="94"/>
      <c r="H89" s="2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55" t="s">
        <v>88</v>
      </c>
      <c r="B90" s="20" t="n">
        <f aca="false">((B89*(B85))+B77)</f>
        <v>50714.1248437457</v>
      </c>
      <c r="C90" s="25"/>
      <c r="D90" s="25"/>
      <c r="E90" s="94"/>
      <c r="F90" s="94"/>
      <c r="G90" s="94"/>
      <c r="H90" s="2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55" t="s">
        <v>89</v>
      </c>
      <c r="B91" s="20" t="n">
        <f aca="false">(((B89*(B85))+B77)/(1-B71))*B71</f>
        <v>0</v>
      </c>
      <c r="C91" s="25"/>
      <c r="D91" s="25"/>
      <c r="E91" s="94"/>
      <c r="F91" s="94"/>
      <c r="G91" s="94"/>
      <c r="H91" s="2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74" t="s">
        <v>90</v>
      </c>
      <c r="B92" s="82" t="n">
        <f aca="false">(B90+B91)</f>
        <v>50714.1248437457</v>
      </c>
      <c r="C92" s="25"/>
      <c r="D92" s="25"/>
      <c r="E92" s="94"/>
      <c r="F92" s="94"/>
      <c r="G92" s="94"/>
      <c r="H92" s="2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55"/>
      <c r="B93" s="25"/>
      <c r="C93" s="25"/>
      <c r="D93" s="25"/>
      <c r="E93" s="94"/>
      <c r="F93" s="94"/>
      <c r="G93" s="94"/>
      <c r="H93" s="2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107" t="s">
        <v>91</v>
      </c>
      <c r="B94" s="111" t="n">
        <f aca="false">IF(B38="YES",((H36/B85)*(1+A108)*1.2),"0")</f>
        <v>22.9125</v>
      </c>
      <c r="C94" s="25"/>
      <c r="D94" s="25"/>
      <c r="E94" s="94"/>
      <c r="F94" s="94"/>
      <c r="G94" s="94"/>
      <c r="H94" s="2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112" t="s">
        <v>92</v>
      </c>
      <c r="B95" s="113" t="n">
        <f aca="false">B92/(B85)</f>
        <v>1584.81640136705</v>
      </c>
      <c r="C95" s="25"/>
      <c r="D95" s="25"/>
      <c r="E95" s="94"/>
      <c r="F95" s="94"/>
      <c r="G95" s="94"/>
      <c r="H95" s="2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114" t="s">
        <v>93</v>
      </c>
      <c r="B96" s="115" t="n">
        <f aca="false">B94+B95</f>
        <v>1607.72890136705</v>
      </c>
      <c r="C96" s="25"/>
      <c r="D96" s="25"/>
      <c r="E96" s="94"/>
      <c r="F96" s="94"/>
      <c r="G96" s="94"/>
      <c r="H96" s="2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74"/>
      <c r="B97" s="75"/>
      <c r="C97" s="75"/>
      <c r="D97" s="75"/>
      <c r="E97" s="116"/>
      <c r="F97" s="116"/>
      <c r="G97" s="116"/>
      <c r="H97" s="82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45"/>
      <c r="B98" s="45"/>
      <c r="C98" s="45"/>
      <c r="D98" s="45"/>
      <c r="E98" s="45"/>
      <c r="F98" s="45"/>
      <c r="G98" s="45"/>
      <c r="H98" s="45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45"/>
      <c r="B99" s="45"/>
      <c r="C99" s="45"/>
      <c r="D99" s="45"/>
      <c r="E99" s="45"/>
      <c r="F99" s="45"/>
      <c r="G99" s="45"/>
      <c r="H99" s="45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4" t="s">
        <v>96</v>
      </c>
      <c r="B100" s="4"/>
      <c r="C100" s="4"/>
      <c r="D100" s="4"/>
      <c r="E100" s="4"/>
      <c r="F100" s="4"/>
      <c r="G100" s="4"/>
      <c r="H100" s="4"/>
      <c r="J100" s="486"/>
      <c r="K100" s="486"/>
      <c r="L100" s="486"/>
      <c r="M100" s="486"/>
      <c r="N100" s="486"/>
      <c r="O100" s="486"/>
      <c r="P100" s="486"/>
      <c r="Q100" s="486"/>
      <c r="R100" s="0"/>
      <c r="S100" s="486"/>
      <c r="T100" s="486"/>
      <c r="U100" s="486"/>
      <c r="V100" s="486"/>
      <c r="W100" s="486"/>
      <c r="X100" s="486"/>
      <c r="Y100" s="486"/>
      <c r="Z100" s="486"/>
      <c r="AA100" s="0"/>
      <c r="AB100" s="486"/>
      <c r="AC100" s="486"/>
      <c r="AD100" s="486"/>
      <c r="AE100" s="486"/>
      <c r="AF100" s="486"/>
      <c r="AG100" s="486"/>
      <c r="AH100" s="486"/>
      <c r="AI100" s="486"/>
    </row>
    <row r="101" customFormat="false" ht="17.35" hidden="false" customHeight="false" outlineLevel="0" collapsed="false">
      <c r="A101" s="48"/>
      <c r="B101" s="49"/>
      <c r="C101" s="49"/>
      <c r="D101" s="49"/>
      <c r="E101" s="93"/>
      <c r="F101" s="93"/>
      <c r="G101" s="93"/>
      <c r="H101" s="11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58" t="s">
        <v>26</v>
      </c>
      <c r="B102" s="58"/>
      <c r="C102" s="58"/>
      <c r="D102" s="58"/>
      <c r="E102" s="58"/>
      <c r="F102" s="58"/>
      <c r="G102" s="58"/>
      <c r="H102" s="58"/>
      <c r="J102" s="486"/>
      <c r="K102" s="486"/>
      <c r="L102" s="486"/>
      <c r="M102" s="486"/>
      <c r="N102" s="486"/>
      <c r="O102" s="486"/>
      <c r="P102" s="486"/>
      <c r="Q102" s="486"/>
      <c r="R102" s="0"/>
      <c r="S102" s="486"/>
      <c r="T102" s="486"/>
      <c r="U102" s="486"/>
      <c r="V102" s="486"/>
      <c r="W102" s="486"/>
      <c r="X102" s="486"/>
      <c r="Y102" s="486"/>
      <c r="Z102" s="486"/>
      <c r="AA102" s="0"/>
      <c r="AB102" s="486"/>
      <c r="AC102" s="486"/>
      <c r="AD102" s="486"/>
      <c r="AE102" s="486"/>
      <c r="AF102" s="486"/>
      <c r="AG102" s="486"/>
      <c r="AH102" s="486"/>
      <c r="AI102" s="486"/>
    </row>
    <row r="103" customFormat="false" ht="17.35" hidden="false" customHeight="false" outlineLevel="0" collapsed="false">
      <c r="A103" s="55"/>
      <c r="B103" s="25"/>
      <c r="C103" s="25"/>
      <c r="D103" s="25"/>
      <c r="E103" s="94"/>
      <c r="F103" s="94"/>
      <c r="G103" s="94"/>
      <c r="H103" s="11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9" t="s">
        <v>100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55" t="s">
        <v>98</v>
      </c>
      <c r="B104" s="25" t="s">
        <v>23</v>
      </c>
      <c r="C104" s="25"/>
      <c r="D104" s="25"/>
      <c r="E104" s="25" t="s">
        <v>22</v>
      </c>
      <c r="F104" s="25"/>
      <c r="G104" s="25"/>
      <c r="H104" s="2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9" t="s">
        <v>253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51" t="s">
        <v>99</v>
      </c>
      <c r="B105" s="37" t="s">
        <v>100</v>
      </c>
      <c r="C105" s="37"/>
      <c r="D105" s="37"/>
      <c r="E105" s="60" t="s">
        <v>9</v>
      </c>
      <c r="F105" s="60"/>
      <c r="G105" s="60"/>
      <c r="H105" s="118"/>
      <c r="J105" s="0"/>
      <c r="K105" s="486"/>
      <c r="L105" s="486"/>
      <c r="M105" s="486"/>
      <c r="N105" s="486"/>
      <c r="O105" s="486"/>
      <c r="P105" s="486"/>
      <c r="Q105" s="0"/>
      <c r="R105" s="0"/>
      <c r="S105" s="0"/>
      <c r="T105" s="486"/>
      <c r="U105" s="486"/>
      <c r="V105" s="486"/>
      <c r="W105" s="486"/>
      <c r="X105" s="486"/>
      <c r="Y105" s="486"/>
      <c r="Z105" s="19" t="s">
        <v>257</v>
      </c>
      <c r="AA105" s="0"/>
      <c r="AB105" s="0"/>
      <c r="AC105" s="486"/>
      <c r="AD105" s="486"/>
      <c r="AE105" s="486"/>
      <c r="AF105" s="486"/>
      <c r="AG105" s="486"/>
      <c r="AH105" s="486"/>
      <c r="AI105" s="0"/>
    </row>
    <row r="106" customFormat="false" ht="17.35" hidden="false" customHeight="false" outlineLevel="0" collapsed="false">
      <c r="A106" s="55"/>
      <c r="B106" s="25"/>
      <c r="C106" s="25"/>
      <c r="D106" s="94"/>
      <c r="E106" s="25"/>
      <c r="F106" s="25"/>
      <c r="G106" s="94"/>
      <c r="H106" s="2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9" t="s">
        <v>258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55" t="s">
        <v>101</v>
      </c>
      <c r="B107" s="25" t="s">
        <v>102</v>
      </c>
      <c r="C107" s="25"/>
      <c r="D107" s="94"/>
      <c r="E107" s="25" t="s">
        <v>103</v>
      </c>
      <c r="F107" s="25"/>
      <c r="G107" s="94"/>
      <c r="H107" s="11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9" t="s">
        <v>262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91" t="n">
        <v>0.3</v>
      </c>
      <c r="B108" s="72" t="s">
        <v>364</v>
      </c>
      <c r="C108" s="72"/>
      <c r="D108" s="72"/>
      <c r="E108" s="121" t="n">
        <f aca="false">B83</f>
        <v>0.115</v>
      </c>
      <c r="F108" s="121"/>
      <c r="G108" s="121"/>
      <c r="H108" s="65"/>
      <c r="J108" s="489"/>
      <c r="K108" s="486"/>
      <c r="L108" s="486"/>
      <c r="M108" s="486"/>
      <c r="N108" s="489"/>
      <c r="O108" s="489"/>
      <c r="P108" s="489"/>
      <c r="Q108" s="0"/>
      <c r="R108" s="0"/>
      <c r="S108" s="489"/>
      <c r="T108" s="486"/>
      <c r="U108" s="486"/>
      <c r="V108" s="486"/>
      <c r="W108" s="489"/>
      <c r="X108" s="489"/>
      <c r="Y108" s="489"/>
      <c r="Z108" s="19" t="s">
        <v>256</v>
      </c>
      <c r="AA108" s="0"/>
      <c r="AB108" s="489"/>
      <c r="AC108" s="486"/>
      <c r="AD108" s="486"/>
      <c r="AE108" s="486"/>
      <c r="AF108" s="489"/>
      <c r="AG108" s="489"/>
      <c r="AH108" s="489"/>
      <c r="AI108" s="0"/>
      <c r="AP108" s="1" t="s">
        <v>106</v>
      </c>
    </row>
    <row r="109" customFormat="false" ht="17.35" hidden="false" customHeight="false" outlineLevel="0" collapsed="false">
      <c r="A109" s="55"/>
      <c r="B109" s="25"/>
      <c r="C109" s="25"/>
      <c r="D109" s="25"/>
      <c r="E109" s="25"/>
      <c r="F109" s="25"/>
      <c r="G109" s="25"/>
      <c r="H109" s="2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9" t="s">
        <v>255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" t="s">
        <v>104</v>
      </c>
    </row>
    <row r="110" customFormat="false" ht="17.35" hidden="false" customHeight="false" outlineLevel="0" collapsed="false">
      <c r="A110" s="55" t="s">
        <v>107</v>
      </c>
      <c r="B110" s="25" t="s">
        <v>108</v>
      </c>
      <c r="C110" s="25"/>
      <c r="D110" s="25"/>
      <c r="E110" s="25" t="s">
        <v>109</v>
      </c>
      <c r="F110" s="25"/>
      <c r="G110" s="25"/>
      <c r="H110" s="2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9" t="s">
        <v>263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52" t="s">
        <v>9</v>
      </c>
      <c r="B111" s="72" t="n">
        <v>0</v>
      </c>
      <c r="C111" s="72"/>
      <c r="D111" s="72"/>
      <c r="E111" s="72" t="n">
        <v>0</v>
      </c>
      <c r="F111" s="72"/>
      <c r="G111" s="72"/>
      <c r="H111" s="118"/>
      <c r="J111" s="0"/>
      <c r="K111" s="486"/>
      <c r="L111" s="486"/>
      <c r="M111" s="486"/>
      <c r="N111" s="486"/>
      <c r="O111" s="486"/>
      <c r="P111" s="486"/>
      <c r="Q111" s="0"/>
      <c r="R111" s="0"/>
      <c r="S111" s="0"/>
      <c r="T111" s="486"/>
      <c r="U111" s="486"/>
      <c r="V111" s="486"/>
      <c r="W111" s="486"/>
      <c r="X111" s="486"/>
      <c r="Y111" s="486"/>
      <c r="Z111" s="19" t="s">
        <v>265</v>
      </c>
      <c r="AA111" s="0"/>
      <c r="AB111" s="0"/>
      <c r="AC111" s="486"/>
      <c r="AD111" s="486"/>
      <c r="AE111" s="486"/>
      <c r="AF111" s="486"/>
      <c r="AG111" s="486"/>
      <c r="AH111" s="486"/>
      <c r="AI111" s="0"/>
    </row>
    <row r="112" customFormat="false" ht="17.35" hidden="false" customHeight="false" outlineLevel="0" collapsed="false">
      <c r="A112" s="55"/>
      <c r="B112" s="25"/>
      <c r="C112" s="25"/>
      <c r="D112" s="25"/>
      <c r="E112" s="25"/>
      <c r="F112" s="25"/>
      <c r="G112" s="94"/>
      <c r="H112" s="11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123" t="s">
        <v>110</v>
      </c>
      <c r="B113" s="25" t="s">
        <v>111</v>
      </c>
      <c r="C113" s="25"/>
      <c r="D113" s="25"/>
      <c r="E113" s="25" t="s">
        <v>112</v>
      </c>
      <c r="F113" s="25"/>
      <c r="G113" s="94"/>
      <c r="H113" s="11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70" t="n">
        <f aca="false">B111+E111</f>
        <v>0</v>
      </c>
      <c r="B114" s="72" t="s">
        <v>113</v>
      </c>
      <c r="C114" s="72"/>
      <c r="D114" s="72"/>
      <c r="E114" s="72" t="n">
        <v>0</v>
      </c>
      <c r="F114" s="72"/>
      <c r="G114" s="72"/>
      <c r="H114" s="118"/>
      <c r="J114" s="0"/>
      <c r="K114" s="486"/>
      <c r="L114" s="486"/>
      <c r="M114" s="486"/>
      <c r="N114" s="486"/>
      <c r="O114" s="486"/>
      <c r="P114" s="486"/>
      <c r="Q114" s="0"/>
      <c r="R114" s="0"/>
      <c r="S114" s="0"/>
      <c r="T114" s="486"/>
      <c r="U114" s="486"/>
      <c r="V114" s="486"/>
      <c r="W114" s="486"/>
      <c r="X114" s="486"/>
      <c r="Y114" s="486"/>
      <c r="Z114" s="0"/>
      <c r="AA114" s="0"/>
      <c r="AB114" s="0"/>
      <c r="AC114" s="486"/>
      <c r="AD114" s="486"/>
      <c r="AE114" s="486"/>
      <c r="AF114" s="486"/>
      <c r="AG114" s="486"/>
      <c r="AH114" s="486"/>
      <c r="AI114" s="0"/>
    </row>
    <row r="115" customFormat="false" ht="13.8" hidden="false" customHeight="false" outlineLevel="0" collapsed="false">
      <c r="A115" s="124"/>
      <c r="B115" s="94"/>
      <c r="C115" s="94"/>
      <c r="D115" s="94"/>
      <c r="E115" s="94"/>
      <c r="F115" s="94"/>
      <c r="G115" s="94"/>
      <c r="H115" s="11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124"/>
      <c r="B116" s="94"/>
      <c r="C116" s="94"/>
      <c r="D116" s="94"/>
      <c r="E116" s="94"/>
      <c r="F116" s="94"/>
      <c r="G116" s="94"/>
      <c r="H116" s="11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58" t="s">
        <v>114</v>
      </c>
      <c r="B117" s="58"/>
      <c r="C117" s="58"/>
      <c r="D117" s="58"/>
      <c r="E117" s="58"/>
      <c r="F117" s="58"/>
      <c r="G117" s="58"/>
      <c r="H117" s="58"/>
      <c r="J117" s="486"/>
      <c r="K117" s="486"/>
      <c r="L117" s="486"/>
      <c r="M117" s="486"/>
      <c r="N117" s="486"/>
      <c r="O117" s="486"/>
      <c r="P117" s="486"/>
      <c r="Q117" s="486"/>
      <c r="R117" s="0"/>
      <c r="S117" s="486"/>
      <c r="T117" s="486"/>
      <c r="U117" s="486"/>
      <c r="V117" s="486"/>
      <c r="W117" s="486"/>
      <c r="X117" s="486"/>
      <c r="Y117" s="486"/>
      <c r="Z117" s="486"/>
      <c r="AA117" s="0"/>
      <c r="AB117" s="486"/>
      <c r="AC117" s="486"/>
      <c r="AD117" s="486"/>
      <c r="AE117" s="486"/>
      <c r="AF117" s="486"/>
      <c r="AG117" s="486"/>
      <c r="AH117" s="486"/>
      <c r="AI117" s="486"/>
    </row>
    <row r="118" customFormat="false" ht="13.8" hidden="false" customHeight="false" outlineLevel="0" collapsed="false">
      <c r="A118" s="124"/>
      <c r="B118" s="94"/>
      <c r="C118" s="94"/>
      <c r="D118" s="94"/>
      <c r="E118" s="94"/>
      <c r="F118" s="94"/>
      <c r="G118" s="94"/>
      <c r="H118" s="11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97"/>
      <c r="B119" s="125" t="s">
        <v>115</v>
      </c>
      <c r="C119" s="125"/>
      <c r="D119" s="125" t="s">
        <v>116</v>
      </c>
      <c r="E119" s="125"/>
      <c r="F119" s="125" t="s">
        <v>117</v>
      </c>
      <c r="G119" s="125"/>
      <c r="H119" s="126" t="s">
        <v>118</v>
      </c>
      <c r="J119" s="0"/>
      <c r="K119" s="486"/>
      <c r="L119" s="486"/>
      <c r="M119" s="486"/>
      <c r="N119" s="486"/>
      <c r="O119" s="486"/>
      <c r="P119" s="486"/>
      <c r="Q119" s="0"/>
      <c r="R119" s="0"/>
      <c r="S119" s="0"/>
      <c r="T119" s="486"/>
      <c r="U119" s="486"/>
      <c r="V119" s="486"/>
      <c r="W119" s="486"/>
      <c r="X119" s="486"/>
      <c r="Y119" s="486"/>
      <c r="Z119" s="0"/>
      <c r="AA119" s="0"/>
      <c r="AB119" s="0"/>
      <c r="AC119" s="486"/>
      <c r="AD119" s="486"/>
      <c r="AE119" s="486"/>
      <c r="AF119" s="486"/>
      <c r="AG119" s="486"/>
      <c r="AH119" s="486"/>
      <c r="AI119" s="0"/>
    </row>
    <row r="120" customFormat="false" ht="19.7" hidden="false" customHeight="false" outlineLevel="0" collapsed="false">
      <c r="A120" s="99"/>
      <c r="B120" s="127" t="s">
        <v>119</v>
      </c>
      <c r="C120" s="128" t="s">
        <v>120</v>
      </c>
      <c r="D120" s="127" t="s">
        <v>119</v>
      </c>
      <c r="E120" s="129" t="s">
        <v>120</v>
      </c>
      <c r="F120" s="127" t="s">
        <v>119</v>
      </c>
      <c r="G120" s="129" t="s">
        <v>120</v>
      </c>
      <c r="H120" s="13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48" t="s">
        <v>121</v>
      </c>
      <c r="B121" s="131" t="n">
        <f aca="false">B3</f>
        <v>46854.17</v>
      </c>
      <c r="C121" s="132" t="n">
        <f aca="false">B121</f>
        <v>46854.17</v>
      </c>
      <c r="D121" s="131" t="n">
        <f aca="false">D3</f>
        <v>0</v>
      </c>
      <c r="E121" s="132" t="n">
        <f aca="false">D121</f>
        <v>0</v>
      </c>
      <c r="F121" s="131" t="n">
        <f aca="false">F3</f>
        <v>833.33</v>
      </c>
      <c r="G121" s="132" t="n">
        <f aca="false">F121</f>
        <v>833.33</v>
      </c>
      <c r="H121" s="13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55" t="s">
        <v>122</v>
      </c>
      <c r="B122" s="134" t="n">
        <f aca="false">B4</f>
        <v>0</v>
      </c>
      <c r="C122" s="17" t="n">
        <f aca="false">B122</f>
        <v>0</v>
      </c>
      <c r="D122" s="134" t="n">
        <f aca="false">D4</f>
        <v>0</v>
      </c>
      <c r="E122" s="17" t="n">
        <f aca="false">D122</f>
        <v>0</v>
      </c>
      <c r="F122" s="134" t="n">
        <f aca="false">F4</f>
        <v>0</v>
      </c>
      <c r="G122" s="492" t="n">
        <f aca="false">F122</f>
        <v>0</v>
      </c>
      <c r="H122" s="18"/>
      <c r="J122" s="0"/>
      <c r="K122" s="489"/>
      <c r="L122" s="489"/>
      <c r="M122" s="489"/>
      <c r="N122" s="489"/>
      <c r="O122" s="489"/>
      <c r="P122" s="489"/>
      <c r="Q122" s="489"/>
      <c r="R122" s="0"/>
      <c r="S122" s="0"/>
      <c r="T122" s="489"/>
      <c r="U122" s="489"/>
      <c r="V122" s="489"/>
      <c r="W122" s="489"/>
      <c r="X122" s="489"/>
      <c r="Y122" s="489"/>
      <c r="Z122" s="489"/>
      <c r="AA122" s="0"/>
      <c r="AB122" s="0"/>
      <c r="AC122" s="489"/>
      <c r="AD122" s="489"/>
      <c r="AE122" s="489"/>
      <c r="AF122" s="489"/>
      <c r="AG122" s="489"/>
      <c r="AH122" s="489"/>
      <c r="AI122" s="489"/>
    </row>
    <row r="123" customFormat="false" ht="17.35" hidden="false" customHeight="false" outlineLevel="0" collapsed="false">
      <c r="A123" s="55" t="s">
        <v>123</v>
      </c>
      <c r="B123" s="136" t="n">
        <f aca="false">B5</f>
        <v>0</v>
      </c>
      <c r="C123" s="132" t="n">
        <f aca="false">B123</f>
        <v>0</v>
      </c>
      <c r="D123" s="136" t="n">
        <f aca="false">D5</f>
        <v>0</v>
      </c>
      <c r="E123" s="132" t="n">
        <f aca="false">D123</f>
        <v>0</v>
      </c>
      <c r="F123" s="136" t="n">
        <f aca="false">F5</f>
        <v>0</v>
      </c>
      <c r="G123" s="132" t="n">
        <f aca="false">F123</f>
        <v>0</v>
      </c>
      <c r="H123" s="2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55" t="s">
        <v>124</v>
      </c>
      <c r="B124" s="136" t="n">
        <f aca="false">(B121*B122)+B123</f>
        <v>0</v>
      </c>
      <c r="C124" s="137" t="n">
        <f aca="false">(C121*C122/100)+C123</f>
        <v>0</v>
      </c>
      <c r="D124" s="136" t="n">
        <f aca="false">(D121*D122)+D123</f>
        <v>0</v>
      </c>
      <c r="E124" s="137" t="n">
        <f aca="false">(E121*E122/100)+E123</f>
        <v>0</v>
      </c>
      <c r="F124" s="136" t="n">
        <f aca="false">(F121*F122)+F123</f>
        <v>0</v>
      </c>
      <c r="G124" s="137" t="n">
        <f aca="false">(G121*G122/100)+G123</f>
        <v>0</v>
      </c>
      <c r="H124" s="2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74" t="s">
        <v>125</v>
      </c>
      <c r="B125" s="138" t="n">
        <f aca="false">B121-B124</f>
        <v>46854.17</v>
      </c>
      <c r="C125" s="139" t="n">
        <f aca="false">C121-C124</f>
        <v>46854.17</v>
      </c>
      <c r="D125" s="138" t="n">
        <f aca="false">D121-D124</f>
        <v>0</v>
      </c>
      <c r="E125" s="139" t="n">
        <f aca="false">E121-E124</f>
        <v>0</v>
      </c>
      <c r="F125" s="138" t="n">
        <f aca="false">F121-F124</f>
        <v>833.33</v>
      </c>
      <c r="G125" s="139" t="n">
        <f aca="false">G121-G124</f>
        <v>833.33</v>
      </c>
      <c r="H125" s="82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55"/>
      <c r="B126" s="25"/>
      <c r="C126" s="25"/>
      <c r="D126" s="25"/>
      <c r="E126" s="25"/>
      <c r="F126" s="25"/>
      <c r="G126" s="25"/>
      <c r="H126" s="2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140"/>
      <c r="B127" s="141"/>
      <c r="C127" s="141"/>
      <c r="D127" s="141"/>
      <c r="E127" s="141"/>
      <c r="F127" s="141"/>
      <c r="G127" s="29" t="s">
        <v>119</v>
      </c>
      <c r="H127" s="142" t="s">
        <v>120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143" t="s">
        <v>126</v>
      </c>
      <c r="B128" s="144"/>
      <c r="C128" s="144"/>
      <c r="D128" s="144"/>
      <c r="E128" s="144"/>
      <c r="F128" s="144"/>
      <c r="G128" s="145" t="n">
        <f aca="false">H121</f>
        <v>0</v>
      </c>
      <c r="H128" s="146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55"/>
      <c r="B129" s="25"/>
      <c r="C129" s="25"/>
      <c r="D129" s="25"/>
      <c r="E129" s="25"/>
      <c r="F129" s="25"/>
      <c r="G129" s="147"/>
      <c r="H129" s="148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149" t="s">
        <v>127</v>
      </c>
      <c r="B130" s="147" t="s">
        <v>128</v>
      </c>
      <c r="C130" s="147"/>
      <c r="D130" s="147" t="s">
        <v>129</v>
      </c>
      <c r="E130" s="147"/>
      <c r="F130" s="147" t="s">
        <v>123</v>
      </c>
      <c r="G130" s="147"/>
      <c r="H130" s="148" t="s">
        <v>120</v>
      </c>
      <c r="J130" s="0"/>
      <c r="K130" s="486"/>
      <c r="L130" s="486"/>
      <c r="M130" s="486"/>
      <c r="N130" s="486"/>
      <c r="O130" s="486"/>
      <c r="P130" s="486"/>
      <c r="Q130" s="0"/>
      <c r="R130" s="0"/>
      <c r="S130" s="0"/>
      <c r="T130" s="486"/>
      <c r="U130" s="486"/>
      <c r="V130" s="486"/>
      <c r="W130" s="486"/>
      <c r="X130" s="486"/>
      <c r="Y130" s="486"/>
      <c r="Z130" s="0"/>
      <c r="AA130" s="0"/>
      <c r="AB130" s="0"/>
      <c r="AC130" s="486"/>
      <c r="AD130" s="486"/>
      <c r="AE130" s="486"/>
      <c r="AF130" s="486"/>
      <c r="AG130" s="486"/>
      <c r="AH130" s="486"/>
      <c r="AI130" s="0"/>
    </row>
    <row r="131" customFormat="false" ht="17.35" hidden="false" customHeight="false" outlineLevel="0" collapsed="false">
      <c r="A131" s="55" t="s">
        <v>130</v>
      </c>
      <c r="B131" s="150" t="n">
        <f aca="false">G128</f>
        <v>0</v>
      </c>
      <c r="C131" s="150"/>
      <c r="D131" s="151" t="n">
        <v>0</v>
      </c>
      <c r="E131" s="151"/>
      <c r="F131" s="150" t="n">
        <v>0</v>
      </c>
      <c r="G131" s="150"/>
      <c r="H131" s="152" t="n">
        <f aca="false">(B131-(B131*D131))-F131</f>
        <v>0</v>
      </c>
      <c r="J131" s="0"/>
      <c r="K131" s="486"/>
      <c r="L131" s="486"/>
      <c r="M131" s="489"/>
      <c r="N131" s="489"/>
      <c r="O131" s="486"/>
      <c r="P131" s="486"/>
      <c r="Q131" s="0"/>
      <c r="R131" s="0"/>
      <c r="S131" s="0"/>
      <c r="T131" s="486"/>
      <c r="U131" s="486"/>
      <c r="V131" s="489"/>
      <c r="W131" s="489"/>
      <c r="X131" s="486"/>
      <c r="Y131" s="486"/>
      <c r="Z131" s="0"/>
      <c r="AA131" s="0"/>
      <c r="AB131" s="0"/>
      <c r="AC131" s="486"/>
      <c r="AD131" s="486"/>
      <c r="AE131" s="489"/>
      <c r="AF131" s="489"/>
      <c r="AG131" s="486"/>
      <c r="AH131" s="486"/>
      <c r="AI131" s="0"/>
    </row>
    <row r="132" customFormat="false" ht="17.35" hidden="false" customHeight="false" outlineLevel="0" collapsed="false">
      <c r="A132" s="55" t="s">
        <v>131</v>
      </c>
      <c r="B132" s="150" t="n">
        <v>0</v>
      </c>
      <c r="C132" s="150"/>
      <c r="D132" s="151" t="n">
        <v>0</v>
      </c>
      <c r="E132" s="151"/>
      <c r="F132" s="150" t="n">
        <v>0</v>
      </c>
      <c r="G132" s="150"/>
      <c r="H132" s="152" t="n">
        <f aca="false">(B132-(B132*D132))-F132</f>
        <v>0</v>
      </c>
      <c r="J132" s="0"/>
      <c r="K132" s="486"/>
      <c r="L132" s="486"/>
      <c r="M132" s="489"/>
      <c r="N132" s="489"/>
      <c r="O132" s="486"/>
      <c r="P132" s="486"/>
      <c r="Q132" s="0"/>
      <c r="R132" s="0"/>
      <c r="S132" s="0"/>
      <c r="T132" s="486"/>
      <c r="U132" s="486"/>
      <c r="V132" s="489"/>
      <c r="W132" s="489"/>
      <c r="X132" s="486"/>
      <c r="Y132" s="486"/>
      <c r="Z132" s="0"/>
      <c r="AA132" s="0"/>
      <c r="AB132" s="0"/>
      <c r="AC132" s="486"/>
      <c r="AD132" s="486"/>
      <c r="AE132" s="489"/>
      <c r="AF132" s="489"/>
      <c r="AG132" s="486"/>
      <c r="AH132" s="486"/>
      <c r="AI132" s="0"/>
    </row>
    <row r="133" customFormat="false" ht="17.35" hidden="false" customHeight="false" outlineLevel="0" collapsed="false">
      <c r="A133" s="55" t="s">
        <v>132</v>
      </c>
      <c r="B133" s="150" t="n">
        <v>0</v>
      </c>
      <c r="C133" s="150"/>
      <c r="D133" s="151" t="n">
        <v>0</v>
      </c>
      <c r="E133" s="151"/>
      <c r="F133" s="150" t="n">
        <v>0</v>
      </c>
      <c r="G133" s="150"/>
      <c r="H133" s="152" t="n">
        <f aca="false">(B133-(B133*D133))-F133</f>
        <v>0</v>
      </c>
      <c r="J133" s="0"/>
      <c r="K133" s="486"/>
      <c r="L133" s="486"/>
      <c r="M133" s="489"/>
      <c r="N133" s="489"/>
      <c r="O133" s="486"/>
      <c r="P133" s="486"/>
      <c r="Q133" s="0"/>
      <c r="R133" s="0"/>
      <c r="S133" s="0"/>
      <c r="T133" s="486"/>
      <c r="U133" s="486"/>
      <c r="V133" s="489"/>
      <c r="W133" s="489"/>
      <c r="X133" s="486"/>
      <c r="Y133" s="486"/>
      <c r="Z133" s="0"/>
      <c r="AA133" s="0"/>
      <c r="AB133" s="0"/>
      <c r="AC133" s="486"/>
      <c r="AD133" s="486"/>
      <c r="AE133" s="489"/>
      <c r="AF133" s="489"/>
      <c r="AG133" s="486"/>
      <c r="AH133" s="486"/>
      <c r="AI133" s="0"/>
    </row>
    <row r="134" customFormat="false" ht="17.35" hidden="false" customHeight="false" outlineLevel="0" collapsed="false">
      <c r="A134" s="55"/>
      <c r="B134" s="25"/>
      <c r="C134" s="25"/>
      <c r="D134" s="25"/>
      <c r="E134" s="25"/>
      <c r="F134" s="25"/>
      <c r="G134" s="147"/>
      <c r="H134" s="148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153" t="s">
        <v>133</v>
      </c>
      <c r="B135" s="153"/>
      <c r="C135" s="153"/>
      <c r="D135" s="153"/>
      <c r="E135" s="153"/>
      <c r="F135" s="153"/>
      <c r="G135" s="29" t="n">
        <f aca="false">H9</f>
        <v>47687.5</v>
      </c>
      <c r="H135" s="154" t="n">
        <f aca="false">C125+E125+G125+H128</f>
        <v>47687.5</v>
      </c>
      <c r="J135" s="486"/>
      <c r="K135" s="486"/>
      <c r="L135" s="486"/>
      <c r="M135" s="486"/>
      <c r="N135" s="486"/>
      <c r="O135" s="486"/>
      <c r="P135" s="0"/>
      <c r="Q135" s="0"/>
      <c r="R135" s="0"/>
      <c r="S135" s="486"/>
      <c r="T135" s="486"/>
      <c r="U135" s="486"/>
      <c r="V135" s="486"/>
      <c r="W135" s="486"/>
      <c r="X135" s="486"/>
      <c r="Y135" s="0"/>
      <c r="Z135" s="0"/>
      <c r="AA135" s="0"/>
      <c r="AB135" s="486"/>
      <c r="AC135" s="486"/>
      <c r="AD135" s="486"/>
      <c r="AE135" s="486"/>
      <c r="AF135" s="486"/>
      <c r="AG135" s="486"/>
      <c r="AH135" s="0"/>
      <c r="AI135" s="0"/>
    </row>
    <row r="136" customFormat="false" ht="17.35" hidden="false" customHeight="false" outlineLevel="0" collapsed="false">
      <c r="A136" s="155" t="s">
        <v>134</v>
      </c>
      <c r="B136" s="155"/>
      <c r="C136" s="155"/>
      <c r="D136" s="155"/>
      <c r="E136" s="155"/>
      <c r="F136" s="155"/>
      <c r="G136" s="21" t="n">
        <f aca="false">H10</f>
        <v>550</v>
      </c>
      <c r="H136" s="20" t="n">
        <f aca="false">G136</f>
        <v>550</v>
      </c>
      <c r="J136" s="486"/>
      <c r="K136" s="486"/>
      <c r="L136" s="486"/>
      <c r="M136" s="486"/>
      <c r="N136" s="486"/>
      <c r="O136" s="486"/>
      <c r="P136" s="0"/>
      <c r="Q136" s="0"/>
      <c r="R136" s="0"/>
      <c r="S136" s="486"/>
      <c r="T136" s="486"/>
      <c r="U136" s="486"/>
      <c r="V136" s="486"/>
      <c r="W136" s="486"/>
      <c r="X136" s="486"/>
      <c r="Y136" s="0"/>
      <c r="Z136" s="0"/>
      <c r="AA136" s="0"/>
      <c r="AB136" s="486"/>
      <c r="AC136" s="486"/>
      <c r="AD136" s="486"/>
      <c r="AE136" s="486"/>
      <c r="AF136" s="486"/>
      <c r="AG136" s="486"/>
      <c r="AH136" s="0"/>
      <c r="AI136" s="0"/>
    </row>
    <row r="137" customFormat="false" ht="17.35" hidden="false" customHeight="false" outlineLevel="0" collapsed="false">
      <c r="A137" s="155" t="s">
        <v>135</v>
      </c>
      <c r="B137" s="155"/>
      <c r="C137" s="155"/>
      <c r="D137" s="155"/>
      <c r="E137" s="155"/>
      <c r="F137" s="155"/>
      <c r="G137" s="21" t="n">
        <f aca="false">H11</f>
        <v>9647.5</v>
      </c>
      <c r="H137" s="20" t="n">
        <f aca="false">(H135+H136)*20%</f>
        <v>9647.5</v>
      </c>
      <c r="J137" s="486"/>
      <c r="K137" s="486"/>
      <c r="L137" s="486"/>
      <c r="M137" s="486"/>
      <c r="N137" s="486"/>
      <c r="O137" s="486"/>
      <c r="P137" s="0"/>
      <c r="Q137" s="0"/>
      <c r="R137" s="0"/>
      <c r="S137" s="486"/>
      <c r="T137" s="486"/>
      <c r="U137" s="486"/>
      <c r="V137" s="486"/>
      <c r="W137" s="486"/>
      <c r="X137" s="486"/>
      <c r="Y137" s="0"/>
      <c r="Z137" s="0"/>
      <c r="AA137" s="0"/>
      <c r="AB137" s="486"/>
      <c r="AC137" s="486"/>
      <c r="AD137" s="486"/>
      <c r="AE137" s="486"/>
      <c r="AF137" s="486"/>
      <c r="AG137" s="486"/>
      <c r="AH137" s="0"/>
      <c r="AI137" s="0"/>
    </row>
    <row r="138" customFormat="false" ht="17.35" hidden="false" customHeight="false" outlineLevel="0" collapsed="false">
      <c r="A138" s="155" t="s">
        <v>136</v>
      </c>
      <c r="B138" s="155"/>
      <c r="C138" s="155"/>
      <c r="D138" s="155"/>
      <c r="E138" s="155"/>
      <c r="F138" s="155"/>
      <c r="G138" s="21" t="n">
        <f aca="false">H12</f>
        <v>0</v>
      </c>
      <c r="H138" s="20" t="n">
        <v>0</v>
      </c>
      <c r="J138" s="486"/>
      <c r="K138" s="486"/>
      <c r="L138" s="486"/>
      <c r="M138" s="486"/>
      <c r="N138" s="486"/>
      <c r="O138" s="486"/>
      <c r="P138" s="0"/>
      <c r="Q138" s="0"/>
      <c r="R138" s="0"/>
      <c r="S138" s="486"/>
      <c r="T138" s="486"/>
      <c r="U138" s="486"/>
      <c r="V138" s="486"/>
      <c r="W138" s="486"/>
      <c r="X138" s="486"/>
      <c r="Y138" s="0"/>
      <c r="Z138" s="0"/>
      <c r="AA138" s="0"/>
      <c r="AB138" s="486"/>
      <c r="AC138" s="486"/>
      <c r="AD138" s="486"/>
      <c r="AE138" s="486"/>
      <c r="AF138" s="486"/>
      <c r="AG138" s="486"/>
      <c r="AH138" s="0"/>
      <c r="AI138" s="0"/>
    </row>
    <row r="139" customFormat="false" ht="17.35" hidden="false" customHeight="false" outlineLevel="0" collapsed="false">
      <c r="A139" s="155" t="s">
        <v>137</v>
      </c>
      <c r="B139" s="155"/>
      <c r="C139" s="155"/>
      <c r="D139" s="155"/>
      <c r="E139" s="155"/>
      <c r="F139" s="155"/>
      <c r="G139" s="21" t="n">
        <f aca="false">H13</f>
        <v>585</v>
      </c>
      <c r="H139" s="20" t="n">
        <f aca="false">G139</f>
        <v>585</v>
      </c>
      <c r="J139" s="486"/>
      <c r="K139" s="486"/>
      <c r="L139" s="486"/>
      <c r="M139" s="486"/>
      <c r="N139" s="486"/>
      <c r="O139" s="486"/>
      <c r="P139" s="0"/>
      <c r="Q139" s="0"/>
      <c r="R139" s="0"/>
      <c r="S139" s="486"/>
      <c r="T139" s="486"/>
      <c r="U139" s="486"/>
      <c r="V139" s="486"/>
      <c r="W139" s="486"/>
      <c r="X139" s="486"/>
      <c r="Y139" s="0"/>
      <c r="Z139" s="0"/>
      <c r="AA139" s="0"/>
      <c r="AB139" s="486"/>
      <c r="AC139" s="486"/>
      <c r="AD139" s="486"/>
      <c r="AE139" s="486"/>
      <c r="AF139" s="486"/>
      <c r="AG139" s="486"/>
      <c r="AH139" s="0"/>
      <c r="AI139" s="0"/>
    </row>
    <row r="140" customFormat="false" ht="17.35" hidden="false" customHeight="false" outlineLevel="0" collapsed="false">
      <c r="A140" s="155" t="s">
        <v>138</v>
      </c>
      <c r="B140" s="155"/>
      <c r="C140" s="155"/>
      <c r="D140" s="155"/>
      <c r="E140" s="155"/>
      <c r="F140" s="155"/>
      <c r="G140" s="21" t="n">
        <f aca="false">H14</f>
        <v>55</v>
      </c>
      <c r="H140" s="20" t="n">
        <v>55</v>
      </c>
      <c r="J140" s="486"/>
      <c r="K140" s="486"/>
      <c r="L140" s="486"/>
      <c r="M140" s="486"/>
      <c r="N140" s="486"/>
      <c r="O140" s="486"/>
      <c r="P140" s="0"/>
      <c r="Q140" s="0"/>
      <c r="R140" s="0"/>
      <c r="S140" s="486"/>
      <c r="T140" s="486"/>
      <c r="U140" s="486"/>
      <c r="V140" s="486"/>
      <c r="W140" s="486"/>
      <c r="X140" s="486"/>
      <c r="Y140" s="0"/>
      <c r="Z140" s="0"/>
      <c r="AA140" s="0"/>
      <c r="AB140" s="486"/>
      <c r="AC140" s="486"/>
      <c r="AD140" s="486"/>
      <c r="AE140" s="486"/>
      <c r="AF140" s="486"/>
      <c r="AG140" s="486"/>
      <c r="AH140" s="0"/>
      <c r="AI140" s="0"/>
    </row>
    <row r="141" customFormat="false" ht="19.7" hidden="false" customHeight="false" outlineLevel="0" collapsed="false">
      <c r="A141" s="155" t="s">
        <v>139</v>
      </c>
      <c r="B141" s="155"/>
      <c r="C141" s="155"/>
      <c r="D141" s="155"/>
      <c r="E141" s="155"/>
      <c r="F141" s="155"/>
      <c r="G141" s="157" t="n">
        <f aca="false">H15</f>
        <v>58525</v>
      </c>
      <c r="H141" s="156" t="n">
        <f aca="false">(H135+H136+H139+H140+H137)-H138</f>
        <v>58525</v>
      </c>
      <c r="J141" s="486"/>
      <c r="K141" s="486"/>
      <c r="L141" s="486"/>
      <c r="M141" s="486"/>
      <c r="N141" s="486"/>
      <c r="O141" s="486"/>
      <c r="P141" s="0"/>
      <c r="Q141" s="0"/>
      <c r="R141" s="0"/>
      <c r="S141" s="486"/>
      <c r="T141" s="486"/>
      <c r="U141" s="486"/>
      <c r="V141" s="486"/>
      <c r="W141" s="486"/>
      <c r="X141" s="486"/>
      <c r="Y141" s="0"/>
      <c r="Z141" s="0"/>
      <c r="AA141" s="0"/>
      <c r="AB141" s="486"/>
      <c r="AC141" s="486"/>
      <c r="AD141" s="486"/>
      <c r="AE141" s="486"/>
      <c r="AF141" s="486"/>
      <c r="AG141" s="486"/>
      <c r="AH141" s="0"/>
      <c r="AI141" s="0"/>
    </row>
    <row r="142" customFormat="false" ht="17.35" hidden="false" customHeight="false" outlineLevel="0" collapsed="false">
      <c r="A142" s="155" t="s">
        <v>140</v>
      </c>
      <c r="B142" s="155"/>
      <c r="C142" s="155"/>
      <c r="D142" s="155"/>
      <c r="E142" s="155"/>
      <c r="F142" s="155"/>
      <c r="G142" s="21" t="n">
        <f aca="false">H16</f>
        <v>0</v>
      </c>
      <c r="H142" s="52" t="n">
        <f aca="false">G142</f>
        <v>0</v>
      </c>
      <c r="J142" s="486"/>
      <c r="K142" s="486"/>
      <c r="L142" s="486"/>
      <c r="M142" s="486"/>
      <c r="N142" s="486"/>
      <c r="O142" s="486"/>
      <c r="P142" s="0"/>
      <c r="Q142" s="0"/>
      <c r="R142" s="0"/>
      <c r="S142" s="486"/>
      <c r="T142" s="486"/>
      <c r="U142" s="486"/>
      <c r="V142" s="486"/>
      <c r="W142" s="486"/>
      <c r="X142" s="486"/>
      <c r="Y142" s="0"/>
      <c r="Z142" s="0"/>
      <c r="AA142" s="0"/>
      <c r="AB142" s="486"/>
      <c r="AC142" s="486"/>
      <c r="AD142" s="486"/>
      <c r="AE142" s="486"/>
      <c r="AF142" s="486"/>
      <c r="AG142" s="486"/>
      <c r="AH142" s="0"/>
      <c r="AI142" s="0"/>
    </row>
    <row r="143" customFormat="false" ht="17.35" hidden="false" customHeight="false" outlineLevel="0" collapsed="false">
      <c r="A143" s="70" t="s">
        <v>141</v>
      </c>
      <c r="B143" s="70"/>
      <c r="C143" s="70"/>
      <c r="D143" s="70"/>
      <c r="E143" s="70"/>
      <c r="F143" s="70"/>
      <c r="G143" s="37"/>
      <c r="H143" s="20"/>
      <c r="J143" s="486"/>
      <c r="K143" s="486"/>
      <c r="L143" s="486"/>
      <c r="M143" s="486"/>
      <c r="N143" s="486"/>
      <c r="O143" s="486"/>
      <c r="P143" s="0"/>
      <c r="Q143" s="0"/>
      <c r="R143" s="0"/>
      <c r="S143" s="486"/>
      <c r="T143" s="486"/>
      <c r="U143" s="486"/>
      <c r="V143" s="486"/>
      <c r="W143" s="486"/>
      <c r="X143" s="486"/>
      <c r="Y143" s="0"/>
      <c r="Z143" s="0"/>
      <c r="AA143" s="0"/>
      <c r="AB143" s="486"/>
      <c r="AC143" s="486"/>
      <c r="AD143" s="486"/>
      <c r="AE143" s="486"/>
      <c r="AF143" s="486"/>
      <c r="AG143" s="486"/>
      <c r="AH143" s="0"/>
      <c r="AI143" s="0"/>
    </row>
    <row r="144" customFormat="false" ht="17.35" hidden="false" customHeight="false" outlineLevel="0" collapsed="false">
      <c r="A144" s="158" t="s">
        <v>15</v>
      </c>
      <c r="B144" s="159" t="n">
        <v>0</v>
      </c>
      <c r="C144" s="159"/>
      <c r="D144" s="159"/>
      <c r="E144" s="159"/>
      <c r="F144" s="159"/>
      <c r="G144" s="21" t="n">
        <f aca="false">H18</f>
        <v>0</v>
      </c>
      <c r="H144" s="52" t="n">
        <v>0</v>
      </c>
      <c r="J144" s="0"/>
      <c r="K144" s="486"/>
      <c r="L144" s="486"/>
      <c r="M144" s="486"/>
      <c r="N144" s="486"/>
      <c r="O144" s="486"/>
      <c r="P144" s="0"/>
      <c r="Q144" s="0"/>
      <c r="R144" s="0"/>
      <c r="S144" s="0"/>
      <c r="T144" s="486"/>
      <c r="U144" s="486"/>
      <c r="V144" s="486"/>
      <c r="W144" s="486"/>
      <c r="X144" s="486"/>
      <c r="Y144" s="0"/>
      <c r="Z144" s="0"/>
      <c r="AA144" s="0"/>
      <c r="AB144" s="0"/>
      <c r="AC144" s="486"/>
      <c r="AD144" s="486"/>
      <c r="AE144" s="486"/>
      <c r="AF144" s="486"/>
      <c r="AG144" s="486"/>
      <c r="AH144" s="0"/>
      <c r="AI144" s="0"/>
    </row>
    <row r="145" customFormat="false" ht="17.35" hidden="false" customHeight="false" outlineLevel="0" collapsed="false">
      <c r="A145" s="158" t="s">
        <v>17</v>
      </c>
      <c r="B145" s="159" t="s">
        <v>142</v>
      </c>
      <c r="C145" s="159"/>
      <c r="D145" s="159"/>
      <c r="E145" s="159"/>
      <c r="F145" s="159"/>
      <c r="G145" s="21" t="n">
        <f aca="false">H19</f>
        <v>0</v>
      </c>
      <c r="H145" s="52" t="n">
        <v>0</v>
      </c>
      <c r="I145" s="1" t="n">
        <f aca="false">(G142+G145+G146+G144)</f>
        <v>0</v>
      </c>
      <c r="J145" s="0"/>
      <c r="K145" s="486"/>
      <c r="L145" s="486"/>
      <c r="M145" s="486"/>
      <c r="N145" s="486"/>
      <c r="O145" s="486"/>
      <c r="P145" s="0"/>
      <c r="Q145" s="0"/>
      <c r="R145" s="0"/>
      <c r="S145" s="0"/>
      <c r="T145" s="486"/>
      <c r="U145" s="486"/>
      <c r="V145" s="486"/>
      <c r="W145" s="486"/>
      <c r="X145" s="486"/>
      <c r="Y145" s="0"/>
      <c r="Z145" s="0"/>
      <c r="AA145" s="0"/>
      <c r="AB145" s="0"/>
      <c r="AC145" s="486"/>
      <c r="AD145" s="486"/>
      <c r="AE145" s="486"/>
      <c r="AF145" s="486"/>
      <c r="AG145" s="486"/>
      <c r="AH145" s="0"/>
      <c r="AI145" s="0"/>
    </row>
    <row r="146" customFormat="false" ht="17.35" hidden="false" customHeight="false" outlineLevel="0" collapsed="false">
      <c r="A146" s="160" t="s">
        <v>18</v>
      </c>
      <c r="B146" s="161" t="s">
        <v>142</v>
      </c>
      <c r="C146" s="161"/>
      <c r="D146" s="161"/>
      <c r="E146" s="161"/>
      <c r="F146" s="161"/>
      <c r="G146" s="21" t="n">
        <f aca="false">H20</f>
        <v>0</v>
      </c>
      <c r="H146" s="52" t="n">
        <v>0</v>
      </c>
      <c r="I146" s="1" t="n">
        <f aca="false">(H142+H144+H145+H146)</f>
        <v>0</v>
      </c>
      <c r="J146" s="0"/>
      <c r="K146" s="486"/>
      <c r="L146" s="486"/>
      <c r="M146" s="486"/>
      <c r="N146" s="486"/>
      <c r="O146" s="486"/>
      <c r="P146" s="0"/>
      <c r="Q146" s="0"/>
      <c r="R146" s="0"/>
      <c r="S146" s="0"/>
      <c r="T146" s="486"/>
      <c r="U146" s="486"/>
      <c r="V146" s="486"/>
      <c r="W146" s="486"/>
      <c r="X146" s="486"/>
      <c r="Y146" s="0"/>
      <c r="Z146" s="0"/>
      <c r="AA146" s="0"/>
      <c r="AB146" s="0"/>
      <c r="AC146" s="486"/>
      <c r="AD146" s="486"/>
      <c r="AE146" s="486"/>
      <c r="AF146" s="486"/>
      <c r="AG146" s="486"/>
      <c r="AH146" s="0"/>
      <c r="AI146" s="0"/>
    </row>
    <row r="147" customFormat="false" ht="19.7" hidden="false" customHeight="false" outlineLevel="0" collapsed="false">
      <c r="A147" s="155" t="s">
        <v>143</v>
      </c>
      <c r="B147" s="155"/>
      <c r="C147" s="155"/>
      <c r="D147" s="155"/>
      <c r="E147" s="155"/>
      <c r="F147" s="155"/>
      <c r="G147" s="157" t="n">
        <f aca="false">G141-((G144*1.2)+(G145*1.2)+(G146*1.2)+(G142*1.2))</f>
        <v>58525</v>
      </c>
      <c r="H147" s="162" t="n">
        <f aca="false">H141-((H144*1.2)+(H145*1.2)+(H146*1.2)+(H142*1.2))</f>
        <v>58525</v>
      </c>
      <c r="J147" s="486"/>
      <c r="K147" s="486"/>
      <c r="L147" s="486"/>
      <c r="M147" s="486"/>
      <c r="N147" s="486"/>
      <c r="O147" s="486"/>
      <c r="P147" s="0"/>
      <c r="Q147" s="0"/>
      <c r="R147" s="0"/>
      <c r="S147" s="486"/>
      <c r="T147" s="486"/>
      <c r="U147" s="486"/>
      <c r="V147" s="486"/>
      <c r="W147" s="486"/>
      <c r="X147" s="486"/>
      <c r="Y147" s="0"/>
      <c r="Z147" s="0"/>
      <c r="AA147" s="0"/>
      <c r="AB147" s="486"/>
      <c r="AC147" s="486"/>
      <c r="AD147" s="486"/>
      <c r="AE147" s="486"/>
      <c r="AF147" s="486"/>
      <c r="AG147" s="486"/>
      <c r="AH147" s="0"/>
      <c r="AI147" s="0"/>
    </row>
    <row r="148" customFormat="false" ht="17.35" hidden="false" customHeight="false" outlineLevel="0" collapsed="false">
      <c r="A148" s="155" t="s">
        <v>144</v>
      </c>
      <c r="B148" s="155"/>
      <c r="C148" s="155"/>
      <c r="D148" s="155"/>
      <c r="E148" s="155"/>
      <c r="F148" s="155"/>
      <c r="G148" s="21"/>
      <c r="H148" s="52" t="n">
        <f aca="false">((H147-G147)-(H137-G137))+((I146-I145)*0.2)</f>
        <v>0</v>
      </c>
      <c r="I148" s="1" t="n">
        <f aca="false">(H148-G81)/1.2</f>
        <v>0</v>
      </c>
      <c r="J148" s="486"/>
      <c r="K148" s="486"/>
      <c r="L148" s="486"/>
      <c r="M148" s="486"/>
      <c r="N148" s="486"/>
      <c r="O148" s="486"/>
      <c r="P148" s="0"/>
      <c r="Q148" s="0"/>
      <c r="R148" s="0"/>
      <c r="S148" s="486"/>
      <c r="T148" s="486"/>
      <c r="U148" s="486"/>
      <c r="V148" s="486"/>
      <c r="W148" s="486"/>
      <c r="X148" s="486"/>
      <c r="Y148" s="0"/>
      <c r="Z148" s="0"/>
      <c r="AA148" s="0"/>
      <c r="AB148" s="486"/>
      <c r="AC148" s="486"/>
      <c r="AD148" s="486"/>
      <c r="AE148" s="486"/>
      <c r="AF148" s="486"/>
      <c r="AG148" s="486"/>
      <c r="AH148" s="0"/>
      <c r="AI148" s="0"/>
    </row>
    <row r="149" customFormat="false" ht="17.35" hidden="false" customHeight="false" outlineLevel="0" collapsed="false">
      <c r="A149" s="55"/>
      <c r="B149" s="25"/>
      <c r="C149" s="25"/>
      <c r="D149" s="25"/>
      <c r="E149" s="45"/>
      <c r="F149" s="45"/>
      <c r="G149" s="45"/>
      <c r="H149" s="2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58" t="s">
        <v>145</v>
      </c>
      <c r="B150" s="58"/>
      <c r="C150" s="58"/>
      <c r="D150" s="58"/>
      <c r="E150" s="58"/>
      <c r="F150" s="58"/>
      <c r="G150" s="58"/>
      <c r="H150" s="58"/>
      <c r="J150" s="486"/>
      <c r="K150" s="486"/>
      <c r="L150" s="486"/>
      <c r="M150" s="486"/>
      <c r="N150" s="486"/>
      <c r="O150" s="486"/>
      <c r="P150" s="486"/>
      <c r="Q150" s="486"/>
      <c r="R150" s="0"/>
      <c r="S150" s="486"/>
      <c r="T150" s="486"/>
      <c r="U150" s="486"/>
      <c r="V150" s="486"/>
      <c r="W150" s="486"/>
      <c r="X150" s="486"/>
      <c r="Y150" s="486"/>
      <c r="Z150" s="486"/>
      <c r="AA150" s="0"/>
      <c r="AB150" s="486"/>
      <c r="AC150" s="486"/>
      <c r="AD150" s="486"/>
      <c r="AE150" s="486"/>
      <c r="AF150" s="486"/>
      <c r="AG150" s="486"/>
      <c r="AH150" s="486"/>
      <c r="AI150" s="486"/>
    </row>
    <row r="151" customFormat="false" ht="17.35" hidden="false" customHeight="false" outlineLevel="0" collapsed="false">
      <c r="A151" s="55"/>
      <c r="B151" s="25"/>
      <c r="C151" s="25"/>
      <c r="D151" s="25"/>
      <c r="E151" s="45"/>
      <c r="F151" s="45"/>
      <c r="G151" s="45"/>
      <c r="H151" s="20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55" t="s">
        <v>146</v>
      </c>
      <c r="B152" s="25"/>
      <c r="C152" s="25"/>
      <c r="D152" s="45"/>
      <c r="E152" s="72" t="n">
        <v>0</v>
      </c>
      <c r="F152" s="72"/>
      <c r="G152" s="72" t="n">
        <v>0</v>
      </c>
      <c r="H152" s="72"/>
      <c r="J152" s="0"/>
      <c r="K152" s="0"/>
      <c r="L152" s="0"/>
      <c r="M152" s="0"/>
      <c r="N152" s="486"/>
      <c r="O152" s="486"/>
      <c r="P152" s="486"/>
      <c r="Q152" s="486"/>
      <c r="R152" s="0"/>
      <c r="S152" s="0"/>
      <c r="T152" s="0"/>
      <c r="U152" s="0"/>
      <c r="V152" s="0"/>
      <c r="W152" s="486"/>
      <c r="X152" s="486"/>
      <c r="Y152" s="486"/>
      <c r="Z152" s="486"/>
      <c r="AA152" s="0"/>
      <c r="AB152" s="0"/>
      <c r="AC152" s="0"/>
      <c r="AD152" s="0"/>
      <c r="AE152" s="0"/>
      <c r="AF152" s="486"/>
      <c r="AG152" s="486"/>
      <c r="AH152" s="486"/>
      <c r="AI152" s="486"/>
    </row>
    <row r="153" customFormat="false" ht="17.35" hidden="false" customHeight="false" outlineLevel="0" collapsed="false">
      <c r="A153" s="55" t="s">
        <v>147</v>
      </c>
      <c r="B153" s="25"/>
      <c r="C153" s="25"/>
      <c r="D153" s="45"/>
      <c r="E153" s="38" t="n">
        <f aca="false">G153</f>
        <v>0</v>
      </c>
      <c r="F153" s="38"/>
      <c r="G153" s="72" t="n">
        <v>0</v>
      </c>
      <c r="H153" s="72"/>
      <c r="J153" s="0"/>
      <c r="K153" s="0"/>
      <c r="L153" s="0"/>
      <c r="M153" s="0"/>
      <c r="N153" s="486"/>
      <c r="O153" s="486"/>
      <c r="P153" s="486"/>
      <c r="Q153" s="486"/>
      <c r="R153" s="0"/>
      <c r="S153" s="0"/>
      <c r="T153" s="0"/>
      <c r="U153" s="0"/>
      <c r="V153" s="0"/>
      <c r="W153" s="486"/>
      <c r="X153" s="486"/>
      <c r="Y153" s="486"/>
      <c r="Z153" s="486"/>
      <c r="AA153" s="0"/>
      <c r="AB153" s="0"/>
      <c r="AC153" s="0"/>
      <c r="AD153" s="0"/>
      <c r="AE153" s="0"/>
      <c r="AF153" s="486"/>
      <c r="AG153" s="486"/>
      <c r="AH153" s="486"/>
      <c r="AI153" s="486"/>
    </row>
    <row r="154" customFormat="false" ht="17.35" hidden="false" customHeight="false" outlineLevel="0" collapsed="false">
      <c r="A154" s="55" t="s">
        <v>148</v>
      </c>
      <c r="B154" s="25"/>
      <c r="C154" s="25"/>
      <c r="D154" s="45"/>
      <c r="E154" s="38" t="n">
        <f aca="false">E152-E153</f>
        <v>0</v>
      </c>
      <c r="F154" s="38"/>
      <c r="G154" s="163" t="n">
        <f aca="false">G152-G153</f>
        <v>0</v>
      </c>
      <c r="H154" s="163"/>
      <c r="J154" s="0"/>
      <c r="K154" s="0"/>
      <c r="L154" s="0"/>
      <c r="M154" s="0"/>
      <c r="N154" s="486"/>
      <c r="O154" s="486"/>
      <c r="P154" s="486"/>
      <c r="Q154" s="486"/>
      <c r="R154" s="0"/>
      <c r="S154" s="0"/>
      <c r="T154" s="0"/>
      <c r="U154" s="0"/>
      <c r="V154" s="0"/>
      <c r="W154" s="486"/>
      <c r="X154" s="486"/>
      <c r="Y154" s="486"/>
      <c r="Z154" s="486"/>
      <c r="AA154" s="0"/>
      <c r="AB154" s="0"/>
      <c r="AC154" s="0"/>
      <c r="AD154" s="0"/>
      <c r="AE154" s="0"/>
      <c r="AF154" s="486"/>
      <c r="AG154" s="486"/>
      <c r="AH154" s="486"/>
      <c r="AI154" s="486"/>
    </row>
    <row r="155" customFormat="false" ht="17.35" hidden="false" customHeight="false" outlineLevel="0" collapsed="false">
      <c r="A155" s="55" t="s">
        <v>149</v>
      </c>
      <c r="B155" s="25"/>
      <c r="C155" s="25"/>
      <c r="D155" s="45"/>
      <c r="E155" s="38" t="n">
        <f aca="false">E154-G154</f>
        <v>0</v>
      </c>
      <c r="F155" s="38"/>
      <c r="G155" s="45"/>
      <c r="H155" s="20"/>
      <c r="J155" s="0"/>
      <c r="K155" s="0"/>
      <c r="L155" s="0"/>
      <c r="M155" s="0"/>
      <c r="N155" s="486"/>
      <c r="O155" s="486"/>
      <c r="P155" s="0"/>
      <c r="Q155" s="0"/>
      <c r="R155" s="0"/>
      <c r="S155" s="0"/>
      <c r="T155" s="0"/>
      <c r="U155" s="0"/>
      <c r="V155" s="0"/>
      <c r="W155" s="486"/>
      <c r="X155" s="486"/>
      <c r="Y155" s="0"/>
      <c r="Z155" s="0"/>
      <c r="AA155" s="0"/>
      <c r="AB155" s="0"/>
      <c r="AC155" s="0"/>
      <c r="AD155" s="0"/>
      <c r="AE155" s="0"/>
      <c r="AF155" s="486"/>
      <c r="AG155" s="486"/>
      <c r="AH155" s="0"/>
      <c r="AI155" s="0"/>
    </row>
    <row r="156" customFormat="false" ht="17.35" hidden="false" customHeight="false" outlineLevel="0" collapsed="false">
      <c r="A156" s="55"/>
      <c r="B156" s="25"/>
      <c r="C156" s="25"/>
      <c r="D156" s="45"/>
      <c r="E156" s="25"/>
      <c r="F156" s="45"/>
      <c r="G156" s="45"/>
      <c r="H156" s="20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48" t="s">
        <v>150</v>
      </c>
      <c r="B157" s="49"/>
      <c r="C157" s="49"/>
      <c r="D157" s="93"/>
      <c r="E157" s="49"/>
      <c r="F157" s="93"/>
      <c r="G157" s="164" t="n">
        <f aca="false">A114</f>
        <v>0</v>
      </c>
      <c r="H157" s="164"/>
      <c r="J157" s="0"/>
      <c r="K157" s="0"/>
      <c r="L157" s="0"/>
      <c r="M157" s="0"/>
      <c r="N157" s="0"/>
      <c r="O157" s="0"/>
      <c r="P157" s="486"/>
      <c r="Q157" s="486"/>
      <c r="R157" s="0"/>
      <c r="S157" s="0"/>
      <c r="T157" s="0"/>
      <c r="U157" s="0"/>
      <c r="V157" s="0"/>
      <c r="W157" s="0"/>
      <c r="X157" s="0"/>
      <c r="Y157" s="486"/>
      <c r="Z157" s="486"/>
      <c r="AA157" s="0"/>
      <c r="AB157" s="0"/>
      <c r="AC157" s="0"/>
      <c r="AD157" s="0"/>
      <c r="AE157" s="0"/>
      <c r="AF157" s="0"/>
      <c r="AG157" s="0"/>
      <c r="AH157" s="486"/>
      <c r="AI157" s="486"/>
    </row>
    <row r="158" customFormat="false" ht="19.7" hidden="false" customHeight="false" outlineLevel="0" collapsed="false">
      <c r="A158" s="165" t="s">
        <v>151</v>
      </c>
      <c r="B158" s="25"/>
      <c r="C158" s="25"/>
      <c r="D158" s="94"/>
      <c r="E158" s="25"/>
      <c r="F158" s="94"/>
      <c r="G158" s="166" t="n">
        <f aca="false">H147-G154-G157</f>
        <v>58525</v>
      </c>
      <c r="H158" s="166"/>
      <c r="J158" s="0"/>
      <c r="K158" s="0"/>
      <c r="L158" s="0"/>
      <c r="M158" s="0"/>
      <c r="N158" s="0"/>
      <c r="O158" s="0"/>
      <c r="P158" s="486"/>
      <c r="Q158" s="486"/>
      <c r="R158" s="0"/>
      <c r="S158" s="0"/>
      <c r="T158" s="0"/>
      <c r="U158" s="0"/>
      <c r="V158" s="0"/>
      <c r="W158" s="0"/>
      <c r="X158" s="0"/>
      <c r="Y158" s="486"/>
      <c r="Z158" s="486"/>
      <c r="AA158" s="0"/>
      <c r="AB158" s="0"/>
      <c r="AC158" s="0"/>
      <c r="AD158" s="0"/>
      <c r="AE158" s="0"/>
      <c r="AF158" s="0"/>
      <c r="AG158" s="0"/>
      <c r="AH158" s="486"/>
      <c r="AI158" s="486"/>
    </row>
    <row r="159" customFormat="false" ht="17.35" hidden="false" customHeight="false" outlineLevel="0" collapsed="false">
      <c r="A159" s="74" t="s">
        <v>152</v>
      </c>
      <c r="B159" s="75"/>
      <c r="C159" s="75"/>
      <c r="D159" s="116"/>
      <c r="E159" s="75"/>
      <c r="F159" s="116"/>
      <c r="G159" s="167" t="str">
        <f aca="false">B114</f>
        <v>239.99</v>
      </c>
      <c r="H159" s="167"/>
      <c r="J159" s="0"/>
      <c r="K159" s="0"/>
      <c r="L159" s="0"/>
      <c r="M159" s="0"/>
      <c r="N159" s="0"/>
      <c r="O159" s="0"/>
      <c r="P159" s="486"/>
      <c r="Q159" s="486"/>
      <c r="R159" s="0"/>
      <c r="S159" s="0"/>
      <c r="T159" s="0"/>
      <c r="U159" s="0"/>
      <c r="V159" s="0"/>
      <c r="W159" s="0"/>
      <c r="X159" s="0"/>
      <c r="Y159" s="486"/>
      <c r="Z159" s="486"/>
      <c r="AA159" s="0"/>
      <c r="AB159" s="0"/>
      <c r="AC159" s="0"/>
      <c r="AD159" s="0"/>
      <c r="AE159" s="0"/>
      <c r="AF159" s="0"/>
      <c r="AG159" s="0"/>
      <c r="AH159" s="486"/>
      <c r="AI159" s="486"/>
    </row>
    <row r="160" customFormat="false" ht="17.35" hidden="false" customHeight="false" outlineLevel="0" collapsed="false">
      <c r="A160" s="55"/>
      <c r="B160" s="25"/>
      <c r="C160" s="25"/>
      <c r="D160" s="25"/>
      <c r="E160" s="45"/>
      <c r="F160" s="45"/>
      <c r="G160" s="45"/>
      <c r="H160" s="2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55"/>
      <c r="B161" s="25"/>
      <c r="C161" s="25"/>
      <c r="D161" s="25"/>
      <c r="E161" s="45"/>
      <c r="F161" s="45"/>
      <c r="G161" s="45"/>
      <c r="H161" s="2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58" t="s">
        <v>153</v>
      </c>
      <c r="B162" s="58"/>
      <c r="C162" s="58"/>
      <c r="D162" s="58"/>
      <c r="E162" s="58"/>
      <c r="F162" s="58"/>
      <c r="G162" s="58"/>
      <c r="H162" s="58"/>
      <c r="J162" s="486"/>
      <c r="K162" s="486"/>
      <c r="L162" s="486"/>
      <c r="M162" s="486"/>
      <c r="N162" s="486"/>
      <c r="O162" s="486"/>
      <c r="P162" s="486"/>
      <c r="Q162" s="486"/>
      <c r="R162" s="0"/>
      <c r="S162" s="486"/>
      <c r="T162" s="486"/>
      <c r="U162" s="486"/>
      <c r="V162" s="486"/>
      <c r="W162" s="486"/>
      <c r="X162" s="486"/>
      <c r="Y162" s="486"/>
      <c r="Z162" s="486"/>
      <c r="AA162" s="0"/>
      <c r="AB162" s="486"/>
      <c r="AC162" s="486"/>
      <c r="AD162" s="486"/>
      <c r="AE162" s="486"/>
      <c r="AF162" s="486"/>
      <c r="AG162" s="486"/>
      <c r="AH162" s="486"/>
      <c r="AI162" s="486"/>
    </row>
    <row r="163" customFormat="false" ht="17.35" hidden="false" customHeight="false" outlineLevel="0" collapsed="false">
      <c r="A163" s="55"/>
      <c r="B163" s="25"/>
      <c r="C163" s="25"/>
      <c r="D163" s="25"/>
      <c r="E163" s="45"/>
      <c r="F163" s="45"/>
      <c r="G163" s="45"/>
      <c r="H163" s="2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55" t="s">
        <v>29</v>
      </c>
      <c r="B164" s="168" t="n">
        <v>0</v>
      </c>
      <c r="C164" s="168"/>
      <c r="D164" s="25"/>
      <c r="E164" s="45"/>
      <c r="F164" s="45"/>
      <c r="G164" s="45"/>
      <c r="H164" s="20"/>
      <c r="J164" s="0"/>
      <c r="K164" s="486"/>
      <c r="L164" s="486"/>
      <c r="M164" s="0"/>
      <c r="N164" s="0"/>
      <c r="O164" s="0"/>
      <c r="P164" s="0"/>
      <c r="Q164" s="0"/>
      <c r="R164" s="0"/>
      <c r="S164" s="0"/>
      <c r="T164" s="486"/>
      <c r="U164" s="486"/>
      <c r="V164" s="0"/>
      <c r="W164" s="0"/>
      <c r="X164" s="0"/>
      <c r="Y164" s="0"/>
      <c r="Z164" s="0"/>
      <c r="AA164" s="0"/>
      <c r="AB164" s="0"/>
      <c r="AC164" s="486"/>
      <c r="AD164" s="48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55"/>
      <c r="B165" s="25"/>
      <c r="C165" s="25"/>
      <c r="D165" s="25"/>
      <c r="E165" s="45"/>
      <c r="F165" s="45"/>
      <c r="G165" s="45"/>
      <c r="H165" s="2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169" t="s">
        <v>154</v>
      </c>
      <c r="B166" s="170" t="s">
        <v>155</v>
      </c>
      <c r="C166" s="170"/>
      <c r="D166" s="170"/>
      <c r="E166" s="170" t="s">
        <v>156</v>
      </c>
      <c r="F166" s="45"/>
      <c r="G166" s="45"/>
      <c r="H166" s="2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173" t="n">
        <f aca="false">B95</f>
        <v>1584.81640136705</v>
      </c>
      <c r="B167" s="172" t="n">
        <f aca="false">B94</f>
        <v>22.9125</v>
      </c>
      <c r="C167" s="170"/>
      <c r="D167" s="170"/>
      <c r="E167" s="172" t="n">
        <f aca="false">B96</f>
        <v>1607.72890136705</v>
      </c>
      <c r="F167" s="45"/>
      <c r="G167" s="45"/>
      <c r="H167" s="2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55"/>
      <c r="B168" s="25"/>
      <c r="C168" s="25"/>
      <c r="D168" s="25"/>
      <c r="E168" s="45"/>
      <c r="F168" s="45"/>
      <c r="G168" s="45"/>
      <c r="H168" s="2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55" t="s">
        <v>28</v>
      </c>
      <c r="B169" s="25" t="s">
        <v>33</v>
      </c>
      <c r="C169" s="25"/>
      <c r="D169" s="45"/>
      <c r="E169" s="25" t="s">
        <v>157</v>
      </c>
      <c r="F169" s="45"/>
      <c r="G169" s="45"/>
      <c r="H169" s="2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63" t="n">
        <f aca="false">B29</f>
        <v>12345</v>
      </c>
      <c r="B170" s="176" t="n">
        <f aca="false">B30</f>
        <v>0</v>
      </c>
      <c r="C170" s="175"/>
      <c r="D170" s="45"/>
      <c r="E170" s="73" t="n">
        <v>6000</v>
      </c>
      <c r="F170" s="45"/>
      <c r="G170" s="45"/>
      <c r="H170" s="2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55"/>
      <c r="B171" s="25"/>
      <c r="C171" s="25"/>
      <c r="D171" s="45"/>
      <c r="E171" s="25"/>
      <c r="F171" s="45"/>
      <c r="G171" s="45"/>
      <c r="H171" s="2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55" t="s">
        <v>158</v>
      </c>
      <c r="B172" s="25" t="s">
        <v>159</v>
      </c>
      <c r="C172" s="25"/>
      <c r="D172" s="45"/>
      <c r="E172" s="25" t="s">
        <v>160</v>
      </c>
      <c r="F172" s="45"/>
      <c r="G172" s="45"/>
      <c r="H172" s="2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69" t="n">
        <f aca="false">H141-H137-H139-H140</f>
        <v>48237.5</v>
      </c>
      <c r="B173" s="37" t="n">
        <f aca="false">H137</f>
        <v>9647.5</v>
      </c>
      <c r="C173" s="67"/>
      <c r="D173" s="45"/>
      <c r="E173" s="73" t="n">
        <f aca="false">H139+H140</f>
        <v>640</v>
      </c>
      <c r="F173" s="45"/>
      <c r="G173" s="45"/>
      <c r="H173" s="2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55"/>
      <c r="B174" s="25"/>
      <c r="C174" s="25"/>
      <c r="D174" s="45"/>
      <c r="E174" s="25"/>
      <c r="F174" s="45"/>
      <c r="G174" s="45"/>
      <c r="H174" s="2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55" t="s">
        <v>161</v>
      </c>
      <c r="B175" s="25" t="s">
        <v>108</v>
      </c>
      <c r="C175" s="25"/>
      <c r="D175" s="45"/>
      <c r="E175" s="25" t="s">
        <v>109</v>
      </c>
      <c r="F175" s="45"/>
      <c r="G175" s="45"/>
      <c r="H175" s="2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69" t="n">
        <f aca="false">H141</f>
        <v>58525</v>
      </c>
      <c r="B176" s="37" t="n">
        <f aca="false">B111</f>
        <v>0</v>
      </c>
      <c r="C176" s="37"/>
      <c r="D176" s="45"/>
      <c r="E176" s="37" t="n">
        <f aca="false">E111</f>
        <v>0</v>
      </c>
      <c r="F176" s="45"/>
      <c r="G176" s="45"/>
      <c r="H176" s="177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55"/>
      <c r="B177" s="25"/>
      <c r="C177" s="25"/>
      <c r="D177" s="45"/>
      <c r="E177" s="25"/>
      <c r="F177" s="45"/>
      <c r="G177" s="45"/>
      <c r="H177" s="2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55" t="s">
        <v>110</v>
      </c>
      <c r="B178" s="25" t="s">
        <v>146</v>
      </c>
      <c r="C178" s="25"/>
      <c r="D178" s="45"/>
      <c r="E178" s="25" t="s">
        <v>151</v>
      </c>
      <c r="F178" s="45"/>
      <c r="G178" s="45"/>
      <c r="H178" s="2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70" t="n">
        <f aca="false">B176+E176</f>
        <v>0</v>
      </c>
      <c r="B179" s="37" t="n">
        <f aca="false">G154</f>
        <v>0</v>
      </c>
      <c r="C179" s="37"/>
      <c r="D179" s="45"/>
      <c r="E179" s="37" t="n">
        <f aca="false">A176-A179-B179</f>
        <v>58525</v>
      </c>
      <c r="F179" s="45"/>
      <c r="G179" s="45"/>
      <c r="H179" s="177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55"/>
      <c r="B180" s="25"/>
      <c r="C180" s="25"/>
      <c r="D180" s="45"/>
      <c r="E180" s="25"/>
      <c r="F180" s="45"/>
      <c r="G180" s="45"/>
      <c r="H180" s="2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55" t="s">
        <v>162</v>
      </c>
      <c r="B181" s="25" t="s">
        <v>152</v>
      </c>
      <c r="C181" s="25"/>
      <c r="D181" s="45"/>
      <c r="E181" s="25" t="s">
        <v>163</v>
      </c>
      <c r="F181" s="45"/>
      <c r="G181" s="45"/>
      <c r="H181" s="2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70" t="n">
        <f aca="false">(A167*B59)+E185-E179-A185</f>
        <v>-1810.8751562543</v>
      </c>
      <c r="B182" s="37" t="str">
        <f aca="false">B114</f>
        <v>239.99</v>
      </c>
      <c r="C182" s="37"/>
      <c r="D182" s="45"/>
      <c r="E182" s="37" t="n">
        <f aca="false">E179+A182+B182+A185</f>
        <v>56964.1148437457</v>
      </c>
      <c r="F182" s="45"/>
      <c r="G182" s="45"/>
      <c r="H182" s="177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55"/>
      <c r="B183" s="25"/>
      <c r="C183" s="25"/>
      <c r="D183" s="45"/>
      <c r="E183" s="25"/>
      <c r="F183" s="45"/>
      <c r="G183" s="45"/>
      <c r="H183" s="2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55" t="s">
        <v>164</v>
      </c>
      <c r="B184" s="25" t="s">
        <v>165</v>
      </c>
      <c r="C184" s="25"/>
      <c r="D184" s="45"/>
      <c r="E184" s="25" t="s">
        <v>166</v>
      </c>
      <c r="F184" s="45"/>
      <c r="G184" s="45"/>
      <c r="H184" s="2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70" t="n">
        <f aca="false">B60</f>
        <v>10</v>
      </c>
      <c r="B185" s="37" t="n">
        <f aca="false">A179+B182</f>
        <v>239.99</v>
      </c>
      <c r="C185" s="37"/>
      <c r="D185" s="45"/>
      <c r="E185" s="37" t="n">
        <f aca="false">E170+A185</f>
        <v>6010</v>
      </c>
      <c r="F185" s="45"/>
      <c r="G185" s="45"/>
      <c r="H185" s="177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55"/>
      <c r="B186" s="25"/>
      <c r="C186" s="25"/>
      <c r="D186" s="25"/>
      <c r="E186" s="45"/>
      <c r="F186" s="45"/>
      <c r="G186" s="45"/>
      <c r="H186" s="2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55" t="s">
        <v>167</v>
      </c>
      <c r="B187" s="25" t="s">
        <v>168</v>
      </c>
      <c r="C187" s="25"/>
      <c r="D187" s="25"/>
      <c r="E187" s="38" t="s">
        <v>169</v>
      </c>
      <c r="F187" s="45"/>
      <c r="G187" s="45"/>
      <c r="H187" s="2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70" t="n">
        <f aca="false">J18*0.000002*100*1.2</f>
        <v>13.8924</v>
      </c>
      <c r="B188" s="37" t="n">
        <f aca="false">(G158*B67)/1.2</f>
        <v>457.2265625</v>
      </c>
      <c r="C188" s="25"/>
      <c r="D188" s="25"/>
      <c r="E188" s="37" t="n">
        <f aca="false">IF(E105 = "YES" , (H36*A108)*0.1 , 0)</f>
        <v>14.1</v>
      </c>
      <c r="F188" s="45"/>
      <c r="G188" s="45"/>
      <c r="H188" s="2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70"/>
      <c r="B189" s="37"/>
      <c r="C189" s="25"/>
      <c r="D189" s="25"/>
      <c r="E189" s="45"/>
      <c r="F189" s="45"/>
      <c r="G189" s="45"/>
      <c r="H189" s="2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78" t="s">
        <v>170</v>
      </c>
      <c r="B190" s="38" t="s">
        <v>171</v>
      </c>
      <c r="C190" s="25"/>
      <c r="D190" s="25"/>
      <c r="E190" s="38" t="s">
        <v>172</v>
      </c>
      <c r="F190" s="45"/>
      <c r="G190" s="45"/>
      <c r="H190" s="2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70" t="n">
        <f aca="false">(B182/1.2)-100</f>
        <v>99.9916666666667</v>
      </c>
      <c r="B191" s="37" t="n">
        <f aca="false">B188+E188+A191</f>
        <v>571.318229166667</v>
      </c>
      <c r="C191" s="25"/>
      <c r="D191" s="25"/>
      <c r="E191" s="37" t="n">
        <f aca="false">H148</f>
        <v>0</v>
      </c>
      <c r="F191" s="45"/>
      <c r="G191" s="45"/>
      <c r="H191" s="2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55"/>
      <c r="B192" s="25"/>
      <c r="C192" s="25"/>
      <c r="D192" s="25"/>
      <c r="E192" s="45"/>
      <c r="F192" s="45"/>
      <c r="G192" s="45"/>
      <c r="H192" s="2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83" t="s">
        <v>173</v>
      </c>
      <c r="B193" s="25"/>
      <c r="C193" s="25"/>
      <c r="D193" s="84"/>
      <c r="E193" s="84"/>
      <c r="F193" s="84"/>
      <c r="G193" s="84"/>
      <c r="H193" s="85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55"/>
      <c r="B194" s="87"/>
      <c r="C194" s="87"/>
      <c r="D194" s="25"/>
      <c r="E194" s="45"/>
      <c r="F194" s="45"/>
      <c r="G194" s="45"/>
      <c r="H194" s="20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88" t="s">
        <v>28</v>
      </c>
      <c r="B195" s="89" t="s">
        <v>33</v>
      </c>
      <c r="C195" s="89"/>
      <c r="D195" s="89"/>
      <c r="E195" s="45"/>
      <c r="F195" s="45"/>
      <c r="G195" s="45"/>
      <c r="H195" s="20"/>
      <c r="J195" s="486"/>
      <c r="K195" s="486"/>
      <c r="L195" s="486"/>
      <c r="M195" s="486"/>
      <c r="N195" s="0"/>
      <c r="O195" s="0"/>
      <c r="P195" s="0"/>
      <c r="Q195" s="0"/>
      <c r="R195" s="0"/>
      <c r="S195" s="486"/>
      <c r="T195" s="486"/>
      <c r="U195" s="486"/>
      <c r="V195" s="486"/>
      <c r="W195" s="0"/>
      <c r="X195" s="0"/>
      <c r="Y195" s="0"/>
      <c r="Z195" s="0"/>
      <c r="AA195" s="0"/>
      <c r="AB195" s="486"/>
      <c r="AC195" s="486"/>
      <c r="AD195" s="486"/>
      <c r="AE195" s="486"/>
      <c r="AF195" s="0"/>
      <c r="AG195" s="0"/>
      <c r="AH195" s="0"/>
      <c r="AI195" s="0"/>
    </row>
    <row r="196" customFormat="false" ht="19.5" hidden="false" customHeight="true" outlineLevel="0" collapsed="false">
      <c r="A196" s="88"/>
      <c r="B196" s="90" t="str">
        <f aca="false">H30</f>
        <v>5000</v>
      </c>
      <c r="C196" s="90"/>
      <c r="D196" s="90"/>
      <c r="E196" s="45"/>
      <c r="F196" s="45"/>
      <c r="G196" s="45"/>
      <c r="H196" s="20"/>
      <c r="J196" s="486"/>
      <c r="K196" s="486"/>
      <c r="L196" s="486"/>
      <c r="M196" s="486"/>
      <c r="N196" s="0"/>
      <c r="O196" s="0"/>
      <c r="P196" s="0"/>
      <c r="Q196" s="0"/>
      <c r="R196" s="0"/>
      <c r="S196" s="486"/>
      <c r="T196" s="486"/>
      <c r="U196" s="486"/>
      <c r="V196" s="486"/>
      <c r="W196" s="0"/>
      <c r="X196" s="0"/>
      <c r="Y196" s="0"/>
      <c r="Z196" s="0"/>
      <c r="AA196" s="0"/>
      <c r="AB196" s="486"/>
      <c r="AC196" s="486"/>
      <c r="AD196" s="486"/>
      <c r="AE196" s="486"/>
      <c r="AF196" s="0"/>
      <c r="AG196" s="0"/>
      <c r="AH196" s="0"/>
      <c r="AI196" s="0"/>
    </row>
    <row r="197" customFormat="false" ht="17.35" hidden="false" customHeight="false" outlineLevel="0" collapsed="false">
      <c r="A197" s="91" t="str">
        <f aca="false">H29</f>
        <v>33</v>
      </c>
      <c r="B197" s="92" t="n">
        <f aca="false">B96</f>
        <v>1607.72890136705</v>
      </c>
      <c r="C197" s="92"/>
      <c r="D197" s="92"/>
      <c r="E197" s="45"/>
      <c r="F197" s="45"/>
      <c r="G197" s="45"/>
      <c r="H197" s="20"/>
      <c r="J197" s="0"/>
      <c r="K197" s="486"/>
      <c r="L197" s="486"/>
      <c r="M197" s="486"/>
      <c r="N197" s="0"/>
      <c r="O197" s="0"/>
      <c r="P197" s="0"/>
      <c r="Q197" s="0"/>
      <c r="R197" s="0"/>
      <c r="S197" s="0"/>
      <c r="T197" s="486"/>
      <c r="U197" s="486"/>
      <c r="V197" s="486"/>
      <c r="W197" s="0"/>
      <c r="X197" s="0"/>
      <c r="Y197" s="0"/>
      <c r="Z197" s="0"/>
      <c r="AA197" s="0"/>
      <c r="AB197" s="0"/>
      <c r="AC197" s="486"/>
      <c r="AD197" s="486"/>
      <c r="AE197" s="486"/>
      <c r="AF197" s="0"/>
      <c r="AG197" s="0"/>
      <c r="AH197" s="0"/>
      <c r="AI197" s="0"/>
    </row>
    <row r="198" customFormat="false" ht="17.35" hidden="false" customHeight="false" outlineLevel="0" collapsed="false">
      <c r="A198" s="55"/>
      <c r="B198" s="25"/>
      <c r="C198" s="25"/>
      <c r="D198" s="25"/>
      <c r="E198" s="45"/>
      <c r="F198" s="45"/>
      <c r="G198" s="45"/>
      <c r="H198" s="20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55"/>
      <c r="B199" s="25"/>
      <c r="C199" s="25"/>
      <c r="D199" s="25"/>
      <c r="E199" s="45"/>
      <c r="F199" s="45"/>
      <c r="G199" s="45"/>
      <c r="H199" s="2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55"/>
      <c r="B200" s="25"/>
      <c r="C200" s="25"/>
      <c r="D200" s="25"/>
      <c r="E200" s="45"/>
      <c r="F200" s="45"/>
      <c r="G200" s="45"/>
      <c r="H200" s="20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55"/>
      <c r="B201" s="25"/>
      <c r="C201" s="25"/>
      <c r="D201" s="25"/>
      <c r="E201" s="45"/>
      <c r="F201" s="45"/>
      <c r="G201" s="45"/>
      <c r="H201" s="20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74"/>
      <c r="B202" s="75"/>
      <c r="C202" s="75"/>
      <c r="D202" s="75"/>
      <c r="E202" s="75"/>
      <c r="F202" s="75"/>
      <c r="G202" s="75"/>
      <c r="H202" s="82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179" t="s">
        <v>153</v>
      </c>
      <c r="B206" s="179"/>
      <c r="C206" s="179"/>
      <c r="D206" s="179"/>
      <c r="E206" s="179"/>
      <c r="F206" s="179"/>
      <c r="G206" s="179"/>
      <c r="H206" s="179"/>
    </row>
    <row r="207" customFormat="false" ht="17.35" hidden="false" customHeight="false" outlineLevel="0" collapsed="false">
      <c r="A207" s="55"/>
      <c r="B207" s="25"/>
      <c r="C207" s="25"/>
      <c r="D207" s="25"/>
      <c r="E207" s="94"/>
      <c r="F207" s="94"/>
      <c r="G207" s="94"/>
      <c r="H207" s="20"/>
    </row>
    <row r="208" customFormat="false" ht="17.35" hidden="false" customHeight="false" outlineLevel="0" collapsed="false">
      <c r="A208" s="180" t="s">
        <v>98</v>
      </c>
      <c r="B208" s="181" t="s">
        <v>174</v>
      </c>
      <c r="C208" s="181"/>
      <c r="D208" s="181"/>
      <c r="E208" s="181" t="s">
        <v>175</v>
      </c>
      <c r="F208" s="182"/>
      <c r="G208" s="94"/>
      <c r="H208" s="20"/>
    </row>
    <row r="209" customFormat="false" ht="17.35" hidden="false" customHeight="false" outlineLevel="0" collapsed="false">
      <c r="A209" s="183" t="s">
        <v>176</v>
      </c>
      <c r="B209" s="170" t="str">
        <f aca="false">A197</f>
        <v>33</v>
      </c>
      <c r="C209" s="170"/>
      <c r="D209" s="170"/>
      <c r="E209" s="170" t="str">
        <f aca="false">B196</f>
        <v>5000</v>
      </c>
      <c r="F209" s="182"/>
      <c r="G209" s="94"/>
      <c r="H209" s="20"/>
    </row>
    <row r="210" customFormat="false" ht="17.35" hidden="false" customHeight="false" outlineLevel="0" collapsed="false">
      <c r="A210" s="55"/>
      <c r="B210" s="25"/>
      <c r="C210" s="25"/>
      <c r="D210" s="25"/>
      <c r="E210" s="94"/>
      <c r="F210" s="94"/>
      <c r="G210" s="94"/>
      <c r="H210" s="20"/>
    </row>
    <row r="211" customFormat="false" ht="17.35" hidden="false" customHeight="false" outlineLevel="0" collapsed="false">
      <c r="A211" s="180" t="s">
        <v>154</v>
      </c>
      <c r="B211" s="181" t="s">
        <v>155</v>
      </c>
      <c r="C211" s="181"/>
      <c r="D211" s="181"/>
      <c r="E211" s="181" t="s">
        <v>156</v>
      </c>
      <c r="F211" s="94"/>
      <c r="G211" s="94"/>
      <c r="H211" s="20"/>
    </row>
    <row r="212" customFormat="false" ht="17.35" hidden="false" customHeight="false" outlineLevel="0" collapsed="false">
      <c r="A212" s="173" t="n">
        <f aca="false">A167</f>
        <v>1584.81640136705</v>
      </c>
      <c r="B212" s="172" t="n">
        <f aca="false">B167</f>
        <v>22.9125</v>
      </c>
      <c r="C212" s="170"/>
      <c r="D212" s="170"/>
      <c r="E212" s="172" t="n">
        <f aca="false">E167</f>
        <v>1607.72890136705</v>
      </c>
      <c r="F212" s="94"/>
      <c r="G212" s="94"/>
      <c r="H212" s="20"/>
    </row>
    <row r="213" customFormat="false" ht="17.35" hidden="false" customHeight="false" outlineLevel="0" collapsed="false">
      <c r="A213" s="55"/>
      <c r="B213" s="25"/>
      <c r="C213" s="25"/>
      <c r="D213" s="25"/>
      <c r="E213" s="94"/>
      <c r="F213" s="94"/>
      <c r="G213" s="94"/>
      <c r="H213" s="20"/>
    </row>
    <row r="214" customFormat="false" ht="17.35" hidden="false" customHeight="false" outlineLevel="0" collapsed="false">
      <c r="A214" s="55" t="s">
        <v>158</v>
      </c>
      <c r="B214" s="25" t="s">
        <v>159</v>
      </c>
      <c r="C214" s="25"/>
      <c r="D214" s="94"/>
      <c r="E214" s="25" t="s">
        <v>160</v>
      </c>
      <c r="F214" s="94"/>
      <c r="G214" s="94"/>
      <c r="H214" s="20"/>
    </row>
    <row r="215" customFormat="false" ht="17.35" hidden="false" customHeight="false" outlineLevel="0" collapsed="false">
      <c r="A215" s="69" t="n">
        <f aca="false">A173</f>
        <v>48237.5</v>
      </c>
      <c r="B215" s="37" t="n">
        <f aca="false">B173</f>
        <v>9647.5</v>
      </c>
      <c r="C215" s="67"/>
      <c r="D215" s="94"/>
      <c r="E215" s="73" t="n">
        <f aca="false">E173</f>
        <v>640</v>
      </c>
      <c r="F215" s="94"/>
      <c r="G215" s="94"/>
      <c r="H215" s="20"/>
    </row>
    <row r="216" customFormat="false" ht="17.35" hidden="false" customHeight="false" outlineLevel="0" collapsed="false">
      <c r="A216" s="55"/>
      <c r="B216" s="25"/>
      <c r="C216" s="25"/>
      <c r="D216" s="94"/>
      <c r="E216" s="25"/>
      <c r="F216" s="94"/>
      <c r="G216" s="94"/>
      <c r="H216" s="20"/>
    </row>
    <row r="217" customFormat="false" ht="17.35" hidden="false" customHeight="false" outlineLevel="0" collapsed="false">
      <c r="A217" s="55" t="s">
        <v>161</v>
      </c>
      <c r="B217" s="25" t="s">
        <v>108</v>
      </c>
      <c r="C217" s="25"/>
      <c r="D217" s="94"/>
      <c r="E217" s="25" t="s">
        <v>109</v>
      </c>
      <c r="F217" s="94"/>
      <c r="G217" s="94"/>
      <c r="H217" s="20"/>
    </row>
    <row r="218" customFormat="false" ht="17.35" hidden="false" customHeight="false" outlineLevel="0" collapsed="false">
      <c r="A218" s="69" t="n">
        <f aca="false">A176</f>
        <v>58525</v>
      </c>
      <c r="B218" s="37" t="n">
        <f aca="false">B176</f>
        <v>0</v>
      </c>
      <c r="C218" s="37"/>
      <c r="D218" s="94"/>
      <c r="E218" s="37" t="n">
        <f aca="false">E176</f>
        <v>0</v>
      </c>
      <c r="F218" s="94"/>
      <c r="G218" s="94"/>
      <c r="H218" s="177"/>
    </row>
    <row r="219" customFormat="false" ht="17.35" hidden="false" customHeight="false" outlineLevel="0" collapsed="false">
      <c r="A219" s="55"/>
      <c r="B219" s="25"/>
      <c r="C219" s="25"/>
      <c r="D219" s="94"/>
      <c r="E219" s="25"/>
      <c r="F219" s="94"/>
      <c r="G219" s="94"/>
      <c r="H219" s="20"/>
    </row>
    <row r="220" customFormat="false" ht="17.35" hidden="false" customHeight="false" outlineLevel="0" collapsed="false">
      <c r="A220" s="55" t="s">
        <v>110</v>
      </c>
      <c r="B220" s="25" t="s">
        <v>146</v>
      </c>
      <c r="C220" s="25"/>
      <c r="D220" s="94"/>
      <c r="E220" s="25" t="s">
        <v>151</v>
      </c>
      <c r="F220" s="94"/>
      <c r="G220" s="94"/>
      <c r="H220" s="20"/>
    </row>
    <row r="221" customFormat="false" ht="17.35" hidden="false" customHeight="false" outlineLevel="0" collapsed="false">
      <c r="A221" s="70" t="n">
        <f aca="false">A179</f>
        <v>0</v>
      </c>
      <c r="B221" s="37" t="n">
        <f aca="false">B179</f>
        <v>0</v>
      </c>
      <c r="C221" s="37"/>
      <c r="D221" s="94"/>
      <c r="E221" s="37" t="n">
        <f aca="false">E179</f>
        <v>58525</v>
      </c>
      <c r="F221" s="94"/>
      <c r="G221" s="94"/>
      <c r="H221" s="177"/>
    </row>
    <row r="222" customFormat="false" ht="17.35" hidden="false" customHeight="false" outlineLevel="0" collapsed="false">
      <c r="A222" s="55"/>
      <c r="B222" s="25"/>
      <c r="C222" s="25"/>
      <c r="D222" s="94"/>
      <c r="E222" s="25"/>
      <c r="F222" s="94"/>
      <c r="G222" s="94"/>
      <c r="H222" s="20"/>
    </row>
    <row r="223" customFormat="false" ht="17.35" hidden="false" customHeight="false" outlineLevel="0" collapsed="false">
      <c r="A223" s="55" t="s">
        <v>162</v>
      </c>
      <c r="B223" s="25" t="s">
        <v>152</v>
      </c>
      <c r="C223" s="25"/>
      <c r="D223" s="94"/>
      <c r="E223" s="25" t="s">
        <v>163</v>
      </c>
      <c r="F223" s="94"/>
      <c r="G223" s="94"/>
      <c r="H223" s="20"/>
    </row>
    <row r="224" customFormat="false" ht="17.35" hidden="false" customHeight="false" outlineLevel="0" collapsed="false">
      <c r="A224" s="70" t="n">
        <f aca="false">A182</f>
        <v>-1810.8751562543</v>
      </c>
      <c r="B224" s="37" t="str">
        <f aca="false">B182</f>
        <v>239.99</v>
      </c>
      <c r="C224" s="37"/>
      <c r="D224" s="94"/>
      <c r="E224" s="37" t="n">
        <f aca="false">E182</f>
        <v>56964.1148437457</v>
      </c>
      <c r="F224" s="94"/>
      <c r="G224" s="94"/>
      <c r="H224" s="177"/>
    </row>
    <row r="225" customFormat="false" ht="17.35" hidden="false" customHeight="false" outlineLevel="0" collapsed="false">
      <c r="A225" s="55"/>
      <c r="B225" s="25"/>
      <c r="C225" s="25"/>
      <c r="D225" s="94"/>
      <c r="E225" s="25"/>
      <c r="F225" s="94"/>
      <c r="G225" s="94"/>
      <c r="H225" s="20"/>
    </row>
    <row r="226" customFormat="false" ht="17.35" hidden="false" customHeight="false" outlineLevel="0" collapsed="false">
      <c r="A226" s="55" t="s">
        <v>164</v>
      </c>
      <c r="B226" s="25" t="s">
        <v>165</v>
      </c>
      <c r="C226" s="25"/>
      <c r="D226" s="94"/>
      <c r="E226" s="25" t="s">
        <v>177</v>
      </c>
      <c r="F226" s="94"/>
      <c r="G226" s="94"/>
      <c r="H226" s="20"/>
    </row>
    <row r="227" customFormat="false" ht="17.35" hidden="false" customHeight="false" outlineLevel="0" collapsed="false">
      <c r="A227" s="70" t="n">
        <f aca="false">A185</f>
        <v>10</v>
      </c>
      <c r="B227" s="37" t="n">
        <f aca="false">B185</f>
        <v>239.99</v>
      </c>
      <c r="C227" s="37"/>
      <c r="D227" s="94"/>
      <c r="E227" s="37" t="n">
        <f aca="false">B59</f>
        <v>32</v>
      </c>
      <c r="F227" s="94"/>
      <c r="G227" s="94"/>
      <c r="H227" s="177"/>
    </row>
    <row r="228" customFormat="false" ht="17.35" hidden="false" customHeight="false" outlineLevel="0" collapsed="false">
      <c r="A228" s="55"/>
      <c r="B228" s="25"/>
      <c r="C228" s="25"/>
      <c r="D228" s="25"/>
      <c r="E228" s="94"/>
      <c r="F228" s="94"/>
      <c r="G228" s="94"/>
      <c r="H228" s="20"/>
    </row>
    <row r="229" customFormat="false" ht="17.35" hidden="false" customHeight="false" outlineLevel="0" collapsed="false">
      <c r="A229" s="55" t="s">
        <v>154</v>
      </c>
      <c r="B229" s="25" t="s">
        <v>155</v>
      </c>
      <c r="C229" s="25"/>
      <c r="D229" s="25"/>
      <c r="E229" s="25" t="s">
        <v>156</v>
      </c>
      <c r="F229" s="94"/>
      <c r="G229" s="94"/>
      <c r="H229" s="20"/>
    </row>
    <row r="230" customFormat="false" ht="17.35" hidden="false" customHeight="false" outlineLevel="0" collapsed="false">
      <c r="A230" s="70" t="n">
        <f aca="false">A167</f>
        <v>1584.81640136705</v>
      </c>
      <c r="B230" s="37" t="n">
        <f aca="false">B167</f>
        <v>22.9125</v>
      </c>
      <c r="C230" s="67"/>
      <c r="D230" s="67"/>
      <c r="E230" s="37" t="n">
        <f aca="false">E167</f>
        <v>1607.72890136705</v>
      </c>
      <c r="F230" s="94"/>
      <c r="G230" s="94"/>
      <c r="H230" s="20"/>
    </row>
    <row r="231" customFormat="false" ht="17.35" hidden="false" customHeight="false" outlineLevel="0" collapsed="false">
      <c r="A231" s="55"/>
      <c r="B231" s="25"/>
      <c r="C231" s="25"/>
      <c r="D231" s="25"/>
      <c r="E231" s="94"/>
      <c r="F231" s="94"/>
      <c r="G231" s="94"/>
      <c r="H231" s="20"/>
    </row>
    <row r="232" customFormat="false" ht="17.35" hidden="false" customHeight="false" outlineLevel="0" collapsed="false">
      <c r="A232" s="55" t="s">
        <v>178</v>
      </c>
      <c r="B232" s="25" t="s">
        <v>179</v>
      </c>
      <c r="C232" s="25"/>
      <c r="D232" s="25"/>
      <c r="E232" s="25" t="s">
        <v>180</v>
      </c>
      <c r="F232" s="94"/>
      <c r="G232" s="94"/>
      <c r="H232" s="20"/>
    </row>
    <row r="233" customFormat="false" ht="17.35" hidden="false" customHeight="false" outlineLevel="0" collapsed="false">
      <c r="A233" s="70" t="n">
        <f aca="false">E170</f>
        <v>6000</v>
      </c>
      <c r="B233" s="37" t="n">
        <f aca="false">E185</f>
        <v>6010</v>
      </c>
      <c r="C233" s="25"/>
      <c r="D233" s="25"/>
      <c r="E233" s="37" t="n">
        <f aca="false">J18*0.000006*100*1.2</f>
        <v>41.6772</v>
      </c>
      <c r="F233" s="94"/>
      <c r="G233" s="94"/>
      <c r="H233" s="20"/>
    </row>
    <row r="234" customFormat="false" ht="17.35" hidden="false" customHeight="false" outlineLevel="0" collapsed="false">
      <c r="A234" s="70"/>
      <c r="B234" s="37"/>
      <c r="C234" s="25"/>
      <c r="D234" s="25"/>
      <c r="E234" s="37"/>
      <c r="F234" s="94"/>
      <c r="G234" s="94"/>
      <c r="H234" s="20"/>
    </row>
    <row r="235" customFormat="false" ht="17.35" hidden="false" customHeight="false" outlineLevel="0" collapsed="false">
      <c r="A235" s="78" t="s">
        <v>181</v>
      </c>
      <c r="B235" s="38" t="s">
        <v>182</v>
      </c>
      <c r="C235" s="25"/>
      <c r="D235" s="25"/>
      <c r="E235" s="38" t="s">
        <v>102</v>
      </c>
      <c r="F235" s="94"/>
      <c r="G235" s="94"/>
      <c r="H235" s="20"/>
    </row>
    <row r="236" customFormat="false" ht="17.35" hidden="false" customHeight="false" outlineLevel="0" collapsed="false">
      <c r="A236" s="70" t="n">
        <f aca="false">A188</f>
        <v>13.8924</v>
      </c>
      <c r="B236" s="37" t="n">
        <f aca="false">E233+A236</f>
        <v>55.5696</v>
      </c>
      <c r="C236" s="25"/>
      <c r="D236" s="25"/>
      <c r="E236" s="37"/>
      <c r="F236" s="94"/>
      <c r="G236" s="94"/>
      <c r="H236" s="20"/>
    </row>
    <row r="237" customFormat="false" ht="17.35" hidden="false" customHeight="false" outlineLevel="0" collapsed="false">
      <c r="A237" s="70"/>
      <c r="B237" s="37"/>
      <c r="C237" s="25"/>
      <c r="D237" s="25"/>
      <c r="E237" s="37"/>
      <c r="F237" s="94"/>
      <c r="G237" s="94"/>
      <c r="H237" s="20"/>
    </row>
    <row r="238" customFormat="false" ht="22.05" hidden="false" customHeight="false" outlineLevel="0" collapsed="false">
      <c r="A238" s="184" t="s">
        <v>183</v>
      </c>
      <c r="B238" s="184"/>
      <c r="C238" s="184"/>
      <c r="D238" s="184"/>
      <c r="E238" s="184"/>
      <c r="F238" s="184"/>
      <c r="G238" s="184"/>
      <c r="H238" s="184"/>
    </row>
    <row r="239" customFormat="false" ht="17.35" hidden="false" customHeight="false" outlineLevel="0" collapsed="false">
      <c r="A239" s="55" t="s">
        <v>184</v>
      </c>
      <c r="B239" s="25" t="s">
        <v>168</v>
      </c>
      <c r="C239" s="25"/>
      <c r="D239" s="25"/>
      <c r="E239" s="38" t="s">
        <v>169</v>
      </c>
      <c r="F239" s="94"/>
      <c r="G239" s="94"/>
      <c r="H239" s="20"/>
    </row>
    <row r="240" customFormat="false" ht="17.35" hidden="false" customHeight="false" outlineLevel="0" collapsed="false">
      <c r="A240" s="70" t="n">
        <f aca="false">H148</f>
        <v>0</v>
      </c>
      <c r="B240" s="37" t="n">
        <f aca="false">B188</f>
        <v>457.2265625</v>
      </c>
      <c r="C240" s="25"/>
      <c r="D240" s="25"/>
      <c r="E240" s="37" t="n">
        <f aca="false">IF(E105 = "YES" , (H36*A108)*0.1 , 0)</f>
        <v>14.1</v>
      </c>
      <c r="F240" s="94"/>
      <c r="G240" s="94"/>
      <c r="H240" s="20"/>
    </row>
    <row r="241" customFormat="false" ht="17.35" hidden="false" customHeight="false" outlineLevel="0" collapsed="false">
      <c r="A241" s="70"/>
      <c r="B241" s="37"/>
      <c r="C241" s="25"/>
      <c r="D241" s="25"/>
      <c r="E241" s="94"/>
      <c r="F241" s="94"/>
      <c r="G241" s="94"/>
      <c r="H241" s="20"/>
    </row>
    <row r="242" customFormat="false" ht="17.35" hidden="false" customHeight="false" outlineLevel="0" collapsed="false">
      <c r="A242" s="78" t="s">
        <v>170</v>
      </c>
      <c r="B242" s="38" t="s">
        <v>171</v>
      </c>
      <c r="C242" s="25"/>
      <c r="D242" s="25"/>
      <c r="E242" s="38"/>
      <c r="F242" s="94"/>
      <c r="G242" s="94"/>
      <c r="H242" s="20"/>
    </row>
    <row r="243" customFormat="false" ht="17.35" hidden="false" customHeight="false" outlineLevel="0" collapsed="false">
      <c r="A243" s="70" t="n">
        <f aca="false">A191</f>
        <v>99.9916666666667</v>
      </c>
      <c r="B243" s="37" t="n">
        <f aca="false">B240+E240+A243+A240</f>
        <v>571.318229166667</v>
      </c>
      <c r="C243" s="25"/>
      <c r="D243" s="25"/>
      <c r="E243" s="37"/>
      <c r="F243" s="94"/>
      <c r="G243" s="94"/>
      <c r="H243" s="20"/>
    </row>
    <row r="244" customFormat="false" ht="17.35" hidden="false" customHeight="false" outlineLevel="0" collapsed="false">
      <c r="A244" s="55"/>
      <c r="B244" s="25"/>
      <c r="C244" s="25"/>
      <c r="D244" s="25"/>
      <c r="E244" s="94"/>
      <c r="F244" s="94"/>
      <c r="G244" s="94"/>
      <c r="H244" s="20"/>
    </row>
    <row r="245" customFormat="false" ht="17.35" hidden="false" customHeight="false" outlineLevel="0" collapsed="false">
      <c r="A245" s="74"/>
      <c r="B245" s="75"/>
      <c r="C245" s="75"/>
      <c r="D245" s="75"/>
      <c r="E245" s="75"/>
      <c r="F245" s="75"/>
      <c r="G245" s="75"/>
      <c r="H245" s="82"/>
    </row>
    <row r="251" customFormat="false" ht="22.05" hidden="false" customHeight="false" outlineLevel="0" collapsed="false">
      <c r="A251" s="179" t="s">
        <v>185</v>
      </c>
      <c r="B251" s="179"/>
      <c r="C251" s="179"/>
      <c r="D251" s="179"/>
      <c r="E251" s="179"/>
      <c r="F251" s="179"/>
      <c r="G251" s="179"/>
      <c r="H251" s="179"/>
    </row>
    <row r="252" customFormat="false" ht="17.35" hidden="false" customHeight="false" outlineLevel="0" collapsed="false">
      <c r="A252" s="55"/>
      <c r="B252" s="178"/>
      <c r="C252" s="178"/>
      <c r="D252" s="178"/>
      <c r="E252" s="45"/>
      <c r="F252" s="45"/>
      <c r="G252" s="45"/>
      <c r="H252" s="20"/>
    </row>
    <row r="253" customFormat="false" ht="17.35" hidden="false" customHeight="false" outlineLevel="0" collapsed="false">
      <c r="A253" s="180" t="s">
        <v>186</v>
      </c>
      <c r="B253" s="185" t="n">
        <f aca="false">B63</f>
        <v>0.065</v>
      </c>
      <c r="C253" s="186"/>
      <c r="D253" s="187" t="s">
        <v>187</v>
      </c>
      <c r="E253" s="187"/>
      <c r="F253" s="185" t="n">
        <f aca="false">B83</f>
        <v>0.115</v>
      </c>
      <c r="G253" s="45"/>
      <c r="H253" s="20"/>
    </row>
    <row r="254" customFormat="false" ht="17.35" hidden="false" customHeight="false" outlineLevel="0" collapsed="false">
      <c r="A254" s="180" t="s">
        <v>188</v>
      </c>
      <c r="B254" s="188"/>
      <c r="C254" s="186"/>
      <c r="D254" s="187" t="s">
        <v>189</v>
      </c>
      <c r="E254" s="187"/>
      <c r="F254" s="188" t="n">
        <f aca="false">F261+F267+F269+B270+B271</f>
        <v>548.671875</v>
      </c>
      <c r="G254" s="45"/>
      <c r="H254" s="20"/>
    </row>
    <row r="255" customFormat="false" ht="17.35" hidden="false" customHeight="false" outlineLevel="0" collapsed="false">
      <c r="A255" s="180" t="s">
        <v>190</v>
      </c>
      <c r="B255" s="188" t="n">
        <f aca="false">F262+B263</f>
        <v>240.991666666667</v>
      </c>
      <c r="C255" s="186"/>
      <c r="D255" s="187" t="s">
        <v>191</v>
      </c>
      <c r="E255" s="187"/>
      <c r="F255" s="188" t="n">
        <f aca="false">(B254-F254)+B255</f>
        <v>-307.680208333333</v>
      </c>
      <c r="G255" s="45"/>
      <c r="H255" s="20"/>
    </row>
    <row r="256" customFormat="false" ht="17.35" hidden="false" customHeight="false" outlineLevel="0" collapsed="false">
      <c r="A256" s="189"/>
      <c r="B256" s="187"/>
      <c r="C256" s="190"/>
      <c r="D256" s="190"/>
      <c r="E256" s="190"/>
      <c r="F256" s="190"/>
      <c r="G256" s="191"/>
      <c r="H256" s="192"/>
    </row>
    <row r="257" customFormat="false" ht="17.35" hidden="false" customHeight="false" outlineLevel="0" collapsed="false">
      <c r="A257" s="55" t="s">
        <v>186</v>
      </c>
      <c r="B257" s="193" t="n">
        <f aca="false">B253</f>
        <v>0.065</v>
      </c>
      <c r="C257" s="186"/>
      <c r="D257" s="186"/>
      <c r="E257" s="186"/>
      <c r="F257" s="186"/>
      <c r="G257" s="45"/>
      <c r="H257" s="20"/>
    </row>
    <row r="258" customFormat="false" ht="17.35" hidden="false" customHeight="false" outlineLevel="0" collapsed="false">
      <c r="A258" s="194"/>
      <c r="B258" s="195"/>
      <c r="C258" s="196"/>
      <c r="D258" s="196"/>
      <c r="E258" s="191"/>
      <c r="F258" s="191"/>
      <c r="G258" s="191"/>
      <c r="H258" s="192"/>
    </row>
    <row r="259" customFormat="false" ht="17.35" hidden="false" customHeight="false" outlineLevel="0" collapsed="false">
      <c r="A259" s="55" t="s">
        <v>192</v>
      </c>
      <c r="B259" s="193" t="n">
        <f aca="false">B64</f>
        <v>0.05</v>
      </c>
      <c r="C259" s="178"/>
      <c r="D259" s="38" t="s">
        <v>193</v>
      </c>
      <c r="E259" s="38"/>
      <c r="F259" s="193" t="n">
        <v>0</v>
      </c>
      <c r="G259" s="45"/>
      <c r="H259" s="20"/>
    </row>
    <row r="260" customFormat="false" ht="17.35" hidden="false" customHeight="false" outlineLevel="0" collapsed="false">
      <c r="A260" s="123" t="s">
        <v>187</v>
      </c>
      <c r="B260" s="197" t="n">
        <f aca="false">B83</f>
        <v>0.115</v>
      </c>
      <c r="C260" s="198"/>
      <c r="D260" s="38" t="s">
        <v>188</v>
      </c>
      <c r="E260" s="38"/>
      <c r="F260" s="199" t="n">
        <f aca="false">(B89*B59)-(C89*B59)</f>
        <v>0</v>
      </c>
      <c r="G260" s="45"/>
      <c r="H260" s="20"/>
    </row>
    <row r="261" customFormat="false" ht="17.35" hidden="false" customHeight="false" outlineLevel="0" collapsed="false">
      <c r="A261" s="55" t="s">
        <v>194</v>
      </c>
      <c r="B261" s="197" t="n">
        <f aca="false">B67</f>
        <v>0.009375</v>
      </c>
      <c r="C261" s="178"/>
      <c r="D261" s="38" t="s">
        <v>194</v>
      </c>
      <c r="E261" s="38"/>
      <c r="F261" s="152" t="n">
        <f aca="false">B68</f>
        <v>548.671875</v>
      </c>
      <c r="G261" s="45"/>
      <c r="H261" s="20"/>
    </row>
    <row r="262" customFormat="false" ht="17.35" hidden="false" customHeight="false" outlineLevel="0" collapsed="false">
      <c r="A262" s="55" t="s">
        <v>195</v>
      </c>
      <c r="B262" s="193" t="n">
        <f aca="false">A108</f>
        <v>0.3</v>
      </c>
      <c r="C262" s="178"/>
      <c r="D262" s="38" t="s">
        <v>195</v>
      </c>
      <c r="E262" s="38"/>
      <c r="F262" s="199" t="n">
        <f aca="false">E240*10</f>
        <v>141</v>
      </c>
      <c r="G262" s="45"/>
      <c r="H262" s="20"/>
    </row>
    <row r="263" customFormat="false" ht="17.35" hidden="false" customHeight="false" outlineLevel="0" collapsed="false">
      <c r="A263" s="55" t="s">
        <v>196</v>
      </c>
      <c r="B263" s="199" t="n">
        <f aca="false">A243</f>
        <v>99.9916666666667</v>
      </c>
      <c r="C263" s="178"/>
      <c r="D263" s="200" t="s">
        <v>191</v>
      </c>
      <c r="E263" s="200"/>
      <c r="F263" s="199" t="n">
        <f aca="false">(B254-F254)+B255</f>
        <v>-307.680208333333</v>
      </c>
      <c r="G263" s="45"/>
      <c r="H263" s="20"/>
    </row>
    <row r="264" customFormat="false" ht="17.35" hidden="false" customHeight="false" outlineLevel="0" collapsed="false">
      <c r="A264" s="70"/>
      <c r="B264" s="201"/>
      <c r="C264" s="178"/>
      <c r="D264" s="178"/>
      <c r="E264" s="201"/>
      <c r="F264" s="45"/>
      <c r="G264" s="45"/>
      <c r="H264" s="20"/>
    </row>
    <row r="265" customFormat="false" ht="22.05" hidden="false" customHeight="false" outlineLevel="0" collapsed="false">
      <c r="A265" s="184" t="s">
        <v>197</v>
      </c>
      <c r="B265" s="184"/>
      <c r="C265" s="184"/>
      <c r="D265" s="184"/>
      <c r="E265" s="184"/>
      <c r="F265" s="184"/>
      <c r="G265" s="184"/>
      <c r="H265" s="184"/>
    </row>
    <row r="266" customFormat="false" ht="17.35" hidden="false" customHeight="false" outlineLevel="0" collapsed="false">
      <c r="A266" s="55" t="s">
        <v>198</v>
      </c>
      <c r="B266" s="152" t="n">
        <v>0</v>
      </c>
      <c r="C266" s="178"/>
      <c r="D266" s="202" t="s">
        <v>199</v>
      </c>
      <c r="E266" s="202"/>
      <c r="F266" s="152" t="n">
        <v>0</v>
      </c>
      <c r="G266" s="45"/>
      <c r="H266" s="20"/>
    </row>
    <row r="267" customFormat="false" ht="17.35" hidden="false" customHeight="false" outlineLevel="0" collapsed="false">
      <c r="A267" s="70"/>
      <c r="B267" s="199"/>
      <c r="C267" s="178"/>
      <c r="D267" s="38" t="s">
        <v>200</v>
      </c>
      <c r="E267" s="38"/>
      <c r="F267" s="199" t="n">
        <f aca="false">B266+F266*B209</f>
        <v>0</v>
      </c>
      <c r="G267" s="45"/>
      <c r="H267" s="20"/>
    </row>
    <row r="268" customFormat="false" ht="17.35" hidden="false" customHeight="false" outlineLevel="0" collapsed="false">
      <c r="A268" s="78" t="s">
        <v>201</v>
      </c>
      <c r="B268" s="203" t="s">
        <v>4</v>
      </c>
      <c r="C268" s="178"/>
      <c r="D268" s="38" t="s">
        <v>202</v>
      </c>
      <c r="E268" s="38"/>
      <c r="F268" s="203" t="n">
        <f aca="false">B70</f>
        <v>0</v>
      </c>
      <c r="G268" s="45"/>
      <c r="H268" s="20"/>
    </row>
    <row r="269" customFormat="false" ht="17.35" hidden="false" customHeight="false" outlineLevel="0" collapsed="false">
      <c r="A269" s="78"/>
      <c r="B269" s="204"/>
      <c r="C269" s="178"/>
      <c r="D269" s="38" t="s">
        <v>203</v>
      </c>
      <c r="E269" s="38"/>
      <c r="F269" s="199" t="n">
        <f aca="false">B91</f>
        <v>0</v>
      </c>
      <c r="G269" s="45"/>
      <c r="H269" s="20"/>
    </row>
    <row r="270" customFormat="false" ht="17.35" hidden="false" customHeight="false" outlineLevel="0" collapsed="false">
      <c r="A270" s="78" t="s">
        <v>204</v>
      </c>
      <c r="B270" s="152" t="n">
        <v>0</v>
      </c>
      <c r="C270" s="178"/>
      <c r="D270" s="178"/>
      <c r="E270" s="201"/>
      <c r="F270" s="45"/>
      <c r="G270" s="45"/>
      <c r="H270" s="20"/>
    </row>
    <row r="271" customFormat="false" ht="17.35" hidden="false" customHeight="false" outlineLevel="0" collapsed="false">
      <c r="A271" s="55" t="s">
        <v>205</v>
      </c>
      <c r="B271" s="152" t="n">
        <v>0</v>
      </c>
      <c r="C271" s="178"/>
      <c r="D271" s="178"/>
      <c r="E271" s="45"/>
      <c r="F271" s="45"/>
      <c r="G271" s="45"/>
      <c r="H271" s="20"/>
    </row>
    <row r="272" customFormat="false" ht="17.35" hidden="false" customHeight="false" outlineLevel="0" collapsed="false">
      <c r="A272" s="74"/>
      <c r="B272" s="75"/>
      <c r="C272" s="75"/>
      <c r="D272" s="75"/>
      <c r="E272" s="75"/>
      <c r="F272" s="75"/>
      <c r="G272" s="75"/>
      <c r="H272" s="82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operator="between" showDropDown="false" showErrorMessage="true" showInputMessage="false" sqref="B38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true" sqref="B105" type="list">
      <formula1>#ref!</formula1>
      <formula2>0</formula2>
    </dataValidation>
    <dataValidation allowBlank="true" operator="between" showDropDown="false" showErrorMessage="true" showInputMessage="true" sqref="A18:A20" type="list">
      <formula1>#ref!</formula1>
      <formula2>0</formula2>
    </dataValidation>
    <dataValidation allowBlank="true" operator="between" showDropDown="false" showErrorMessage="true" showInputMessage="true" sqref="C108:D108" type="list">
      <formula1>#ref!</formula1>
      <formula2>0</formula2>
    </dataValidation>
    <dataValidation allowBlank="true" operator="between" showDropDown="false" showErrorMessage="true" showInputMessage="true" sqref="A144:A146" type="list">
      <formula1>#ref!</formula1>
      <formula2>0</formula2>
    </dataValidation>
    <dataValidation allowBlank="true" operator="between" showDropDown="false" showErrorMessage="true" showInputMessage="true" sqref="E105" type="list">
      <formula1>"YES,NO"</formula1>
      <formula2>0</formula2>
    </dataValidation>
    <dataValidation allowBlank="true" operator="between" showDropDown="false" showErrorMessage="true" showInputMessage="true" sqref="A111" type="list">
      <formula1>"YES,NO"</formula1>
      <formula2>0</formula2>
    </dataValidation>
    <dataValidation allowBlank="true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18" colorId="64" zoomScale="75" zoomScaleNormal="75" zoomScalePageLayoutView="100" workbookViewId="0">
      <selection pane="topLeft" activeCell="G124" activeCellId="0" sqref="G124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6" customWidth="true" hidden="false" style="1" width="18.88" collapsed="false" outlineLevel="0"/>
    <col min="7" max="7" customWidth="true" hidden="false" style="1" width="23.13" collapsed="false" outlineLevel="0"/>
    <col min="8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4" t="s">
        <v>324</v>
      </c>
      <c r="B1" s="4"/>
      <c r="C1" s="4"/>
      <c r="D1" s="4"/>
      <c r="E1" s="4"/>
      <c r="F1" s="4"/>
      <c r="G1" s="4"/>
      <c r="H1" s="4"/>
      <c r="I1" s="2"/>
      <c r="J1" s="2"/>
    </row>
    <row r="2" customFormat="false" ht="19.7" hidden="false" customHeight="false" outlineLevel="0" collapsed="false">
      <c r="A2" s="99"/>
      <c r="B2" s="8" t="s">
        <v>115</v>
      </c>
      <c r="C2" s="8"/>
      <c r="D2" s="8" t="s">
        <v>116</v>
      </c>
      <c r="E2" s="8"/>
      <c r="F2" s="8" t="s">
        <v>117</v>
      </c>
      <c r="G2" s="8"/>
      <c r="H2" s="9" t="s">
        <v>118</v>
      </c>
      <c r="I2" s="2"/>
      <c r="J2" s="2"/>
    </row>
    <row r="3" customFormat="false" ht="17.35" hidden="false" customHeight="false" outlineLevel="0" collapsed="false">
      <c r="A3" s="55" t="s">
        <v>121</v>
      </c>
      <c r="B3" s="13" t="n">
        <v>46854.17</v>
      </c>
      <c r="C3" s="13" t="n">
        <v>0</v>
      </c>
      <c r="D3" s="13" t="n">
        <v>0</v>
      </c>
      <c r="E3" s="13"/>
      <c r="F3" s="13" t="n">
        <v>833.33</v>
      </c>
      <c r="G3" s="13"/>
      <c r="H3" s="14" t="n">
        <v>0</v>
      </c>
      <c r="I3" s="2"/>
      <c r="J3" s="2"/>
    </row>
    <row r="4" customFormat="false" ht="17.35" hidden="false" customHeight="false" outlineLevel="0" collapsed="false">
      <c r="A4" s="55" t="s">
        <v>122</v>
      </c>
      <c r="B4" s="17" t="n">
        <v>0</v>
      </c>
      <c r="C4" s="17" t="n">
        <v>0</v>
      </c>
      <c r="D4" s="17" t="n">
        <v>0</v>
      </c>
      <c r="E4" s="17"/>
      <c r="F4" s="17" t="n">
        <v>0</v>
      </c>
      <c r="G4" s="17"/>
      <c r="H4" s="18"/>
      <c r="I4" s="2"/>
      <c r="J4" s="2"/>
    </row>
    <row r="5" customFormat="false" ht="17.35" hidden="false" customHeight="false" outlineLevel="0" collapsed="false">
      <c r="A5" s="55" t="s">
        <v>123</v>
      </c>
      <c r="B5" s="13" t="n">
        <v>0</v>
      </c>
      <c r="C5" s="13" t="n">
        <v>0</v>
      </c>
      <c r="D5" s="13" t="n">
        <v>0</v>
      </c>
      <c r="E5" s="13"/>
      <c r="F5" s="13" t="n">
        <v>0</v>
      </c>
      <c r="G5" s="13"/>
      <c r="H5" s="20"/>
      <c r="I5" s="2"/>
      <c r="J5" s="2"/>
    </row>
    <row r="6" customFormat="false" ht="17.35" hidden="false" customHeight="false" outlineLevel="0" collapsed="false">
      <c r="A6" s="55" t="s">
        <v>124</v>
      </c>
      <c r="B6" s="21" t="n">
        <f aca="false">(B3*B4/100)+B5</f>
        <v>0</v>
      </c>
      <c r="C6" s="21" t="n">
        <f aca="false">(C3*C4/100)+C5</f>
        <v>0</v>
      </c>
      <c r="D6" s="21" t="n">
        <f aca="false">(D3*D4/100)+D5</f>
        <v>0</v>
      </c>
      <c r="E6" s="21"/>
      <c r="F6" s="21" t="n">
        <f aca="false">(F3*F4/100)+F5</f>
        <v>0</v>
      </c>
      <c r="G6" s="21"/>
      <c r="H6" s="20"/>
      <c r="I6" s="2"/>
      <c r="J6" s="2"/>
    </row>
    <row r="7" customFormat="false" ht="17.35" hidden="false" customHeight="false" outlineLevel="0" collapsed="false">
      <c r="A7" s="55" t="s">
        <v>125</v>
      </c>
      <c r="B7" s="21" t="n">
        <f aca="false">B3-B6</f>
        <v>46854.17</v>
      </c>
      <c r="C7" s="21" t="n">
        <f aca="false">C3-C6</f>
        <v>0</v>
      </c>
      <c r="D7" s="21" t="n">
        <f aca="false">D3-D6</f>
        <v>0</v>
      </c>
      <c r="E7" s="21"/>
      <c r="F7" s="21" t="n">
        <f aca="false">F3-F6</f>
        <v>833.33</v>
      </c>
      <c r="G7" s="21"/>
      <c r="H7" s="20"/>
      <c r="I7" s="2"/>
      <c r="J7" s="2"/>
    </row>
    <row r="8" customFormat="false" ht="17.35" hidden="false" customHeight="false" outlineLevel="0" collapsed="false">
      <c r="A8" s="55"/>
      <c r="B8" s="25"/>
      <c r="C8" s="25"/>
      <c r="D8" s="25"/>
      <c r="E8" s="25"/>
      <c r="F8" s="25"/>
      <c r="G8" s="25"/>
      <c r="H8" s="20"/>
      <c r="I8" s="2"/>
      <c r="J8" s="2"/>
      <c r="L8" s="26" t="s">
        <v>3</v>
      </c>
      <c r="M8" s="27" t="n">
        <f aca="false">H13+H14</f>
        <v>640</v>
      </c>
    </row>
    <row r="9" customFormat="false" ht="19.7" hidden="false" customHeight="false" outlineLevel="0" collapsed="false">
      <c r="A9" s="153" t="s">
        <v>133</v>
      </c>
      <c r="B9" s="153"/>
      <c r="C9" s="153"/>
      <c r="D9" s="153"/>
      <c r="E9" s="153" t="n">
        <f aca="false">(B7+C7+D7+E3)</f>
        <v>46854.17</v>
      </c>
      <c r="F9" s="153"/>
      <c r="G9" s="29"/>
      <c r="H9" s="30" t="n">
        <f aca="false">B7+D7+F7+H3</f>
        <v>47687.5</v>
      </c>
      <c r="I9" s="2"/>
      <c r="J9" s="2"/>
      <c r="L9" s="27"/>
      <c r="M9" s="27"/>
    </row>
    <row r="10" customFormat="false" ht="17.35" hidden="false" customHeight="false" outlineLevel="0" collapsed="false">
      <c r="A10" s="155" t="s">
        <v>134</v>
      </c>
      <c r="B10" s="155"/>
      <c r="C10" s="155"/>
      <c r="D10" s="155"/>
      <c r="E10" s="155" t="n">
        <v>50</v>
      </c>
      <c r="F10" s="155"/>
      <c r="G10" s="21"/>
      <c r="H10" s="14" t="n">
        <v>550</v>
      </c>
      <c r="I10" s="2"/>
      <c r="J10" s="2"/>
      <c r="L10" s="32" t="s">
        <v>1</v>
      </c>
      <c r="M10" s="27" t="n">
        <f aca="false">H15-H11-M8</f>
        <v>48237.5</v>
      </c>
    </row>
    <row r="11" customFormat="false" ht="17.35" hidden="false" customHeight="false" outlineLevel="0" collapsed="false">
      <c r="A11" s="155" t="s">
        <v>135</v>
      </c>
      <c r="B11" s="155"/>
      <c r="C11" s="155"/>
      <c r="D11" s="155"/>
      <c r="E11" s="155"/>
      <c r="F11" s="155"/>
      <c r="G11" s="21"/>
      <c r="H11" s="20" t="n">
        <f aca="false">(H9+H10)*20%</f>
        <v>9647.5</v>
      </c>
      <c r="I11" s="2"/>
      <c r="J11" s="2"/>
      <c r="L11" s="27"/>
      <c r="M11" s="27"/>
    </row>
    <row r="12" customFormat="false" ht="17.35" hidden="false" customHeight="false" outlineLevel="0" collapsed="false">
      <c r="A12" s="155" t="s">
        <v>136</v>
      </c>
      <c r="B12" s="155"/>
      <c r="C12" s="155"/>
      <c r="D12" s="155"/>
      <c r="E12" s="155"/>
      <c r="F12" s="155"/>
      <c r="G12" s="21"/>
      <c r="H12" s="14" t="n">
        <v>0</v>
      </c>
      <c r="I12" s="2"/>
      <c r="J12" s="2"/>
    </row>
    <row r="13" customFormat="false" ht="17.35" hidden="false" customHeight="false" outlineLevel="0" collapsed="false">
      <c r="A13" s="155" t="s">
        <v>137</v>
      </c>
      <c r="B13" s="155"/>
      <c r="C13" s="155"/>
      <c r="D13" s="155"/>
      <c r="E13" s="155" t="n">
        <v>585</v>
      </c>
      <c r="F13" s="155"/>
      <c r="G13" s="21"/>
      <c r="H13" s="14" t="n">
        <v>585</v>
      </c>
      <c r="I13" s="2"/>
      <c r="J13" s="2"/>
    </row>
    <row r="14" customFormat="false" ht="17.35" hidden="false" customHeight="false" outlineLevel="0" collapsed="false">
      <c r="A14" s="155" t="s">
        <v>138</v>
      </c>
      <c r="B14" s="155"/>
      <c r="C14" s="155"/>
      <c r="D14" s="155"/>
      <c r="E14" s="155" t="n">
        <v>55</v>
      </c>
      <c r="F14" s="155"/>
      <c r="G14" s="21"/>
      <c r="H14" s="14" t="n">
        <v>55</v>
      </c>
      <c r="I14" s="2"/>
      <c r="J14" s="2" t="s">
        <v>13</v>
      </c>
    </row>
    <row r="15" customFormat="false" ht="17.35" hidden="false" customHeight="false" outlineLevel="0" collapsed="false">
      <c r="A15" s="155" t="s">
        <v>139</v>
      </c>
      <c r="B15" s="155"/>
      <c r="C15" s="155"/>
      <c r="D15" s="155"/>
      <c r="E15" s="155"/>
      <c r="F15" s="155"/>
      <c r="G15" s="21"/>
      <c r="H15" s="33" t="n">
        <f aca="false">(H9+H10+H13+H14+H11)-H12</f>
        <v>58525</v>
      </c>
      <c r="I15" s="2"/>
      <c r="J15" s="34" t="n">
        <f aca="false">H15</f>
        <v>58525</v>
      </c>
    </row>
    <row r="16" customFormat="false" ht="17.35" hidden="false" customHeight="false" outlineLevel="0" collapsed="false">
      <c r="A16" s="155" t="s">
        <v>140</v>
      </c>
      <c r="B16" s="155"/>
      <c r="C16" s="155"/>
      <c r="D16" s="155"/>
      <c r="E16" s="155" t="n">
        <v>120</v>
      </c>
      <c r="F16" s="155"/>
      <c r="G16" s="21"/>
      <c r="H16" s="14" t="n">
        <v>0</v>
      </c>
      <c r="I16" s="2"/>
      <c r="J16" s="2"/>
      <c r="Y16" s="36" t="s">
        <v>15</v>
      </c>
    </row>
    <row r="17" customFormat="false" ht="17.35" hidden="false" customHeight="false" outlineLevel="0" collapsed="false">
      <c r="A17" s="70" t="s">
        <v>141</v>
      </c>
      <c r="B17" s="70"/>
      <c r="C17" s="70"/>
      <c r="D17" s="70"/>
      <c r="E17" s="70"/>
      <c r="F17" s="70"/>
      <c r="G17" s="37"/>
      <c r="H17" s="20"/>
      <c r="I17" s="2"/>
      <c r="J17" s="2" t="s">
        <v>16</v>
      </c>
      <c r="Y17" s="36" t="s">
        <v>17</v>
      </c>
    </row>
    <row r="18" customFormat="false" ht="17.35" hidden="false" customHeight="false" outlineLevel="0" collapsed="false">
      <c r="A18" s="158" t="s">
        <v>15</v>
      </c>
      <c r="B18" s="159" t="s">
        <v>142</v>
      </c>
      <c r="C18" s="159"/>
      <c r="D18" s="159"/>
      <c r="E18" s="159"/>
      <c r="F18" s="159"/>
      <c r="G18" s="38"/>
      <c r="H18" s="39" t="n">
        <v>0</v>
      </c>
      <c r="I18" s="2"/>
      <c r="J18" s="34" t="n">
        <f aca="false">(B3+D3+F3+H3+H10)*1.2</f>
        <v>57885</v>
      </c>
      <c r="Y18" s="36" t="s">
        <v>18</v>
      </c>
    </row>
    <row r="19" customFormat="false" ht="17.35" hidden="false" customHeight="false" outlineLevel="0" collapsed="false">
      <c r="A19" s="158" t="s">
        <v>17</v>
      </c>
      <c r="B19" s="159" t="s">
        <v>142</v>
      </c>
      <c r="C19" s="159"/>
      <c r="D19" s="159"/>
      <c r="E19" s="159"/>
      <c r="F19" s="159"/>
      <c r="G19" s="38"/>
      <c r="H19" s="39" t="n">
        <v>0</v>
      </c>
      <c r="I19" s="2"/>
      <c r="J19" s="2"/>
      <c r="Z19" s="2" t="s">
        <v>9</v>
      </c>
    </row>
    <row r="20" customFormat="false" ht="17.35" hidden="false" customHeight="false" outlineLevel="0" collapsed="false">
      <c r="A20" s="158" t="s">
        <v>18</v>
      </c>
      <c r="B20" s="159" t="s">
        <v>142</v>
      </c>
      <c r="C20" s="159"/>
      <c r="D20" s="159"/>
      <c r="E20" s="159"/>
      <c r="F20" s="159"/>
      <c r="G20" s="38"/>
      <c r="H20" s="39" t="n">
        <v>0</v>
      </c>
      <c r="I20" s="2"/>
      <c r="J20" s="2"/>
      <c r="Z20" s="2" t="s">
        <v>10</v>
      </c>
    </row>
    <row r="21" customFormat="false" ht="19.7" hidden="false" customHeight="false" outlineLevel="0" collapsed="false">
      <c r="A21" s="449" t="s">
        <v>143</v>
      </c>
      <c r="B21" s="449"/>
      <c r="C21" s="449"/>
      <c r="D21" s="449"/>
      <c r="E21" s="449"/>
      <c r="F21" s="449"/>
      <c r="G21" s="43"/>
      <c r="H21" s="44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45"/>
      <c r="B22" s="45"/>
      <c r="C22" s="45"/>
      <c r="D22" s="45"/>
      <c r="E22" s="45"/>
      <c r="F22" s="45"/>
      <c r="G22" s="45"/>
      <c r="H22" s="45"/>
      <c r="J22" s="2"/>
      <c r="K22" s="2"/>
      <c r="P22" s="46"/>
    </row>
    <row r="23" customFormat="false" ht="17.35" hidden="false" customHeight="false" outlineLevel="0" collapsed="false">
      <c r="A23" s="45"/>
      <c r="B23" s="45"/>
      <c r="C23" s="45"/>
      <c r="D23" s="45"/>
      <c r="E23" s="45"/>
      <c r="F23" s="45"/>
      <c r="G23" s="45"/>
      <c r="H23" s="45"/>
      <c r="J23" s="2"/>
      <c r="K23" s="2"/>
      <c r="P23" s="46"/>
    </row>
    <row r="24" customFormat="false" ht="46.5" hidden="false" customHeight="true" outlineLevel="0" collapsed="false">
      <c r="A24" s="208" t="s">
        <v>208</v>
      </c>
      <c r="B24" s="208"/>
      <c r="C24" s="208"/>
      <c r="D24" s="208"/>
      <c r="E24" s="208"/>
      <c r="F24" s="19"/>
      <c r="G24" s="19"/>
      <c r="H24" s="19"/>
      <c r="I24" s="0"/>
      <c r="J24" s="0"/>
      <c r="K24" s="0"/>
      <c r="P24" s="46"/>
    </row>
    <row r="25" customFormat="false" ht="17.35" hidden="false" customHeight="false" outlineLevel="0" collapsed="false">
      <c r="A25" s="209"/>
      <c r="B25" s="207"/>
      <c r="C25" s="207"/>
      <c r="D25" s="207"/>
      <c r="E25" s="210"/>
      <c r="F25" s="19"/>
      <c r="G25" s="19"/>
      <c r="H25" s="19"/>
      <c r="I25" s="0"/>
      <c r="J25" s="0"/>
      <c r="K25" s="0"/>
      <c r="P25" s="46"/>
    </row>
    <row r="26" customFormat="false" ht="22.05" hidden="false" customHeight="false" outlineLevel="0" collapsed="false">
      <c r="A26" s="211" t="s">
        <v>209</v>
      </c>
      <c r="B26" s="211"/>
      <c r="C26" s="211"/>
      <c r="D26" s="211"/>
      <c r="E26" s="211"/>
      <c r="F26" s="19"/>
      <c r="G26" s="212"/>
      <c r="H26" s="212"/>
      <c r="I26" s="0"/>
      <c r="J26" s="0"/>
      <c r="K26" s="0"/>
      <c r="P26" s="46"/>
    </row>
    <row r="27" customFormat="false" ht="17.35" hidden="false" customHeight="false" outlineLevel="0" collapsed="false">
      <c r="A27" s="209"/>
      <c r="B27" s="207"/>
      <c r="C27" s="207"/>
      <c r="D27" s="207"/>
      <c r="E27" s="210"/>
      <c r="F27" s="19"/>
      <c r="G27" s="213" t="s">
        <v>46</v>
      </c>
      <c r="H27" s="213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6"/>
    </row>
    <row r="28" customFormat="false" ht="31.8" hidden="false" customHeight="false" outlineLevel="0" collapsed="false">
      <c r="A28" s="214" t="s">
        <v>210</v>
      </c>
      <c r="B28" s="215" t="s">
        <v>211</v>
      </c>
      <c r="C28" s="207"/>
      <c r="D28" s="215" t="s">
        <v>212</v>
      </c>
      <c r="E28" s="210"/>
      <c r="F28" s="19"/>
      <c r="G28" s="213" t="s">
        <v>60</v>
      </c>
      <c r="H28" s="213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6"/>
    </row>
    <row r="29" customFormat="false" ht="17.35" hidden="false" customHeight="false" outlineLevel="0" collapsed="false">
      <c r="A29" s="216" t="s">
        <v>213</v>
      </c>
      <c r="B29" s="217" t="n">
        <v>12345</v>
      </c>
      <c r="C29" s="217"/>
      <c r="D29" s="218" t="n">
        <f aca="true">TODAY()+1</f>
        <v>45008</v>
      </c>
      <c r="E29" s="218"/>
      <c r="F29" s="19"/>
      <c r="G29" s="212" t="s">
        <v>214</v>
      </c>
      <c r="H29" s="212" t="str">
        <f aca="false">B35</f>
        <v>33</v>
      </c>
      <c r="I29" s="0"/>
      <c r="J29" s="0"/>
      <c r="K29" s="0"/>
      <c r="P29" s="46"/>
    </row>
    <row r="30" customFormat="false" ht="17.35" hidden="false" customHeight="false" outlineLevel="0" collapsed="false">
      <c r="A30" s="209"/>
      <c r="B30" s="21"/>
      <c r="C30" s="21"/>
      <c r="D30" s="207"/>
      <c r="E30" s="210"/>
      <c r="F30" s="19"/>
      <c r="G30" s="212" t="s">
        <v>31</v>
      </c>
      <c r="H30" s="212" t="str">
        <f aca="false">D35</f>
        <v>5000</v>
      </c>
      <c r="I30" s="0"/>
      <c r="J30" s="0"/>
      <c r="K30" s="0"/>
      <c r="P30" s="46"/>
    </row>
    <row r="31" customFormat="false" ht="31.8" hidden="false" customHeight="false" outlineLevel="0" collapsed="false">
      <c r="A31" s="214" t="s">
        <v>23</v>
      </c>
      <c r="B31" s="215" t="s">
        <v>215</v>
      </c>
      <c r="C31" s="207"/>
      <c r="D31" s="215" t="s">
        <v>216</v>
      </c>
      <c r="E31" s="210"/>
      <c r="F31" s="19"/>
      <c r="G31" s="212" t="s">
        <v>217</v>
      </c>
      <c r="H31" s="219" t="str">
        <f aca="false">D38</f>
        <v>500</v>
      </c>
      <c r="I31" s="0"/>
      <c r="J31" s="0"/>
      <c r="K31" s="0"/>
      <c r="P31" s="46"/>
    </row>
    <row r="32" customFormat="false" ht="17.35" hidden="false" customHeight="false" outlineLevel="0" collapsed="false">
      <c r="A32" s="216" t="s">
        <v>100</v>
      </c>
      <c r="B32" s="220" t="str">
        <f aca="false">IF(A32=Z103,D38,IF(A32=Z104,D38,IF(A32=Z105,(D38*3),IF(A32=Z106,(D38*6),IF(A32=Z107,(D38*9),IF(A32=Z108,(D38*12),IF(A32=Z109,D38,IF(A32=Z110,D38,IF(A32=Z111,D38,0)))))))))</f>
        <v>500</v>
      </c>
      <c r="C32" s="220"/>
      <c r="D32" s="220" t="n">
        <f aca="false">IF(A32=Z103,A41,IF(A32=Z104,A41,IF(A32=Z105,(A41*3),IF(A32=Z106,(A41*6),IF(A32=Z107,(A41*9),IF(A32=Z108,(A41*12),IF(A32=Z109,A41,IF(A32=Z110,A41,IF(A32=Z111,A41,0)))))))))</f>
        <v>14.2424242424242</v>
      </c>
      <c r="E32" s="220"/>
      <c r="F32" s="19"/>
      <c r="G32" s="221" t="s">
        <v>218</v>
      </c>
      <c r="H32" s="219" t="n">
        <f aca="false">A41</f>
        <v>14.2424242424242</v>
      </c>
      <c r="I32" s="0"/>
      <c r="J32" s="481" t="s">
        <v>365</v>
      </c>
      <c r="K32" s="482" t="s">
        <v>366</v>
      </c>
      <c r="P32" s="46"/>
    </row>
    <row r="33" customFormat="false" ht="17.35" hidden="false" customHeight="false" outlineLevel="0" collapsed="false">
      <c r="A33" s="222"/>
      <c r="B33" s="174"/>
      <c r="C33" s="223"/>
      <c r="D33" s="176"/>
      <c r="E33" s="210"/>
      <c r="F33" s="19"/>
      <c r="G33" s="221" t="s">
        <v>219</v>
      </c>
      <c r="H33" s="219" t="n">
        <f aca="false">D41</f>
        <v>6000</v>
      </c>
      <c r="I33" s="0"/>
      <c r="J33" s="481"/>
      <c r="K33" s="483"/>
      <c r="P33" s="46"/>
    </row>
    <row r="34" customFormat="false" ht="17.35" hidden="false" customHeight="false" outlineLevel="0" collapsed="false">
      <c r="A34" s="222" t="s">
        <v>220</v>
      </c>
      <c r="B34" s="224" t="s">
        <v>221</v>
      </c>
      <c r="C34" s="223"/>
      <c r="D34" s="64" t="s">
        <v>175</v>
      </c>
      <c r="E34" s="210"/>
      <c r="F34" s="19"/>
      <c r="G34" s="221" t="s">
        <v>222</v>
      </c>
      <c r="H34" s="219" t="str">
        <f aca="false">A44</f>
        <v>12</v>
      </c>
      <c r="I34" s="0"/>
      <c r="J34" s="481" t="s">
        <v>367</v>
      </c>
      <c r="K34" s="484" t="s">
        <v>328</v>
      </c>
      <c r="P34" s="46"/>
    </row>
    <row r="35" customFormat="false" ht="17.35" hidden="false" customHeight="false" outlineLevel="0" collapsed="false">
      <c r="A35" s="220" t="n">
        <f aca="false">B32+D32</f>
        <v>514.242424242424</v>
      </c>
      <c r="B35" s="217" t="s">
        <v>356</v>
      </c>
      <c r="C35" s="217"/>
      <c r="D35" s="217" t="s">
        <v>326</v>
      </c>
      <c r="E35" s="217"/>
      <c r="F35" s="19"/>
      <c r="G35" s="225"/>
      <c r="H35" s="226"/>
      <c r="I35" s="0"/>
      <c r="J35" s="481"/>
      <c r="K35" s="483" t="n">
        <v>0.065</v>
      </c>
      <c r="P35" s="46"/>
    </row>
    <row r="36" customFormat="false" ht="17.35" hidden="false" customHeight="false" outlineLevel="0" collapsed="false">
      <c r="A36" s="209"/>
      <c r="B36" s="207"/>
      <c r="C36" s="207"/>
      <c r="D36" s="207"/>
      <c r="E36" s="210"/>
      <c r="F36" s="19"/>
      <c r="G36" s="19" t="s">
        <v>361</v>
      </c>
      <c r="H36" s="455" t="s">
        <v>362</v>
      </c>
      <c r="I36" s="0"/>
      <c r="J36" s="481" t="s">
        <v>368</v>
      </c>
      <c r="K36" s="485" t="n">
        <f aca="false">K32-K34</f>
        <v>47877.5</v>
      </c>
      <c r="P36" s="46"/>
    </row>
    <row r="37" customFormat="false" ht="17.35" hidden="false" customHeight="false" outlineLevel="0" collapsed="false">
      <c r="A37" s="214" t="s">
        <v>223</v>
      </c>
      <c r="B37" s="215" t="s">
        <v>224</v>
      </c>
      <c r="C37" s="207"/>
      <c r="D37" s="215" t="s">
        <v>225</v>
      </c>
      <c r="E37" s="210"/>
      <c r="F37" s="19"/>
      <c r="G37" s="19"/>
      <c r="H37" s="19"/>
      <c r="I37" s="0"/>
      <c r="J37" s="0"/>
      <c r="K37" s="0"/>
      <c r="P37" s="46"/>
    </row>
    <row r="38" customFormat="false" ht="17.35" hidden="false" customHeight="false" outlineLevel="0" collapsed="false">
      <c r="A38" s="227" t="n">
        <f aca="false">(B35/12)*D35</f>
        <v>13750</v>
      </c>
      <c r="B38" s="217" t="s">
        <v>9</v>
      </c>
      <c r="C38" s="217"/>
      <c r="D38" s="60" t="s">
        <v>226</v>
      </c>
      <c r="E38" s="60"/>
      <c r="F38" s="19"/>
      <c r="G38" s="19"/>
      <c r="H38" s="19"/>
      <c r="I38" s="0"/>
      <c r="J38" s="486"/>
      <c r="K38" s="486"/>
      <c r="L38" s="2"/>
      <c r="N38" s="1" t="n">
        <f aca="false">80.88*36</f>
        <v>2911.68</v>
      </c>
      <c r="P38" s="46"/>
    </row>
    <row r="39" customFormat="false" ht="17.35" hidden="false" customHeight="false" outlineLevel="0" collapsed="false">
      <c r="A39" s="229"/>
      <c r="B39" s="223"/>
      <c r="C39" s="223"/>
      <c r="D39" s="207"/>
      <c r="E39" s="210"/>
      <c r="F39" s="19"/>
      <c r="G39" s="19"/>
      <c r="H39" s="228"/>
      <c r="I39" s="0"/>
      <c r="J39" s="0"/>
      <c r="K39" s="0"/>
      <c r="L39" s="2"/>
      <c r="N39" s="1" t="n">
        <f aca="false">K39-L39</f>
        <v>0</v>
      </c>
      <c r="P39" s="46"/>
    </row>
    <row r="40" customFormat="false" ht="17.35" hidden="false" customHeight="false" outlineLevel="0" collapsed="false">
      <c r="A40" s="230" t="s">
        <v>227</v>
      </c>
      <c r="B40" s="231" t="s">
        <v>93</v>
      </c>
      <c r="C40" s="223"/>
      <c r="D40" s="232" t="s">
        <v>228</v>
      </c>
      <c r="E40" s="210"/>
      <c r="F40" s="19"/>
      <c r="G40" s="19"/>
      <c r="H40" s="228"/>
      <c r="I40" s="0"/>
      <c r="J40" s="0"/>
      <c r="K40" s="0"/>
      <c r="L40" s="2"/>
      <c r="N40" s="1" t="n">
        <f aca="false">N38-N39</f>
        <v>2911.68</v>
      </c>
      <c r="P40" s="46"/>
    </row>
    <row r="41" customFormat="false" ht="17.35" hidden="false" customHeight="false" outlineLevel="0" collapsed="false">
      <c r="A41" s="60" t="n">
        <f aca="false">H36/B35</f>
        <v>14.2424242424242</v>
      </c>
      <c r="B41" s="233" t="n">
        <f aca="false">IF(B38="YES", D38+A41, D38)</f>
        <v>514.242424242424</v>
      </c>
      <c r="C41" s="233"/>
      <c r="D41" s="60" t="n">
        <v>6000</v>
      </c>
      <c r="E41" s="60"/>
      <c r="F41" s="19"/>
      <c r="G41" s="19"/>
      <c r="H41" s="235"/>
      <c r="J41" s="2"/>
      <c r="K41" s="2"/>
      <c r="L41" s="2"/>
      <c r="P41" s="46"/>
    </row>
    <row r="42" customFormat="false" ht="17.35" hidden="false" customHeight="false" outlineLevel="0" collapsed="false">
      <c r="A42" s="229"/>
      <c r="B42" s="223"/>
      <c r="C42" s="223"/>
      <c r="D42" s="223"/>
      <c r="E42" s="236"/>
      <c r="F42" s="19"/>
      <c r="G42" s="237" t="s">
        <v>42</v>
      </c>
      <c r="H42" s="237"/>
      <c r="J42" s="2"/>
      <c r="K42" s="2"/>
      <c r="L42" s="2"/>
      <c r="P42" s="46"/>
    </row>
    <row r="43" customFormat="false" ht="17.35" hidden="false" customHeight="false" outlineLevel="0" collapsed="false">
      <c r="A43" s="230" t="s">
        <v>111</v>
      </c>
      <c r="B43" s="231" t="s">
        <v>229</v>
      </c>
      <c r="C43" s="223"/>
      <c r="D43" s="231" t="s">
        <v>230</v>
      </c>
      <c r="E43" s="236"/>
      <c r="F43" s="19"/>
      <c r="G43" s="19" t="s">
        <v>231</v>
      </c>
      <c r="H43" s="228" t="n">
        <f aca="false">((((D38*(B35-1))+B32)/B35) + (A44/B35))</f>
        <v>500.363636363636</v>
      </c>
      <c r="J43" s="2"/>
      <c r="K43" s="2"/>
      <c r="L43" s="2"/>
      <c r="P43" s="46"/>
    </row>
    <row r="44" customFormat="false" ht="17.35" hidden="false" customHeight="false" outlineLevel="0" collapsed="false">
      <c r="A44" s="60" t="s">
        <v>232</v>
      </c>
      <c r="B44" s="234" t="n">
        <v>0</v>
      </c>
      <c r="C44" s="234"/>
      <c r="D44" s="234" t="n">
        <v>0</v>
      </c>
      <c r="E44" s="234"/>
      <c r="F44" s="19"/>
      <c r="G44" s="19" t="s">
        <v>233</v>
      </c>
      <c r="H44" s="228" t="n">
        <f aca="false">H32</f>
        <v>14.2424242424242</v>
      </c>
      <c r="J44" s="2"/>
      <c r="K44" s="2"/>
      <c r="L44" s="2"/>
      <c r="P44" s="46"/>
    </row>
    <row r="45" customFormat="false" ht="17.35" hidden="false" customHeight="false" outlineLevel="0" collapsed="false">
      <c r="A45" s="229"/>
      <c r="B45" s="223"/>
      <c r="C45" s="223"/>
      <c r="D45" s="223"/>
      <c r="E45" s="236"/>
      <c r="F45" s="19"/>
      <c r="G45" s="19" t="s">
        <v>234</v>
      </c>
      <c r="H45" s="239" t="n">
        <f aca="false">H43+H44</f>
        <v>514.606060606061</v>
      </c>
      <c r="J45" s="2"/>
      <c r="K45" s="2"/>
      <c r="L45" s="2"/>
      <c r="P45" s="46"/>
    </row>
    <row r="46" customFormat="false" ht="17.35" hidden="false" customHeight="false" outlineLevel="0" collapsed="false">
      <c r="A46" s="230" t="s">
        <v>235</v>
      </c>
      <c r="B46" s="231" t="s">
        <v>236</v>
      </c>
      <c r="C46" s="223"/>
      <c r="D46" s="231" t="s">
        <v>237</v>
      </c>
      <c r="E46" s="236"/>
      <c r="F46" s="19"/>
      <c r="G46" s="19" t="s">
        <v>238</v>
      </c>
      <c r="H46" s="228" t="n">
        <f aca="false">H43</f>
        <v>500.363636363636</v>
      </c>
      <c r="J46" s="2"/>
      <c r="K46" s="2"/>
      <c r="L46" s="2"/>
      <c r="P46" s="46"/>
    </row>
    <row r="47" customFormat="false" ht="17.35" hidden="false" customHeight="false" outlineLevel="0" collapsed="false">
      <c r="A47" s="240" t="n">
        <v>0</v>
      </c>
      <c r="B47" s="241" t="n">
        <v>0</v>
      </c>
      <c r="C47" s="241"/>
      <c r="D47" s="234" t="n">
        <v>0</v>
      </c>
      <c r="E47" s="234"/>
      <c r="F47" s="19"/>
      <c r="G47" s="19"/>
      <c r="H47" s="228"/>
      <c r="J47" s="2"/>
      <c r="K47" s="2"/>
      <c r="L47" s="2"/>
      <c r="P47" s="46"/>
    </row>
    <row r="48" customFormat="false" ht="17.35" hidden="false" customHeight="false" outlineLevel="0" collapsed="false">
      <c r="A48" s="0"/>
      <c r="B48" s="223"/>
      <c r="C48" s="223"/>
      <c r="D48" s="223"/>
      <c r="E48" s="236"/>
      <c r="F48" s="19"/>
      <c r="G48" s="19"/>
      <c r="H48" s="228"/>
      <c r="J48" s="86"/>
      <c r="K48" s="2"/>
      <c r="L48" s="2"/>
      <c r="P48" s="46"/>
    </row>
    <row r="49" customFormat="false" ht="17.35" hidden="false" customHeight="false" outlineLevel="0" collapsed="false">
      <c r="A49" s="229"/>
      <c r="B49" s="223"/>
      <c r="C49" s="223"/>
      <c r="D49" s="223"/>
      <c r="E49" s="236"/>
      <c r="F49" s="19"/>
      <c r="G49" s="19"/>
      <c r="H49" s="228"/>
      <c r="J49" s="2"/>
      <c r="K49" s="2"/>
      <c r="L49" s="2"/>
      <c r="P49" s="46"/>
    </row>
    <row r="50" customFormat="false" ht="17.35" hidden="false" customHeight="false" outlineLevel="0" collapsed="false">
      <c r="A50" s="209"/>
      <c r="B50" s="246"/>
      <c r="C50" s="246"/>
      <c r="D50" s="207"/>
      <c r="E50" s="210"/>
      <c r="F50" s="0"/>
      <c r="G50" s="0"/>
      <c r="H50" s="0"/>
      <c r="I50" s="2"/>
      <c r="J50" s="2"/>
      <c r="K50" s="2"/>
      <c r="P50" s="46"/>
    </row>
    <row r="51" customFormat="false" ht="19.5" hidden="false" customHeight="true" outlineLevel="0" collapsed="false">
      <c r="A51" s="248" t="s">
        <v>28</v>
      </c>
      <c r="B51" s="249" t="s">
        <v>33</v>
      </c>
      <c r="C51" s="249"/>
      <c r="D51" s="207"/>
      <c r="E51" s="210"/>
      <c r="F51" s="0"/>
      <c r="G51" s="0"/>
      <c r="H51" s="0"/>
      <c r="I51" s="2"/>
      <c r="J51" s="2"/>
      <c r="K51" s="2"/>
      <c r="P51" s="46"/>
    </row>
    <row r="52" customFormat="false" ht="17.35" hidden="false" customHeight="false" outlineLevel="0" collapsed="false">
      <c r="A52" s="248"/>
      <c r="B52" s="250" t="str">
        <f aca="false">H30</f>
        <v>5000</v>
      </c>
      <c r="C52" s="250"/>
      <c r="D52" s="207"/>
      <c r="E52" s="210"/>
      <c r="F52" s="0"/>
      <c r="G52" s="0"/>
      <c r="H52" s="0"/>
      <c r="I52" s="2"/>
      <c r="J52" s="2"/>
      <c r="K52" s="2"/>
      <c r="P52" s="46"/>
    </row>
    <row r="53" customFormat="false" ht="17.35" hidden="false" customHeight="false" outlineLevel="0" collapsed="false">
      <c r="A53" s="251" t="str">
        <f aca="false">H29</f>
        <v>33</v>
      </c>
      <c r="B53" s="92" t="n">
        <f aca="false">H45</f>
        <v>514.606060606061</v>
      </c>
      <c r="C53" s="92"/>
      <c r="D53" s="207"/>
      <c r="E53" s="210"/>
      <c r="F53" s="0"/>
      <c r="G53" s="0"/>
      <c r="H53" s="0"/>
      <c r="I53" s="2"/>
      <c r="J53" s="2"/>
      <c r="K53" s="2"/>
      <c r="P53" s="46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2"/>
      <c r="J54" s="2"/>
      <c r="K54" s="2"/>
      <c r="P54" s="46"/>
    </row>
    <row r="55" customFormat="false" ht="17.35" hidden="false" customHeight="false" outlineLevel="0" collapsed="false">
      <c r="A55" s="45"/>
      <c r="B55" s="45"/>
      <c r="C55" s="45"/>
      <c r="D55" s="45"/>
      <c r="E55" s="45"/>
      <c r="F55" s="45"/>
      <c r="G55" s="45"/>
      <c r="H55" s="45"/>
      <c r="J55" s="2"/>
      <c r="K55" s="2"/>
      <c r="P55" s="46"/>
    </row>
    <row r="56" customFormat="false" ht="17.35" hidden="false" customHeight="false" outlineLevel="0" collapsed="false">
      <c r="A56" s="45"/>
      <c r="B56" s="45"/>
      <c r="C56" s="45"/>
      <c r="D56" s="45"/>
      <c r="E56" s="45"/>
      <c r="F56" s="45"/>
      <c r="G56" s="45"/>
      <c r="H56" s="45"/>
      <c r="J56" s="2"/>
      <c r="K56" s="2"/>
      <c r="P56" s="46"/>
    </row>
    <row r="57" customFormat="false" ht="17.35" hidden="false" customHeight="false" outlineLevel="0" collapsed="false">
      <c r="A57" s="48"/>
      <c r="B57" s="49"/>
      <c r="C57" s="49"/>
      <c r="D57" s="49"/>
      <c r="E57" s="93"/>
      <c r="F57" s="93"/>
      <c r="G57" s="93"/>
      <c r="H57" s="5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55" t="s">
        <v>46</v>
      </c>
      <c r="B58" s="25" t="n">
        <v>1</v>
      </c>
      <c r="C58" s="488"/>
      <c r="D58" s="25"/>
      <c r="E58" s="94"/>
      <c r="F58" s="94"/>
      <c r="G58" s="94"/>
      <c r="H58" s="2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55" t="s">
        <v>60</v>
      </c>
      <c r="B59" s="25" t="n">
        <f aca="false">B35-B58</f>
        <v>32</v>
      </c>
      <c r="C59" s="488"/>
      <c r="D59" s="25"/>
      <c r="E59" s="94"/>
      <c r="F59" s="94"/>
      <c r="G59" s="94"/>
      <c r="H59" s="2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95" t="s">
        <v>61</v>
      </c>
      <c r="B60" s="96" t="n">
        <v>10</v>
      </c>
      <c r="C60" s="488"/>
      <c r="D60" s="25"/>
      <c r="E60" s="94"/>
      <c r="F60" s="94"/>
      <c r="G60" s="94"/>
      <c r="H60" s="2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55" t="s">
        <v>16</v>
      </c>
      <c r="B61" s="25" t="n">
        <f aca="false">J18</f>
        <v>57885</v>
      </c>
      <c r="C61" s="488"/>
      <c r="D61" s="25"/>
      <c r="E61" s="94"/>
      <c r="F61" s="94"/>
      <c r="G61" s="94"/>
      <c r="H61" s="2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97" t="s">
        <v>62</v>
      </c>
      <c r="B62" s="98" t="n">
        <v>0</v>
      </c>
      <c r="C62" s="488"/>
      <c r="D62" s="25"/>
      <c r="E62" s="94"/>
      <c r="F62" s="94"/>
      <c r="G62" s="94"/>
      <c r="H62" s="20"/>
      <c r="J62" s="0"/>
      <c r="K62" s="489"/>
      <c r="L62" s="0"/>
      <c r="M62" s="0"/>
      <c r="N62" s="0"/>
      <c r="O62" s="0"/>
      <c r="P62" s="0"/>
      <c r="Q62" s="0"/>
      <c r="R62" s="0"/>
      <c r="S62" s="0"/>
      <c r="T62" s="489"/>
      <c r="U62" s="0"/>
      <c r="V62" s="0"/>
      <c r="W62" s="0"/>
      <c r="X62" s="0"/>
      <c r="Y62" s="0"/>
      <c r="Z62" s="0"/>
      <c r="AA62" s="0"/>
      <c r="AB62" s="0"/>
      <c r="AC62" s="489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99" t="s">
        <v>63</v>
      </c>
      <c r="B63" s="100" t="n">
        <v>0.065</v>
      </c>
      <c r="C63" s="488"/>
      <c r="D63" s="25"/>
      <c r="E63" s="94"/>
      <c r="F63" s="94"/>
      <c r="G63" s="94"/>
      <c r="H63" s="20"/>
      <c r="J63" s="0"/>
      <c r="K63" s="489"/>
      <c r="L63" s="0"/>
      <c r="M63" s="0"/>
      <c r="N63" s="0"/>
      <c r="O63" s="0"/>
      <c r="P63" s="0"/>
      <c r="Q63" s="0"/>
      <c r="R63" s="0"/>
      <c r="S63" s="0"/>
      <c r="T63" s="489"/>
      <c r="U63" s="0"/>
      <c r="V63" s="0"/>
      <c r="W63" s="0"/>
      <c r="X63" s="0"/>
      <c r="Y63" s="0"/>
      <c r="Z63" s="0"/>
      <c r="AA63" s="0"/>
      <c r="AB63" s="0"/>
      <c r="AC63" s="489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101" t="s">
        <v>64</v>
      </c>
      <c r="B64" s="102" t="n">
        <v>0.05</v>
      </c>
      <c r="C64" s="25"/>
      <c r="D64" s="25"/>
      <c r="E64" s="94"/>
      <c r="F64" s="94"/>
      <c r="G64" s="94"/>
      <c r="H64" s="20"/>
      <c r="J64" s="0"/>
      <c r="K64" s="489"/>
      <c r="L64" s="0"/>
      <c r="M64" s="0"/>
      <c r="N64" s="0"/>
      <c r="O64" s="0"/>
      <c r="P64" s="0"/>
      <c r="Q64" s="0"/>
      <c r="R64" s="0"/>
      <c r="S64" s="0"/>
      <c r="T64" s="489"/>
      <c r="U64" s="0"/>
      <c r="V64" s="0"/>
      <c r="W64" s="0"/>
      <c r="X64" s="0"/>
      <c r="Y64" s="0"/>
      <c r="Z64" s="0"/>
      <c r="AA64" s="0"/>
      <c r="AB64" s="0"/>
      <c r="AC64" s="489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74" t="s">
        <v>65</v>
      </c>
      <c r="B65" s="82" t="n">
        <f aca="false">(B89*B59)-B53</f>
        <v>50199.5187831396</v>
      </c>
      <c r="C65" s="25"/>
      <c r="D65" s="25"/>
      <c r="E65" s="94"/>
      <c r="F65" s="94"/>
      <c r="G65" s="94"/>
      <c r="H65" s="2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97" t="s">
        <v>66</v>
      </c>
      <c r="B66" s="98" t="n">
        <v>0.005</v>
      </c>
      <c r="C66" s="25"/>
      <c r="D66" s="25"/>
      <c r="E66" s="94"/>
      <c r="F66" s="94"/>
      <c r="G66" s="94"/>
      <c r="H66" s="20"/>
      <c r="J66" s="0"/>
      <c r="K66" s="489"/>
      <c r="L66" s="0"/>
      <c r="M66" s="0"/>
      <c r="N66" s="0"/>
      <c r="O66" s="0"/>
      <c r="P66" s="0"/>
      <c r="Q66" s="0"/>
      <c r="R66" s="0"/>
      <c r="S66" s="0"/>
      <c r="T66" s="489"/>
      <c r="U66" s="0"/>
      <c r="V66" s="0"/>
      <c r="W66" s="0"/>
      <c r="X66" s="0"/>
      <c r="Y66" s="0"/>
      <c r="Z66" s="0"/>
      <c r="AA66" s="0"/>
      <c r="AB66" s="0"/>
      <c r="AC66" s="489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55" t="s">
        <v>67</v>
      </c>
      <c r="B67" s="103" t="n">
        <f aca="false">B66+(B66*0.5*(H29/12-1))</f>
        <v>0.009375</v>
      </c>
      <c r="C67" s="25"/>
      <c r="D67" s="25"/>
      <c r="E67" s="94"/>
      <c r="F67" s="94"/>
      <c r="G67" s="94"/>
      <c r="H67" s="20"/>
      <c r="J67" s="0"/>
      <c r="K67" s="489"/>
      <c r="L67" s="0"/>
      <c r="M67" s="0"/>
      <c r="N67" s="0"/>
      <c r="O67" s="0"/>
      <c r="P67" s="0"/>
      <c r="Q67" s="0"/>
      <c r="R67" s="0"/>
      <c r="S67" s="0"/>
      <c r="T67" s="489"/>
      <c r="U67" s="0"/>
      <c r="V67" s="0"/>
      <c r="W67" s="0"/>
      <c r="X67" s="0"/>
      <c r="Y67" s="0"/>
      <c r="Z67" s="0"/>
      <c r="AA67" s="0"/>
      <c r="AB67" s="0"/>
      <c r="AC67" s="489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74" t="s">
        <v>68</v>
      </c>
      <c r="B68" s="82" t="n">
        <f aca="false">(G158*B67)</f>
        <v>548.671875</v>
      </c>
      <c r="C68" s="25"/>
      <c r="D68" s="25"/>
      <c r="E68" s="94"/>
      <c r="F68" s="94"/>
      <c r="G68" s="94"/>
      <c r="H68" s="2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97" t="s">
        <v>69</v>
      </c>
      <c r="B69" s="98" t="n">
        <v>0</v>
      </c>
      <c r="C69" s="490"/>
      <c r="D69" s="25"/>
      <c r="E69" s="94"/>
      <c r="F69" s="94"/>
      <c r="G69" s="94"/>
      <c r="H69" s="20"/>
      <c r="J69" s="0"/>
      <c r="K69" s="489"/>
      <c r="L69" s="0"/>
      <c r="M69" s="0"/>
      <c r="N69" s="0"/>
      <c r="O69" s="0"/>
      <c r="P69" s="0"/>
      <c r="Q69" s="0"/>
      <c r="R69" s="0"/>
      <c r="S69" s="0"/>
      <c r="T69" s="489"/>
      <c r="U69" s="0"/>
      <c r="V69" s="0"/>
      <c r="W69" s="0"/>
      <c r="X69" s="0"/>
      <c r="Y69" s="0"/>
      <c r="Z69" s="0"/>
      <c r="AA69" s="0"/>
      <c r="AB69" s="0"/>
      <c r="AC69" s="489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99" t="s">
        <v>70</v>
      </c>
      <c r="B70" s="100" t="n">
        <v>0</v>
      </c>
      <c r="C70" s="490"/>
      <c r="D70" s="25"/>
      <c r="E70" s="94"/>
      <c r="F70" s="94"/>
      <c r="G70" s="94"/>
      <c r="H70" s="20"/>
      <c r="J70" s="0"/>
      <c r="K70" s="489"/>
      <c r="L70" s="0"/>
      <c r="M70" s="0"/>
      <c r="N70" s="0"/>
      <c r="O70" s="0"/>
      <c r="P70" s="0"/>
      <c r="Q70" s="0"/>
      <c r="R70" s="0"/>
      <c r="S70" s="0"/>
      <c r="T70" s="489"/>
      <c r="U70" s="0"/>
      <c r="V70" s="0"/>
      <c r="W70" s="0"/>
      <c r="X70" s="0"/>
      <c r="Y70" s="0"/>
      <c r="Z70" s="0"/>
      <c r="AA70" s="0"/>
      <c r="AB70" s="0"/>
      <c r="AC70" s="489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74" t="s">
        <v>71</v>
      </c>
      <c r="B71" s="104" t="n">
        <f aca="false">B69*(1+B70)</f>
        <v>0</v>
      </c>
      <c r="C71" s="490"/>
      <c r="D71" s="25"/>
      <c r="E71" s="94"/>
      <c r="F71" s="94"/>
      <c r="G71" s="94"/>
      <c r="H71" s="20"/>
      <c r="J71" s="0"/>
      <c r="K71" s="489"/>
      <c r="L71" s="0"/>
      <c r="M71" s="0"/>
      <c r="N71" s="0"/>
      <c r="O71" s="0"/>
      <c r="P71" s="0"/>
      <c r="Q71" s="0"/>
      <c r="R71" s="0"/>
      <c r="S71" s="0"/>
      <c r="T71" s="489"/>
      <c r="U71" s="0"/>
      <c r="V71" s="0"/>
      <c r="W71" s="0"/>
      <c r="X71" s="0"/>
      <c r="Y71" s="0"/>
      <c r="Z71" s="0"/>
      <c r="AA71" s="0"/>
      <c r="AB71" s="0"/>
      <c r="AC71" s="489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97" t="s">
        <v>72</v>
      </c>
      <c r="B72" s="105" t="n">
        <v>0</v>
      </c>
      <c r="C72" s="490"/>
      <c r="D72" s="25"/>
      <c r="E72" s="94"/>
      <c r="F72" s="94"/>
      <c r="G72" s="94"/>
      <c r="H72" s="2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99" t="s">
        <v>73</v>
      </c>
      <c r="B73" s="96" t="n">
        <v>0</v>
      </c>
      <c r="C73" s="490"/>
      <c r="D73" s="25"/>
      <c r="E73" s="94"/>
      <c r="F73" s="94"/>
      <c r="G73" s="94"/>
      <c r="H73" s="2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74" t="s">
        <v>74</v>
      </c>
      <c r="B74" s="82" t="n">
        <f aca="false">B73*B35</f>
        <v>0</v>
      </c>
      <c r="C74" s="490"/>
      <c r="D74" s="25" t="n">
        <f aca="false">B74+B72</f>
        <v>0</v>
      </c>
      <c r="E74" s="94"/>
      <c r="F74" s="94"/>
      <c r="G74" s="94"/>
      <c r="H74" s="2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99" t="s">
        <v>75</v>
      </c>
      <c r="B75" s="96" t="n">
        <v>0</v>
      </c>
      <c r="C75" s="490"/>
      <c r="D75" s="25" t="n">
        <f aca="false">B75</f>
        <v>0</v>
      </c>
      <c r="E75" s="94"/>
      <c r="F75" s="94"/>
      <c r="G75" s="94"/>
      <c r="H75" s="2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101" t="s">
        <v>76</v>
      </c>
      <c r="B76" s="106" t="n">
        <v>0</v>
      </c>
      <c r="C76" s="490"/>
      <c r="D76" s="25" t="n">
        <f aca="false">B76</f>
        <v>0</v>
      </c>
      <c r="E76" s="94"/>
      <c r="F76" s="25"/>
      <c r="G76" s="94"/>
      <c r="H76" s="2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107" t="s">
        <v>77</v>
      </c>
      <c r="B77" s="108" t="n">
        <f aca="false">SUM(D65:D76)</f>
        <v>0</v>
      </c>
      <c r="C77" s="25"/>
      <c r="D77" s="25"/>
      <c r="E77" s="94"/>
      <c r="F77" s="25"/>
      <c r="G77" s="25"/>
      <c r="H77" s="2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55" t="s">
        <v>78</v>
      </c>
      <c r="B78" s="20" t="n">
        <f aca="false">B77/B35</f>
        <v>0</v>
      </c>
      <c r="C78" s="25"/>
      <c r="D78" s="25"/>
      <c r="E78" s="94"/>
      <c r="F78" s="94"/>
      <c r="G78" s="94"/>
      <c r="H78" s="2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109" t="s">
        <v>79</v>
      </c>
      <c r="B79" s="77" t="n">
        <f aca="false">H46</f>
        <v>500.363636363636</v>
      </c>
      <c r="C79" s="25"/>
      <c r="D79" s="25"/>
      <c r="E79" s="94"/>
      <c r="F79" s="94"/>
      <c r="G79" s="94"/>
      <c r="H79" s="2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55"/>
      <c r="B80" s="25"/>
      <c r="C80" s="25"/>
      <c r="D80" s="25"/>
      <c r="E80" s="94"/>
      <c r="F80" s="94"/>
      <c r="G80" s="94"/>
      <c r="H80" s="2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48" t="s">
        <v>80</v>
      </c>
      <c r="B81" s="50" t="n">
        <f aca="false">K36</f>
        <v>47877.5</v>
      </c>
      <c r="C81" s="25"/>
      <c r="D81" s="25"/>
      <c r="E81" s="94"/>
      <c r="F81" s="94"/>
      <c r="G81" s="94"/>
      <c r="H81" s="2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55" t="s">
        <v>47</v>
      </c>
      <c r="B82" s="20" t="n">
        <f aca="false">D41</f>
        <v>6000</v>
      </c>
      <c r="C82" s="25"/>
      <c r="D82" s="25"/>
      <c r="E82" s="94"/>
      <c r="F82" s="94"/>
      <c r="G82" s="94"/>
      <c r="H82" s="2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55" t="s">
        <v>81</v>
      </c>
      <c r="B83" s="110" t="n">
        <f aca="false">B62+B63+B64</f>
        <v>0.115</v>
      </c>
      <c r="C83" s="25"/>
      <c r="D83" s="25"/>
      <c r="E83" s="94"/>
      <c r="F83" s="94"/>
      <c r="G83" s="94"/>
      <c r="H83" s="20"/>
      <c r="J83" s="0"/>
      <c r="K83" s="489"/>
      <c r="L83" s="0"/>
      <c r="M83" s="0"/>
      <c r="N83" s="0"/>
      <c r="O83" s="0"/>
      <c r="P83" s="0"/>
      <c r="Q83" s="0"/>
      <c r="R83" s="0"/>
      <c r="S83" s="0"/>
      <c r="T83" s="489"/>
      <c r="U83" s="0"/>
      <c r="V83" s="0"/>
      <c r="W83" s="0"/>
      <c r="X83" s="0"/>
      <c r="Y83" s="0"/>
      <c r="Z83" s="0"/>
      <c r="AA83" s="0"/>
      <c r="AB83" s="0"/>
      <c r="AC83" s="489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55" t="s">
        <v>82</v>
      </c>
      <c r="B84" s="103" t="n">
        <f aca="false">B83/12</f>
        <v>0.00958333333333333</v>
      </c>
      <c r="C84" s="25"/>
      <c r="D84" s="25"/>
      <c r="E84" s="94"/>
      <c r="F84" s="94"/>
      <c r="G84" s="94"/>
      <c r="H84" s="20"/>
      <c r="J84" s="0"/>
      <c r="K84" s="489"/>
      <c r="L84" s="0"/>
      <c r="M84" s="0"/>
      <c r="N84" s="0"/>
      <c r="O84" s="0"/>
      <c r="P84" s="0"/>
      <c r="Q84" s="0"/>
      <c r="R84" s="0"/>
      <c r="S84" s="0"/>
      <c r="T84" s="489"/>
      <c r="U84" s="0"/>
      <c r="V84" s="0"/>
      <c r="W84" s="0"/>
      <c r="X84" s="0"/>
      <c r="Y84" s="0"/>
      <c r="Z84" s="0"/>
      <c r="AA84" s="0"/>
      <c r="AB84" s="0"/>
      <c r="AC84" s="489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55" t="s">
        <v>83</v>
      </c>
      <c r="B85" s="20" t="n">
        <f aca="false">IF(B82=0, (B59+B58), (B59))</f>
        <v>32</v>
      </c>
      <c r="C85" s="25"/>
      <c r="D85" s="25"/>
      <c r="E85" s="94"/>
      <c r="F85" s="94"/>
      <c r="G85" s="94"/>
      <c r="H85" s="2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55" t="s">
        <v>84</v>
      </c>
      <c r="B86" s="20" t="n">
        <f aca="false">(B82/((1+B84)^(B85+1)))</f>
        <v>4379.8532592462</v>
      </c>
      <c r="C86" s="25" t="n">
        <f aca="false">(B82/((1+B84)^(B85+1)))</f>
        <v>4379.8532592462</v>
      </c>
      <c r="D86" s="25"/>
      <c r="E86" s="94"/>
      <c r="F86" s="94"/>
      <c r="G86" s="94"/>
      <c r="H86" s="2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55" t="s">
        <v>85</v>
      </c>
      <c r="B87" s="20" t="n">
        <f aca="false">((1-(1/((1+B84)^B85)))/B84)</f>
        <v>27.4464895133802</v>
      </c>
      <c r="C87" s="25" t="n">
        <f aca="false">((1-(1/((1+B84)^B85)))/B84)</f>
        <v>27.4464895133802</v>
      </c>
      <c r="D87" s="25"/>
      <c r="E87" s="94"/>
      <c r="F87" s="94"/>
      <c r="G87" s="94"/>
      <c r="H87" s="2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55" t="s">
        <v>86</v>
      </c>
      <c r="B88" s="20" t="n">
        <f aca="false">B81-B86</f>
        <v>43497.6467407538</v>
      </c>
      <c r="C88" s="25" t="n">
        <f aca="false">B81-B86</f>
        <v>43497.6467407538</v>
      </c>
      <c r="D88" s="25"/>
      <c r="E88" s="94"/>
      <c r="F88" s="94"/>
      <c r="G88" s="94"/>
      <c r="H88" s="2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55" t="s">
        <v>87</v>
      </c>
      <c r="B89" s="20" t="n">
        <f aca="false">(B88/B87)</f>
        <v>1584.81640136705</v>
      </c>
      <c r="C89" s="25" t="n">
        <f aca="false">(B88/B87)</f>
        <v>1584.81640136705</v>
      </c>
      <c r="D89" s="25"/>
      <c r="E89" s="94"/>
      <c r="F89" s="94"/>
      <c r="G89" s="94"/>
      <c r="H89" s="2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55" t="s">
        <v>88</v>
      </c>
      <c r="B90" s="20" t="n">
        <f aca="false">((B89*(B85))+B77)</f>
        <v>50714.1248437457</v>
      </c>
      <c r="C90" s="25"/>
      <c r="D90" s="25"/>
      <c r="E90" s="94"/>
      <c r="F90" s="94"/>
      <c r="G90" s="94"/>
      <c r="H90" s="2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55" t="s">
        <v>89</v>
      </c>
      <c r="B91" s="20" t="n">
        <f aca="false">(((B89*(B85))+B77)/(1-B71))*B71</f>
        <v>0</v>
      </c>
      <c r="C91" s="25"/>
      <c r="D91" s="25"/>
      <c r="E91" s="94"/>
      <c r="F91" s="94"/>
      <c r="G91" s="94"/>
      <c r="H91" s="2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74" t="s">
        <v>90</v>
      </c>
      <c r="B92" s="82" t="n">
        <f aca="false">(B90+B91)</f>
        <v>50714.1248437457</v>
      </c>
      <c r="C92" s="25"/>
      <c r="D92" s="25"/>
      <c r="E92" s="94"/>
      <c r="F92" s="94"/>
      <c r="G92" s="94"/>
      <c r="H92" s="2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55"/>
      <c r="B93" s="25"/>
      <c r="C93" s="25"/>
      <c r="D93" s="25"/>
      <c r="E93" s="94"/>
      <c r="F93" s="94"/>
      <c r="G93" s="94"/>
      <c r="H93" s="2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107" t="s">
        <v>91</v>
      </c>
      <c r="B94" s="111" t="n">
        <f aca="false">IF(B38="YES",((H36/B85)*(1+A108)),"0")</f>
        <v>19.09375</v>
      </c>
      <c r="C94" s="25"/>
      <c r="D94" s="25"/>
      <c r="E94" s="94"/>
      <c r="F94" s="94"/>
      <c r="G94" s="94"/>
      <c r="H94" s="2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112" t="s">
        <v>92</v>
      </c>
      <c r="B95" s="113" t="n">
        <f aca="false">B92/(B85)</f>
        <v>1584.81640136705</v>
      </c>
      <c r="C95" s="25"/>
      <c r="D95" s="25"/>
      <c r="E95" s="94"/>
      <c r="F95" s="94"/>
      <c r="G95" s="94"/>
      <c r="H95" s="2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114" t="s">
        <v>93</v>
      </c>
      <c r="B96" s="115" t="n">
        <f aca="false">B94+B95</f>
        <v>1603.91015136705</v>
      </c>
      <c r="C96" s="25"/>
      <c r="D96" s="25"/>
      <c r="E96" s="94"/>
      <c r="F96" s="94"/>
      <c r="G96" s="94"/>
      <c r="H96" s="2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74"/>
      <c r="B97" s="75"/>
      <c r="C97" s="75"/>
      <c r="D97" s="75"/>
      <c r="E97" s="116"/>
      <c r="F97" s="116"/>
      <c r="G97" s="116"/>
      <c r="H97" s="82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45"/>
      <c r="B98" s="45"/>
      <c r="C98" s="45"/>
      <c r="D98" s="45"/>
      <c r="E98" s="45"/>
      <c r="F98" s="45"/>
      <c r="G98" s="45"/>
      <c r="H98" s="45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45"/>
      <c r="B99" s="45"/>
      <c r="C99" s="45"/>
      <c r="D99" s="45"/>
      <c r="E99" s="45"/>
      <c r="F99" s="45"/>
      <c r="G99" s="45"/>
      <c r="H99" s="45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4" t="s">
        <v>96</v>
      </c>
      <c r="B100" s="4"/>
      <c r="C100" s="4"/>
      <c r="D100" s="4"/>
      <c r="E100" s="4"/>
      <c r="F100" s="4"/>
      <c r="G100" s="4"/>
      <c r="H100" s="4"/>
      <c r="J100" s="486"/>
      <c r="K100" s="486"/>
      <c r="L100" s="486"/>
      <c r="M100" s="486"/>
      <c r="N100" s="486"/>
      <c r="O100" s="486"/>
      <c r="P100" s="486"/>
      <c r="Q100" s="486"/>
      <c r="R100" s="0"/>
      <c r="S100" s="486"/>
      <c r="T100" s="486"/>
      <c r="U100" s="486"/>
      <c r="V100" s="486"/>
      <c r="W100" s="486"/>
      <c r="X100" s="486"/>
      <c r="Y100" s="486"/>
      <c r="Z100" s="486"/>
      <c r="AA100" s="0"/>
      <c r="AB100" s="486"/>
      <c r="AC100" s="486"/>
      <c r="AD100" s="486"/>
      <c r="AE100" s="486"/>
      <c r="AF100" s="486"/>
      <c r="AG100" s="486"/>
      <c r="AH100" s="486"/>
      <c r="AI100" s="486"/>
    </row>
    <row r="101" customFormat="false" ht="17.35" hidden="false" customHeight="false" outlineLevel="0" collapsed="false">
      <c r="A101" s="48"/>
      <c r="B101" s="49"/>
      <c r="C101" s="49"/>
      <c r="D101" s="49"/>
      <c r="E101" s="93"/>
      <c r="F101" s="93"/>
      <c r="G101" s="93"/>
      <c r="H101" s="11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58" t="s">
        <v>26</v>
      </c>
      <c r="B102" s="58"/>
      <c r="C102" s="58"/>
      <c r="D102" s="58"/>
      <c r="E102" s="58"/>
      <c r="F102" s="58"/>
      <c r="G102" s="58"/>
      <c r="H102" s="58"/>
      <c r="J102" s="486"/>
      <c r="K102" s="486"/>
      <c r="L102" s="486"/>
      <c r="M102" s="486"/>
      <c r="N102" s="486"/>
      <c r="O102" s="486"/>
      <c r="P102" s="486"/>
      <c r="Q102" s="486"/>
      <c r="R102" s="0"/>
      <c r="S102" s="486"/>
      <c r="T102" s="486"/>
      <c r="U102" s="486"/>
      <c r="V102" s="486"/>
      <c r="W102" s="486"/>
      <c r="X102" s="486"/>
      <c r="Y102" s="486"/>
      <c r="Z102" s="486"/>
      <c r="AA102" s="0"/>
      <c r="AB102" s="486"/>
      <c r="AC102" s="486"/>
      <c r="AD102" s="486"/>
      <c r="AE102" s="486"/>
      <c r="AF102" s="486"/>
      <c r="AG102" s="486"/>
      <c r="AH102" s="486"/>
      <c r="AI102" s="486"/>
    </row>
    <row r="103" customFormat="false" ht="17.35" hidden="false" customHeight="false" outlineLevel="0" collapsed="false">
      <c r="A103" s="55"/>
      <c r="B103" s="25"/>
      <c r="C103" s="25"/>
      <c r="D103" s="25"/>
      <c r="E103" s="94"/>
      <c r="F103" s="94"/>
      <c r="G103" s="94"/>
      <c r="H103" s="11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9" t="s">
        <v>100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55" t="s">
        <v>98</v>
      </c>
      <c r="B104" s="25" t="s">
        <v>23</v>
      </c>
      <c r="C104" s="25"/>
      <c r="D104" s="25"/>
      <c r="E104" s="25" t="s">
        <v>22</v>
      </c>
      <c r="F104" s="25"/>
      <c r="G104" s="25"/>
      <c r="H104" s="2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9" t="s">
        <v>253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51" t="s">
        <v>99</v>
      </c>
      <c r="B105" s="37" t="s">
        <v>100</v>
      </c>
      <c r="C105" s="37"/>
      <c r="D105" s="37"/>
      <c r="E105" s="60" t="s">
        <v>9</v>
      </c>
      <c r="F105" s="60"/>
      <c r="G105" s="60"/>
      <c r="H105" s="118"/>
      <c r="J105" s="0"/>
      <c r="K105" s="486"/>
      <c r="L105" s="486"/>
      <c r="M105" s="486"/>
      <c r="N105" s="486"/>
      <c r="O105" s="486"/>
      <c r="P105" s="486"/>
      <c r="Q105" s="0"/>
      <c r="R105" s="0"/>
      <c r="S105" s="0"/>
      <c r="T105" s="486"/>
      <c r="U105" s="486"/>
      <c r="V105" s="486"/>
      <c r="W105" s="486"/>
      <c r="X105" s="486"/>
      <c r="Y105" s="486"/>
      <c r="Z105" s="19" t="s">
        <v>257</v>
      </c>
      <c r="AA105" s="0"/>
      <c r="AB105" s="0"/>
      <c r="AC105" s="486"/>
      <c r="AD105" s="486"/>
      <c r="AE105" s="486"/>
      <c r="AF105" s="486"/>
      <c r="AG105" s="486"/>
      <c r="AH105" s="486"/>
      <c r="AI105" s="0"/>
    </row>
    <row r="106" customFormat="false" ht="17.35" hidden="false" customHeight="false" outlineLevel="0" collapsed="false">
      <c r="A106" s="55"/>
      <c r="B106" s="25"/>
      <c r="C106" s="25"/>
      <c r="D106" s="94"/>
      <c r="E106" s="25"/>
      <c r="F106" s="25"/>
      <c r="G106" s="94"/>
      <c r="H106" s="2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9" t="s">
        <v>258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55" t="s">
        <v>101</v>
      </c>
      <c r="B107" s="25" t="s">
        <v>102</v>
      </c>
      <c r="C107" s="25"/>
      <c r="D107" s="94"/>
      <c r="E107" s="25" t="s">
        <v>103</v>
      </c>
      <c r="F107" s="25"/>
      <c r="G107" s="94"/>
      <c r="H107" s="11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9" t="s">
        <v>262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91" t="n">
        <v>0.3</v>
      </c>
      <c r="B108" s="72" t="s">
        <v>364</v>
      </c>
      <c r="C108" s="72"/>
      <c r="D108" s="72"/>
      <c r="E108" s="121" t="n">
        <f aca="false">B83</f>
        <v>0.115</v>
      </c>
      <c r="F108" s="121"/>
      <c r="G108" s="121"/>
      <c r="H108" s="65"/>
      <c r="J108" s="489"/>
      <c r="K108" s="486"/>
      <c r="L108" s="486"/>
      <c r="M108" s="486"/>
      <c r="N108" s="489"/>
      <c r="O108" s="489"/>
      <c r="P108" s="489"/>
      <c r="Q108" s="0"/>
      <c r="R108" s="0"/>
      <c r="S108" s="489"/>
      <c r="T108" s="486"/>
      <c r="U108" s="486"/>
      <c r="V108" s="486"/>
      <c r="W108" s="489"/>
      <c r="X108" s="489"/>
      <c r="Y108" s="489"/>
      <c r="Z108" s="19" t="s">
        <v>256</v>
      </c>
      <c r="AA108" s="0"/>
      <c r="AB108" s="489"/>
      <c r="AC108" s="486"/>
      <c r="AD108" s="486"/>
      <c r="AE108" s="486"/>
      <c r="AF108" s="489"/>
      <c r="AG108" s="489"/>
      <c r="AH108" s="489"/>
      <c r="AI108" s="0"/>
      <c r="AP108" s="1" t="s">
        <v>106</v>
      </c>
    </row>
    <row r="109" customFormat="false" ht="17.35" hidden="false" customHeight="false" outlineLevel="0" collapsed="false">
      <c r="A109" s="55"/>
      <c r="B109" s="25"/>
      <c r="C109" s="25"/>
      <c r="D109" s="25"/>
      <c r="E109" s="25"/>
      <c r="F109" s="25"/>
      <c r="G109" s="25"/>
      <c r="H109" s="2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9" t="s">
        <v>255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" t="s">
        <v>104</v>
      </c>
    </row>
    <row r="110" customFormat="false" ht="17.35" hidden="false" customHeight="false" outlineLevel="0" collapsed="false">
      <c r="A110" s="55" t="s">
        <v>107</v>
      </c>
      <c r="B110" s="25" t="s">
        <v>108</v>
      </c>
      <c r="C110" s="25"/>
      <c r="D110" s="25"/>
      <c r="E110" s="25" t="s">
        <v>109</v>
      </c>
      <c r="F110" s="25"/>
      <c r="G110" s="25"/>
      <c r="H110" s="2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9" t="s">
        <v>263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52" t="s">
        <v>9</v>
      </c>
      <c r="B111" s="72" t="n">
        <v>0</v>
      </c>
      <c r="C111" s="72"/>
      <c r="D111" s="72"/>
      <c r="E111" s="72" t="n">
        <v>0</v>
      </c>
      <c r="F111" s="72"/>
      <c r="G111" s="72"/>
      <c r="H111" s="118"/>
      <c r="J111" s="0"/>
      <c r="K111" s="486"/>
      <c r="L111" s="486"/>
      <c r="M111" s="486"/>
      <c r="N111" s="486"/>
      <c r="O111" s="486"/>
      <c r="P111" s="486"/>
      <c r="Q111" s="0"/>
      <c r="R111" s="0"/>
      <c r="S111" s="0"/>
      <c r="T111" s="486"/>
      <c r="U111" s="486"/>
      <c r="V111" s="486"/>
      <c r="W111" s="486"/>
      <c r="X111" s="486"/>
      <c r="Y111" s="486"/>
      <c r="Z111" s="19" t="s">
        <v>265</v>
      </c>
      <c r="AA111" s="0"/>
      <c r="AB111" s="0"/>
      <c r="AC111" s="486"/>
      <c r="AD111" s="486"/>
      <c r="AE111" s="486"/>
      <c r="AF111" s="486"/>
      <c r="AG111" s="486"/>
      <c r="AH111" s="486"/>
      <c r="AI111" s="0"/>
    </row>
    <row r="112" customFormat="false" ht="17.35" hidden="false" customHeight="false" outlineLevel="0" collapsed="false">
      <c r="A112" s="55"/>
      <c r="B112" s="25"/>
      <c r="C112" s="25"/>
      <c r="D112" s="25"/>
      <c r="E112" s="25"/>
      <c r="F112" s="25"/>
      <c r="G112" s="94"/>
      <c r="H112" s="11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123" t="s">
        <v>110</v>
      </c>
      <c r="B113" s="25" t="s">
        <v>111</v>
      </c>
      <c r="C113" s="25"/>
      <c r="D113" s="25"/>
      <c r="E113" s="25" t="s">
        <v>112</v>
      </c>
      <c r="F113" s="25"/>
      <c r="G113" s="94"/>
      <c r="H113" s="11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70" t="n">
        <f aca="false">B111+E111</f>
        <v>0</v>
      </c>
      <c r="B114" s="72" t="s">
        <v>206</v>
      </c>
      <c r="C114" s="72"/>
      <c r="D114" s="72"/>
      <c r="E114" s="72" t="s">
        <v>9</v>
      </c>
      <c r="F114" s="72"/>
      <c r="G114" s="72"/>
      <c r="H114" s="118"/>
      <c r="J114" s="0"/>
      <c r="K114" s="486"/>
      <c r="L114" s="486"/>
      <c r="M114" s="486"/>
      <c r="N114" s="486"/>
      <c r="O114" s="486"/>
      <c r="P114" s="486"/>
      <c r="Q114" s="0"/>
      <c r="R114" s="0"/>
      <c r="S114" s="0"/>
      <c r="T114" s="486"/>
      <c r="U114" s="486"/>
      <c r="V114" s="486"/>
      <c r="W114" s="486"/>
      <c r="X114" s="486"/>
      <c r="Y114" s="486"/>
      <c r="Z114" s="0"/>
      <c r="AA114" s="0"/>
      <c r="AB114" s="0"/>
      <c r="AC114" s="486"/>
      <c r="AD114" s="486"/>
      <c r="AE114" s="486"/>
      <c r="AF114" s="486"/>
      <c r="AG114" s="486"/>
      <c r="AH114" s="486"/>
      <c r="AI114" s="0"/>
    </row>
    <row r="115" customFormat="false" ht="13.8" hidden="false" customHeight="false" outlineLevel="0" collapsed="false">
      <c r="A115" s="124"/>
      <c r="B115" s="94"/>
      <c r="C115" s="94"/>
      <c r="D115" s="94"/>
      <c r="E115" s="94"/>
      <c r="F115" s="94"/>
      <c r="G115" s="94"/>
      <c r="H115" s="11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124"/>
      <c r="B116" s="94"/>
      <c r="C116" s="94"/>
      <c r="D116" s="94"/>
      <c r="E116" s="94"/>
      <c r="F116" s="94"/>
      <c r="G116" s="94"/>
      <c r="H116" s="11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58" t="s">
        <v>114</v>
      </c>
      <c r="B117" s="58"/>
      <c r="C117" s="58"/>
      <c r="D117" s="58"/>
      <c r="E117" s="58"/>
      <c r="F117" s="58"/>
      <c r="G117" s="58"/>
      <c r="H117" s="58"/>
      <c r="J117" s="486"/>
      <c r="K117" s="486"/>
      <c r="L117" s="486"/>
      <c r="M117" s="486"/>
      <c r="N117" s="486"/>
      <c r="O117" s="486"/>
      <c r="P117" s="486"/>
      <c r="Q117" s="486"/>
      <c r="R117" s="0"/>
      <c r="S117" s="486"/>
      <c r="T117" s="486"/>
      <c r="U117" s="486"/>
      <c r="V117" s="486"/>
      <c r="W117" s="486"/>
      <c r="X117" s="486"/>
      <c r="Y117" s="486"/>
      <c r="Z117" s="486"/>
      <c r="AA117" s="0"/>
      <c r="AB117" s="486"/>
      <c r="AC117" s="486"/>
      <c r="AD117" s="486"/>
      <c r="AE117" s="486"/>
      <c r="AF117" s="486"/>
      <c r="AG117" s="486"/>
      <c r="AH117" s="486"/>
      <c r="AI117" s="486"/>
    </row>
    <row r="118" customFormat="false" ht="13.8" hidden="false" customHeight="false" outlineLevel="0" collapsed="false">
      <c r="A118" s="124"/>
      <c r="B118" s="94"/>
      <c r="C118" s="94"/>
      <c r="D118" s="94"/>
      <c r="E118" s="94"/>
      <c r="F118" s="94"/>
      <c r="G118" s="94"/>
      <c r="H118" s="11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97"/>
      <c r="B119" s="125" t="s">
        <v>115</v>
      </c>
      <c r="C119" s="125"/>
      <c r="D119" s="125" t="s">
        <v>116</v>
      </c>
      <c r="E119" s="125"/>
      <c r="F119" s="125" t="s">
        <v>117</v>
      </c>
      <c r="G119" s="125"/>
      <c r="H119" s="126" t="s">
        <v>118</v>
      </c>
      <c r="J119" s="0"/>
      <c r="K119" s="486"/>
      <c r="L119" s="486"/>
      <c r="M119" s="486"/>
      <c r="N119" s="486"/>
      <c r="O119" s="486"/>
      <c r="P119" s="486"/>
      <c r="Q119" s="0"/>
      <c r="R119" s="0"/>
      <c r="S119" s="0"/>
      <c r="T119" s="486"/>
      <c r="U119" s="486"/>
      <c r="V119" s="486"/>
      <c r="W119" s="486"/>
      <c r="X119" s="486"/>
      <c r="Y119" s="486"/>
      <c r="Z119" s="0"/>
      <c r="AA119" s="0"/>
      <c r="AB119" s="0"/>
      <c r="AC119" s="486"/>
      <c r="AD119" s="486"/>
      <c r="AE119" s="486"/>
      <c r="AF119" s="486"/>
      <c r="AG119" s="486"/>
      <c r="AH119" s="486"/>
      <c r="AI119" s="0"/>
    </row>
    <row r="120" customFormat="false" ht="19.7" hidden="false" customHeight="false" outlineLevel="0" collapsed="false">
      <c r="A120" s="99" t="s">
        <v>9</v>
      </c>
      <c r="B120" s="127" t="n">
        <v>0</v>
      </c>
      <c r="C120" s="128" t="s">
        <v>120</v>
      </c>
      <c r="D120" s="127" t="s">
        <v>119</v>
      </c>
      <c r="E120" s="129" t="n">
        <v>0</v>
      </c>
      <c r="F120" s="127" t="s">
        <v>119</v>
      </c>
      <c r="G120" s="129" t="s">
        <v>120</v>
      </c>
      <c r="H120" s="13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48" t="s">
        <v>121</v>
      </c>
      <c r="B121" s="131" t="n">
        <f aca="false">B3</f>
        <v>46854.17</v>
      </c>
      <c r="C121" s="132" t="n">
        <f aca="false">B121</f>
        <v>46854.17</v>
      </c>
      <c r="D121" s="131" t="n">
        <f aca="false">D3</f>
        <v>0</v>
      </c>
      <c r="E121" s="132" t="n">
        <f aca="false">D121</f>
        <v>0</v>
      </c>
      <c r="F121" s="131" t="n">
        <f aca="false">F3</f>
        <v>833.33</v>
      </c>
      <c r="G121" s="132" t="n">
        <f aca="false">F121</f>
        <v>833.33</v>
      </c>
      <c r="H121" s="13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55" t="s">
        <v>122</v>
      </c>
      <c r="B122" s="134" t="n">
        <f aca="false">B4</f>
        <v>0</v>
      </c>
      <c r="C122" s="17" t="n">
        <f aca="false">B122</f>
        <v>0</v>
      </c>
      <c r="D122" s="134" t="n">
        <f aca="false">D4</f>
        <v>0</v>
      </c>
      <c r="E122" s="17" t="n">
        <f aca="false">D122</f>
        <v>0</v>
      </c>
      <c r="F122" s="134" t="n">
        <f aca="false">F4</f>
        <v>0</v>
      </c>
      <c r="G122" s="492" t="n">
        <f aca="false">F122</f>
        <v>0</v>
      </c>
      <c r="H122" s="18"/>
      <c r="J122" s="0"/>
      <c r="K122" s="489"/>
      <c r="L122" s="489"/>
      <c r="M122" s="489"/>
      <c r="N122" s="489"/>
      <c r="O122" s="489"/>
      <c r="P122" s="489"/>
      <c r="Q122" s="489"/>
      <c r="R122" s="0"/>
      <c r="S122" s="0"/>
      <c r="T122" s="489"/>
      <c r="U122" s="489"/>
      <c r="V122" s="489"/>
      <c r="W122" s="489"/>
      <c r="X122" s="489"/>
      <c r="Y122" s="489"/>
      <c r="Z122" s="489"/>
      <c r="AA122" s="0"/>
      <c r="AB122" s="0"/>
      <c r="AC122" s="489"/>
      <c r="AD122" s="489"/>
      <c r="AE122" s="489"/>
      <c r="AF122" s="489"/>
      <c r="AG122" s="489"/>
      <c r="AH122" s="489"/>
      <c r="AI122" s="489"/>
    </row>
    <row r="123" customFormat="false" ht="17.35" hidden="false" customHeight="false" outlineLevel="0" collapsed="false">
      <c r="A123" s="55" t="s">
        <v>123</v>
      </c>
      <c r="B123" s="136" t="n">
        <f aca="false">B5</f>
        <v>0</v>
      </c>
      <c r="C123" s="132" t="n">
        <f aca="false">B123</f>
        <v>0</v>
      </c>
      <c r="D123" s="136" t="n">
        <f aca="false">D5</f>
        <v>0</v>
      </c>
      <c r="E123" s="132" t="n">
        <f aca="false">D123</f>
        <v>0</v>
      </c>
      <c r="F123" s="136" t="n">
        <f aca="false">F5</f>
        <v>0</v>
      </c>
      <c r="G123" s="132" t="n">
        <f aca="false">F123</f>
        <v>0</v>
      </c>
      <c r="H123" s="2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55" t="s">
        <v>124</v>
      </c>
      <c r="B124" s="136" t="n">
        <f aca="false">(B121*B122)+B123</f>
        <v>0</v>
      </c>
      <c r="C124" s="137" t="n">
        <f aca="false">(C121*C122/100)+C123</f>
        <v>0</v>
      </c>
      <c r="D124" s="136" t="n">
        <f aca="false">(D121*D122)+D123</f>
        <v>0</v>
      </c>
      <c r="E124" s="137" t="n">
        <f aca="false">(E121*E122/100)+E123</f>
        <v>0</v>
      </c>
      <c r="F124" s="136" t="n">
        <f aca="false">(F121*F122)+F123</f>
        <v>0</v>
      </c>
      <c r="G124" s="137" t="n">
        <f aca="false">(G121*G122/100)+G123</f>
        <v>0</v>
      </c>
      <c r="H124" s="2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74" t="s">
        <v>125</v>
      </c>
      <c r="B125" s="138" t="n">
        <f aca="false">B121-B124</f>
        <v>46854.17</v>
      </c>
      <c r="C125" s="139" t="n">
        <f aca="false">C121-C124</f>
        <v>46854.17</v>
      </c>
      <c r="D125" s="138" t="n">
        <f aca="false">D121-D124</f>
        <v>0</v>
      </c>
      <c r="E125" s="139" t="n">
        <f aca="false">E121-E124</f>
        <v>0</v>
      </c>
      <c r="F125" s="138" t="n">
        <f aca="false">F121-F124</f>
        <v>833.33</v>
      </c>
      <c r="G125" s="139" t="n">
        <f aca="false">G121-G124</f>
        <v>833.33</v>
      </c>
      <c r="H125" s="82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55"/>
      <c r="B126" s="25"/>
      <c r="C126" s="25"/>
      <c r="D126" s="25"/>
      <c r="E126" s="25"/>
      <c r="F126" s="25"/>
      <c r="G126" s="25"/>
      <c r="H126" s="2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140"/>
      <c r="B127" s="141"/>
      <c r="C127" s="141"/>
      <c r="D127" s="141"/>
      <c r="E127" s="141"/>
      <c r="F127" s="141"/>
      <c r="G127" s="29" t="s">
        <v>119</v>
      </c>
      <c r="H127" s="142" t="s">
        <v>120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143" t="s">
        <v>126</v>
      </c>
      <c r="B128" s="144"/>
      <c r="C128" s="144"/>
      <c r="D128" s="144"/>
      <c r="E128" s="144"/>
      <c r="F128" s="144"/>
      <c r="G128" s="145" t="n">
        <f aca="false">H121</f>
        <v>0</v>
      </c>
      <c r="H128" s="146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55"/>
      <c r="B129" s="25"/>
      <c r="C129" s="25"/>
      <c r="D129" s="25"/>
      <c r="E129" s="25"/>
      <c r="F129" s="25"/>
      <c r="G129" s="147"/>
      <c r="H129" s="148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149" t="s">
        <v>127</v>
      </c>
      <c r="B130" s="147" t="s">
        <v>128</v>
      </c>
      <c r="C130" s="147"/>
      <c r="D130" s="147" t="s">
        <v>129</v>
      </c>
      <c r="E130" s="147"/>
      <c r="F130" s="147" t="s">
        <v>123</v>
      </c>
      <c r="G130" s="147"/>
      <c r="H130" s="148" t="s">
        <v>120</v>
      </c>
      <c r="J130" s="0"/>
      <c r="K130" s="486"/>
      <c r="L130" s="486"/>
      <c r="M130" s="486"/>
      <c r="N130" s="486"/>
      <c r="O130" s="486"/>
      <c r="P130" s="486"/>
      <c r="Q130" s="0"/>
      <c r="R130" s="0"/>
      <c r="S130" s="0"/>
      <c r="T130" s="486"/>
      <c r="U130" s="486"/>
      <c r="V130" s="486"/>
      <c r="W130" s="486"/>
      <c r="X130" s="486"/>
      <c r="Y130" s="486"/>
      <c r="Z130" s="0"/>
      <c r="AA130" s="0"/>
      <c r="AB130" s="0"/>
      <c r="AC130" s="486"/>
      <c r="AD130" s="486"/>
      <c r="AE130" s="486"/>
      <c r="AF130" s="486"/>
      <c r="AG130" s="486"/>
      <c r="AH130" s="486"/>
      <c r="AI130" s="0"/>
    </row>
    <row r="131" customFormat="false" ht="17.35" hidden="false" customHeight="false" outlineLevel="0" collapsed="false">
      <c r="A131" s="55" t="s">
        <v>130</v>
      </c>
      <c r="B131" s="150" t="n">
        <f aca="false">G128</f>
        <v>0</v>
      </c>
      <c r="C131" s="150"/>
      <c r="D131" s="151" t="n">
        <v>0</v>
      </c>
      <c r="E131" s="151"/>
      <c r="F131" s="150" t="n">
        <v>0</v>
      </c>
      <c r="G131" s="150"/>
      <c r="H131" s="152" t="n">
        <f aca="false">(B131-(B131*D131))-F131</f>
        <v>0</v>
      </c>
      <c r="J131" s="0"/>
      <c r="K131" s="486"/>
      <c r="L131" s="486"/>
      <c r="M131" s="489"/>
      <c r="N131" s="489"/>
      <c r="O131" s="486"/>
      <c r="P131" s="486"/>
      <c r="Q131" s="0"/>
      <c r="R131" s="0"/>
      <c r="S131" s="0"/>
      <c r="T131" s="486"/>
      <c r="U131" s="486"/>
      <c r="V131" s="489"/>
      <c r="W131" s="489"/>
      <c r="X131" s="486"/>
      <c r="Y131" s="486"/>
      <c r="Z131" s="0"/>
      <c r="AA131" s="0"/>
      <c r="AB131" s="0"/>
      <c r="AC131" s="486"/>
      <c r="AD131" s="486"/>
      <c r="AE131" s="489"/>
      <c r="AF131" s="489"/>
      <c r="AG131" s="486"/>
      <c r="AH131" s="486"/>
      <c r="AI131" s="0"/>
    </row>
    <row r="132" customFormat="false" ht="17.35" hidden="false" customHeight="false" outlineLevel="0" collapsed="false">
      <c r="A132" s="55" t="s">
        <v>131</v>
      </c>
      <c r="B132" s="150" t="n">
        <v>0</v>
      </c>
      <c r="C132" s="150"/>
      <c r="D132" s="151" t="n">
        <v>0</v>
      </c>
      <c r="E132" s="151"/>
      <c r="F132" s="150" t="n">
        <v>0</v>
      </c>
      <c r="G132" s="150"/>
      <c r="H132" s="152" t="n">
        <f aca="false">(B132-(B132*D132))-F132</f>
        <v>0</v>
      </c>
      <c r="J132" s="0"/>
      <c r="K132" s="486"/>
      <c r="L132" s="486"/>
      <c r="M132" s="489"/>
      <c r="N132" s="489"/>
      <c r="O132" s="486"/>
      <c r="P132" s="486"/>
      <c r="Q132" s="0"/>
      <c r="R132" s="0"/>
      <c r="S132" s="0"/>
      <c r="T132" s="486"/>
      <c r="U132" s="486"/>
      <c r="V132" s="489"/>
      <c r="W132" s="489"/>
      <c r="X132" s="486"/>
      <c r="Y132" s="486"/>
      <c r="Z132" s="0"/>
      <c r="AA132" s="0"/>
      <c r="AB132" s="0"/>
      <c r="AC132" s="486"/>
      <c r="AD132" s="486"/>
      <c r="AE132" s="489"/>
      <c r="AF132" s="489"/>
      <c r="AG132" s="486"/>
      <c r="AH132" s="486"/>
      <c r="AI132" s="0"/>
    </row>
    <row r="133" customFormat="false" ht="17.35" hidden="false" customHeight="false" outlineLevel="0" collapsed="false">
      <c r="A133" s="55" t="s">
        <v>132</v>
      </c>
      <c r="B133" s="150" t="n">
        <v>0</v>
      </c>
      <c r="C133" s="150"/>
      <c r="D133" s="151" t="n">
        <v>0</v>
      </c>
      <c r="E133" s="151"/>
      <c r="F133" s="150" t="n">
        <v>0</v>
      </c>
      <c r="G133" s="150"/>
      <c r="H133" s="152" t="n">
        <f aca="false">(B133-(B133*D133))-F133</f>
        <v>0</v>
      </c>
      <c r="J133" s="0"/>
      <c r="K133" s="486"/>
      <c r="L133" s="486"/>
      <c r="M133" s="489"/>
      <c r="N133" s="489"/>
      <c r="O133" s="486"/>
      <c r="P133" s="486"/>
      <c r="Q133" s="0"/>
      <c r="R133" s="0"/>
      <c r="S133" s="0"/>
      <c r="T133" s="486"/>
      <c r="U133" s="486"/>
      <c r="V133" s="489"/>
      <c r="W133" s="489"/>
      <c r="X133" s="486"/>
      <c r="Y133" s="486"/>
      <c r="Z133" s="0"/>
      <c r="AA133" s="0"/>
      <c r="AB133" s="0"/>
      <c r="AC133" s="486"/>
      <c r="AD133" s="486"/>
      <c r="AE133" s="489"/>
      <c r="AF133" s="489"/>
      <c r="AG133" s="486"/>
      <c r="AH133" s="486"/>
      <c r="AI133" s="0"/>
    </row>
    <row r="134" customFormat="false" ht="17.35" hidden="false" customHeight="false" outlineLevel="0" collapsed="false">
      <c r="A134" s="55"/>
      <c r="B134" s="25"/>
      <c r="C134" s="25"/>
      <c r="D134" s="25"/>
      <c r="E134" s="25"/>
      <c r="F134" s="25"/>
      <c r="G134" s="147"/>
      <c r="H134" s="148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153" t="s">
        <v>133</v>
      </c>
      <c r="B135" s="153"/>
      <c r="C135" s="153"/>
      <c r="D135" s="153"/>
      <c r="E135" s="153"/>
      <c r="F135" s="153"/>
      <c r="G135" s="29" t="n">
        <f aca="false">H9</f>
        <v>47687.5</v>
      </c>
      <c r="H135" s="154" t="n">
        <f aca="false">C125+E125+G125+H128</f>
        <v>47687.5</v>
      </c>
      <c r="J135" s="486"/>
      <c r="K135" s="486"/>
      <c r="L135" s="486"/>
      <c r="M135" s="486"/>
      <c r="N135" s="486"/>
      <c r="O135" s="486"/>
      <c r="P135" s="0"/>
      <c r="Q135" s="0"/>
      <c r="R135" s="0"/>
      <c r="S135" s="486"/>
      <c r="T135" s="486"/>
      <c r="U135" s="486"/>
      <c r="V135" s="486"/>
      <c r="W135" s="486"/>
      <c r="X135" s="486"/>
      <c r="Y135" s="0"/>
      <c r="Z135" s="0"/>
      <c r="AA135" s="0"/>
      <c r="AB135" s="486"/>
      <c r="AC135" s="486"/>
      <c r="AD135" s="486"/>
      <c r="AE135" s="486"/>
      <c r="AF135" s="486"/>
      <c r="AG135" s="486"/>
      <c r="AH135" s="0"/>
      <c r="AI135" s="0"/>
    </row>
    <row r="136" customFormat="false" ht="17.35" hidden="false" customHeight="false" outlineLevel="0" collapsed="false">
      <c r="A136" s="155" t="s">
        <v>134</v>
      </c>
      <c r="B136" s="155"/>
      <c r="C136" s="155"/>
      <c r="D136" s="155"/>
      <c r="E136" s="155"/>
      <c r="F136" s="155"/>
      <c r="G136" s="21" t="n">
        <f aca="false">H10</f>
        <v>550</v>
      </c>
      <c r="H136" s="20" t="n">
        <f aca="false">G136</f>
        <v>550</v>
      </c>
      <c r="J136" s="486"/>
      <c r="K136" s="486"/>
      <c r="L136" s="486"/>
      <c r="M136" s="486"/>
      <c r="N136" s="486"/>
      <c r="O136" s="486"/>
      <c r="P136" s="0"/>
      <c r="Q136" s="0"/>
      <c r="R136" s="0"/>
      <c r="S136" s="486"/>
      <c r="T136" s="486"/>
      <c r="U136" s="486"/>
      <c r="V136" s="486"/>
      <c r="W136" s="486"/>
      <c r="X136" s="486"/>
      <c r="Y136" s="0"/>
      <c r="Z136" s="0"/>
      <c r="AA136" s="0"/>
      <c r="AB136" s="486"/>
      <c r="AC136" s="486"/>
      <c r="AD136" s="486"/>
      <c r="AE136" s="486"/>
      <c r="AF136" s="486"/>
      <c r="AG136" s="486"/>
      <c r="AH136" s="0"/>
      <c r="AI136" s="0"/>
    </row>
    <row r="137" customFormat="false" ht="17.35" hidden="false" customHeight="false" outlineLevel="0" collapsed="false">
      <c r="A137" s="155" t="s">
        <v>135</v>
      </c>
      <c r="B137" s="155"/>
      <c r="C137" s="155"/>
      <c r="D137" s="155"/>
      <c r="E137" s="155"/>
      <c r="F137" s="155"/>
      <c r="G137" s="21" t="n">
        <f aca="false">H11</f>
        <v>9647.5</v>
      </c>
      <c r="H137" s="20" t="n">
        <f aca="false">(H135+H136)*20%</f>
        <v>9647.5</v>
      </c>
      <c r="J137" s="486"/>
      <c r="K137" s="486"/>
      <c r="L137" s="486"/>
      <c r="M137" s="486"/>
      <c r="N137" s="486"/>
      <c r="O137" s="486"/>
      <c r="P137" s="0"/>
      <c r="Q137" s="0"/>
      <c r="R137" s="0"/>
      <c r="S137" s="486"/>
      <c r="T137" s="486"/>
      <c r="U137" s="486"/>
      <c r="V137" s="486"/>
      <c r="W137" s="486"/>
      <c r="X137" s="486"/>
      <c r="Y137" s="0"/>
      <c r="Z137" s="0"/>
      <c r="AA137" s="0"/>
      <c r="AB137" s="486"/>
      <c r="AC137" s="486"/>
      <c r="AD137" s="486"/>
      <c r="AE137" s="486"/>
      <c r="AF137" s="486"/>
      <c r="AG137" s="486"/>
      <c r="AH137" s="0"/>
      <c r="AI137" s="0"/>
    </row>
    <row r="138" customFormat="false" ht="17.35" hidden="false" customHeight="false" outlineLevel="0" collapsed="false">
      <c r="A138" s="155" t="s">
        <v>136</v>
      </c>
      <c r="B138" s="155"/>
      <c r="C138" s="155"/>
      <c r="D138" s="155"/>
      <c r="E138" s="155"/>
      <c r="F138" s="155"/>
      <c r="G138" s="21" t="n">
        <f aca="false">H12</f>
        <v>0</v>
      </c>
      <c r="H138" s="20" t="n">
        <v>0</v>
      </c>
      <c r="J138" s="486"/>
      <c r="K138" s="486"/>
      <c r="L138" s="486"/>
      <c r="M138" s="486"/>
      <c r="N138" s="486"/>
      <c r="O138" s="486"/>
      <c r="P138" s="0"/>
      <c r="Q138" s="0"/>
      <c r="R138" s="0"/>
      <c r="S138" s="486"/>
      <c r="T138" s="486"/>
      <c r="U138" s="486"/>
      <c r="V138" s="486"/>
      <c r="W138" s="486"/>
      <c r="X138" s="486"/>
      <c r="Y138" s="0"/>
      <c r="Z138" s="0"/>
      <c r="AA138" s="0"/>
      <c r="AB138" s="486"/>
      <c r="AC138" s="486"/>
      <c r="AD138" s="486"/>
      <c r="AE138" s="486"/>
      <c r="AF138" s="486"/>
      <c r="AG138" s="486"/>
      <c r="AH138" s="0"/>
      <c r="AI138" s="0"/>
    </row>
    <row r="139" customFormat="false" ht="17.35" hidden="false" customHeight="false" outlineLevel="0" collapsed="false">
      <c r="A139" s="155" t="s">
        <v>137</v>
      </c>
      <c r="B139" s="155"/>
      <c r="C139" s="155"/>
      <c r="D139" s="155"/>
      <c r="E139" s="155"/>
      <c r="F139" s="155"/>
      <c r="G139" s="21" t="n">
        <f aca="false">H13</f>
        <v>585</v>
      </c>
      <c r="H139" s="20" t="n">
        <f aca="false">G139</f>
        <v>585</v>
      </c>
      <c r="J139" s="486"/>
      <c r="K139" s="486"/>
      <c r="L139" s="486"/>
      <c r="M139" s="486"/>
      <c r="N139" s="486"/>
      <c r="O139" s="486"/>
      <c r="P139" s="0"/>
      <c r="Q139" s="0"/>
      <c r="R139" s="0"/>
      <c r="S139" s="486"/>
      <c r="T139" s="486"/>
      <c r="U139" s="486"/>
      <c r="V139" s="486"/>
      <c r="W139" s="486"/>
      <c r="X139" s="486"/>
      <c r="Y139" s="0"/>
      <c r="Z139" s="0"/>
      <c r="AA139" s="0"/>
      <c r="AB139" s="486"/>
      <c r="AC139" s="486"/>
      <c r="AD139" s="486"/>
      <c r="AE139" s="486"/>
      <c r="AF139" s="486"/>
      <c r="AG139" s="486"/>
      <c r="AH139" s="0"/>
      <c r="AI139" s="0"/>
    </row>
    <row r="140" customFormat="false" ht="17.35" hidden="false" customHeight="false" outlineLevel="0" collapsed="false">
      <c r="A140" s="155" t="s">
        <v>138</v>
      </c>
      <c r="B140" s="155"/>
      <c r="C140" s="155"/>
      <c r="D140" s="155"/>
      <c r="E140" s="155"/>
      <c r="F140" s="155"/>
      <c r="G140" s="21" t="n">
        <f aca="false">H14</f>
        <v>55</v>
      </c>
      <c r="H140" s="20" t="n">
        <v>55</v>
      </c>
      <c r="J140" s="486"/>
      <c r="K140" s="486"/>
      <c r="L140" s="486"/>
      <c r="M140" s="486"/>
      <c r="N140" s="486"/>
      <c r="O140" s="486"/>
      <c r="P140" s="0"/>
      <c r="Q140" s="0"/>
      <c r="R140" s="0"/>
      <c r="S140" s="486"/>
      <c r="T140" s="486"/>
      <c r="U140" s="486"/>
      <c r="V140" s="486"/>
      <c r="W140" s="486"/>
      <c r="X140" s="486"/>
      <c r="Y140" s="0"/>
      <c r="Z140" s="0"/>
      <c r="AA140" s="0"/>
      <c r="AB140" s="486"/>
      <c r="AC140" s="486"/>
      <c r="AD140" s="486"/>
      <c r="AE140" s="486"/>
      <c r="AF140" s="486"/>
      <c r="AG140" s="486"/>
      <c r="AH140" s="0"/>
      <c r="AI140" s="0"/>
    </row>
    <row r="141" customFormat="false" ht="19.7" hidden="false" customHeight="false" outlineLevel="0" collapsed="false">
      <c r="A141" s="155" t="s">
        <v>139</v>
      </c>
      <c r="B141" s="155"/>
      <c r="C141" s="155"/>
      <c r="D141" s="155"/>
      <c r="E141" s="155"/>
      <c r="F141" s="155"/>
      <c r="G141" s="157" t="n">
        <f aca="false">H15</f>
        <v>58525</v>
      </c>
      <c r="H141" s="156" t="n">
        <f aca="false">(H135+H136+H139+H140+H137)-H138</f>
        <v>58525</v>
      </c>
      <c r="J141" s="486"/>
      <c r="K141" s="486"/>
      <c r="L141" s="486"/>
      <c r="M141" s="486"/>
      <c r="N141" s="486"/>
      <c r="O141" s="486"/>
      <c r="P141" s="0"/>
      <c r="Q141" s="0"/>
      <c r="R141" s="0"/>
      <c r="S141" s="486"/>
      <c r="T141" s="486"/>
      <c r="U141" s="486"/>
      <c r="V141" s="486"/>
      <c r="W141" s="486"/>
      <c r="X141" s="486"/>
      <c r="Y141" s="0"/>
      <c r="Z141" s="0"/>
      <c r="AA141" s="0"/>
      <c r="AB141" s="486"/>
      <c r="AC141" s="486"/>
      <c r="AD141" s="486"/>
      <c r="AE141" s="486"/>
      <c r="AF141" s="486"/>
      <c r="AG141" s="486"/>
      <c r="AH141" s="0"/>
      <c r="AI141" s="0"/>
    </row>
    <row r="142" customFormat="false" ht="17.35" hidden="false" customHeight="false" outlineLevel="0" collapsed="false">
      <c r="A142" s="155" t="s">
        <v>140</v>
      </c>
      <c r="B142" s="155"/>
      <c r="C142" s="155"/>
      <c r="D142" s="155"/>
      <c r="E142" s="155"/>
      <c r="F142" s="155"/>
      <c r="G142" s="21" t="n">
        <f aca="false">H16</f>
        <v>0</v>
      </c>
      <c r="H142" s="52" t="n">
        <f aca="false">G142</f>
        <v>0</v>
      </c>
      <c r="J142" s="486"/>
      <c r="K142" s="486"/>
      <c r="L142" s="486"/>
      <c r="M142" s="486"/>
      <c r="N142" s="486"/>
      <c r="O142" s="486"/>
      <c r="P142" s="0"/>
      <c r="Q142" s="0"/>
      <c r="R142" s="0"/>
      <c r="S142" s="486"/>
      <c r="T142" s="486"/>
      <c r="U142" s="486"/>
      <c r="V142" s="486"/>
      <c r="W142" s="486"/>
      <c r="X142" s="486"/>
      <c r="Y142" s="0"/>
      <c r="Z142" s="0"/>
      <c r="AA142" s="0"/>
      <c r="AB142" s="486"/>
      <c r="AC142" s="486"/>
      <c r="AD142" s="486"/>
      <c r="AE142" s="486"/>
      <c r="AF142" s="486"/>
      <c r="AG142" s="486"/>
      <c r="AH142" s="0"/>
      <c r="AI142" s="0"/>
    </row>
    <row r="143" customFormat="false" ht="17.35" hidden="false" customHeight="false" outlineLevel="0" collapsed="false">
      <c r="A143" s="70" t="s">
        <v>141</v>
      </c>
      <c r="B143" s="70"/>
      <c r="C143" s="70"/>
      <c r="D143" s="70"/>
      <c r="E143" s="70"/>
      <c r="F143" s="70"/>
      <c r="G143" s="37"/>
      <c r="H143" s="20"/>
      <c r="J143" s="486"/>
      <c r="K143" s="486"/>
      <c r="L143" s="486"/>
      <c r="M143" s="486"/>
      <c r="N143" s="486"/>
      <c r="O143" s="486"/>
      <c r="P143" s="0"/>
      <c r="Q143" s="0"/>
      <c r="R143" s="0"/>
      <c r="S143" s="486"/>
      <c r="T143" s="486"/>
      <c r="U143" s="486"/>
      <c r="V143" s="486"/>
      <c r="W143" s="486"/>
      <c r="X143" s="486"/>
      <c r="Y143" s="0"/>
      <c r="Z143" s="0"/>
      <c r="AA143" s="0"/>
      <c r="AB143" s="486"/>
      <c r="AC143" s="486"/>
      <c r="AD143" s="486"/>
      <c r="AE143" s="486"/>
      <c r="AF143" s="486"/>
      <c r="AG143" s="486"/>
      <c r="AH143" s="0"/>
      <c r="AI143" s="0"/>
    </row>
    <row r="144" customFormat="false" ht="17.35" hidden="false" customHeight="false" outlineLevel="0" collapsed="false">
      <c r="A144" s="158" t="s">
        <v>15</v>
      </c>
      <c r="B144" s="159" t="n">
        <v>0</v>
      </c>
      <c r="C144" s="159"/>
      <c r="D144" s="159"/>
      <c r="E144" s="159"/>
      <c r="F144" s="159"/>
      <c r="G144" s="21" t="n">
        <f aca="false">H18</f>
        <v>0</v>
      </c>
      <c r="H144" s="52" t="n">
        <v>0</v>
      </c>
      <c r="J144" s="0"/>
      <c r="K144" s="486"/>
      <c r="L144" s="486"/>
      <c r="M144" s="486"/>
      <c r="N144" s="486"/>
      <c r="O144" s="486"/>
      <c r="P144" s="0"/>
      <c r="Q144" s="0"/>
      <c r="R144" s="0"/>
      <c r="S144" s="0"/>
      <c r="T144" s="486"/>
      <c r="U144" s="486"/>
      <c r="V144" s="486"/>
      <c r="W144" s="486"/>
      <c r="X144" s="486"/>
      <c r="Y144" s="0"/>
      <c r="Z144" s="0"/>
      <c r="AA144" s="0"/>
      <c r="AB144" s="0"/>
      <c r="AC144" s="486"/>
      <c r="AD144" s="486"/>
      <c r="AE144" s="486"/>
      <c r="AF144" s="486"/>
      <c r="AG144" s="486"/>
      <c r="AH144" s="0"/>
      <c r="AI144" s="0"/>
    </row>
    <row r="145" customFormat="false" ht="17.35" hidden="false" customHeight="false" outlineLevel="0" collapsed="false">
      <c r="A145" s="158" t="s">
        <v>17</v>
      </c>
      <c r="B145" s="159" t="s">
        <v>142</v>
      </c>
      <c r="C145" s="159"/>
      <c r="D145" s="159"/>
      <c r="E145" s="159"/>
      <c r="F145" s="159"/>
      <c r="G145" s="21" t="n">
        <f aca="false">H19</f>
        <v>0</v>
      </c>
      <c r="H145" s="52" t="n">
        <v>0</v>
      </c>
      <c r="I145" s="1" t="n">
        <f aca="false">(G142+G145+G146+G144)</f>
        <v>0</v>
      </c>
      <c r="J145" s="0"/>
      <c r="K145" s="486"/>
      <c r="L145" s="486"/>
      <c r="M145" s="486"/>
      <c r="N145" s="486"/>
      <c r="O145" s="486"/>
      <c r="P145" s="0"/>
      <c r="Q145" s="0"/>
      <c r="R145" s="0"/>
      <c r="S145" s="0"/>
      <c r="T145" s="486"/>
      <c r="U145" s="486"/>
      <c r="V145" s="486"/>
      <c r="W145" s="486"/>
      <c r="X145" s="486"/>
      <c r="Y145" s="0"/>
      <c r="Z145" s="0"/>
      <c r="AA145" s="0"/>
      <c r="AB145" s="0"/>
      <c r="AC145" s="486"/>
      <c r="AD145" s="486"/>
      <c r="AE145" s="486"/>
      <c r="AF145" s="486"/>
      <c r="AG145" s="486"/>
      <c r="AH145" s="0"/>
      <c r="AI145" s="0"/>
    </row>
    <row r="146" customFormat="false" ht="17.35" hidden="false" customHeight="false" outlineLevel="0" collapsed="false">
      <c r="A146" s="160" t="s">
        <v>18</v>
      </c>
      <c r="B146" s="161" t="s">
        <v>142</v>
      </c>
      <c r="C146" s="161"/>
      <c r="D146" s="161"/>
      <c r="E146" s="161"/>
      <c r="F146" s="161"/>
      <c r="G146" s="21" t="n">
        <f aca="false">H20</f>
        <v>0</v>
      </c>
      <c r="H146" s="52" t="n">
        <v>0</v>
      </c>
      <c r="I146" s="1" t="n">
        <f aca="false">(H142+H144+H145+H146)</f>
        <v>0</v>
      </c>
      <c r="J146" s="0"/>
      <c r="K146" s="486"/>
      <c r="L146" s="486"/>
      <c r="M146" s="486"/>
      <c r="N146" s="486"/>
      <c r="O146" s="486"/>
      <c r="P146" s="0"/>
      <c r="Q146" s="0"/>
      <c r="R146" s="0"/>
      <c r="S146" s="0"/>
      <c r="T146" s="486"/>
      <c r="U146" s="486"/>
      <c r="V146" s="486"/>
      <c r="W146" s="486"/>
      <c r="X146" s="486"/>
      <c r="Y146" s="0"/>
      <c r="Z146" s="0"/>
      <c r="AA146" s="0"/>
      <c r="AB146" s="0"/>
      <c r="AC146" s="486"/>
      <c r="AD146" s="486"/>
      <c r="AE146" s="486"/>
      <c r="AF146" s="486"/>
      <c r="AG146" s="486"/>
      <c r="AH146" s="0"/>
      <c r="AI146" s="0"/>
    </row>
    <row r="147" customFormat="false" ht="19.7" hidden="false" customHeight="false" outlineLevel="0" collapsed="false">
      <c r="A147" s="155" t="s">
        <v>143</v>
      </c>
      <c r="B147" s="155"/>
      <c r="C147" s="155"/>
      <c r="D147" s="155"/>
      <c r="E147" s="155"/>
      <c r="F147" s="155"/>
      <c r="G147" s="157" t="n">
        <f aca="false">G141-((G144*1.2)+(G145*1.2)+(G146*1.2)+(G142*1.2))</f>
        <v>58525</v>
      </c>
      <c r="H147" s="162" t="n">
        <f aca="false">H141-((H144*1.2)+(H145*1.2)+(H146*1.2)+(H142*1.2))</f>
        <v>58525</v>
      </c>
      <c r="J147" s="486"/>
      <c r="K147" s="486"/>
      <c r="L147" s="486"/>
      <c r="M147" s="486"/>
      <c r="N147" s="486"/>
      <c r="O147" s="486"/>
      <c r="P147" s="0"/>
      <c r="Q147" s="0"/>
      <c r="R147" s="0"/>
      <c r="S147" s="486"/>
      <c r="T147" s="486"/>
      <c r="U147" s="486"/>
      <c r="V147" s="486"/>
      <c r="W147" s="486"/>
      <c r="X147" s="486"/>
      <c r="Y147" s="0"/>
      <c r="Z147" s="0"/>
      <c r="AA147" s="0"/>
      <c r="AB147" s="486"/>
      <c r="AC147" s="486"/>
      <c r="AD147" s="486"/>
      <c r="AE147" s="486"/>
      <c r="AF147" s="486"/>
      <c r="AG147" s="486"/>
      <c r="AH147" s="0"/>
      <c r="AI147" s="0"/>
    </row>
    <row r="148" customFormat="false" ht="17.35" hidden="false" customHeight="false" outlineLevel="0" collapsed="false">
      <c r="A148" s="155" t="s">
        <v>144</v>
      </c>
      <c r="B148" s="155"/>
      <c r="C148" s="155"/>
      <c r="D148" s="155"/>
      <c r="E148" s="155"/>
      <c r="F148" s="155"/>
      <c r="G148" s="21"/>
      <c r="H148" s="52" t="n">
        <f aca="false">((H147-G147)-(H137-G137))+((I146-I145)*0.2)</f>
        <v>0</v>
      </c>
      <c r="I148" s="1" t="n">
        <f aca="false">(H148-G81)/1.2</f>
        <v>0</v>
      </c>
      <c r="J148" s="486"/>
      <c r="K148" s="486"/>
      <c r="L148" s="486"/>
      <c r="M148" s="486"/>
      <c r="N148" s="486"/>
      <c r="O148" s="486"/>
      <c r="P148" s="0"/>
      <c r="Q148" s="0"/>
      <c r="R148" s="0"/>
      <c r="S148" s="486"/>
      <c r="T148" s="486"/>
      <c r="U148" s="486"/>
      <c r="V148" s="486"/>
      <c r="W148" s="486"/>
      <c r="X148" s="486"/>
      <c r="Y148" s="0"/>
      <c r="Z148" s="0"/>
      <c r="AA148" s="0"/>
      <c r="AB148" s="486"/>
      <c r="AC148" s="486"/>
      <c r="AD148" s="486"/>
      <c r="AE148" s="486"/>
      <c r="AF148" s="486"/>
      <c r="AG148" s="486"/>
      <c r="AH148" s="0"/>
      <c r="AI148" s="0"/>
    </row>
    <row r="149" customFormat="false" ht="17.35" hidden="false" customHeight="false" outlineLevel="0" collapsed="false">
      <c r="A149" s="55"/>
      <c r="B149" s="25"/>
      <c r="C149" s="25"/>
      <c r="D149" s="25"/>
      <c r="E149" s="45"/>
      <c r="F149" s="45"/>
      <c r="G149" s="45"/>
      <c r="H149" s="2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58" t="s">
        <v>145</v>
      </c>
      <c r="B150" s="58"/>
      <c r="C150" s="58"/>
      <c r="D150" s="58"/>
      <c r="E150" s="58"/>
      <c r="F150" s="58"/>
      <c r="G150" s="58"/>
      <c r="H150" s="58"/>
      <c r="J150" s="486"/>
      <c r="K150" s="486"/>
      <c r="L150" s="486"/>
      <c r="M150" s="486"/>
      <c r="N150" s="486"/>
      <c r="O150" s="486"/>
      <c r="P150" s="486"/>
      <c r="Q150" s="486"/>
      <c r="R150" s="0"/>
      <c r="S150" s="486"/>
      <c r="T150" s="486"/>
      <c r="U150" s="486"/>
      <c r="V150" s="486"/>
      <c r="W150" s="486"/>
      <c r="X150" s="486"/>
      <c r="Y150" s="486"/>
      <c r="Z150" s="486"/>
      <c r="AA150" s="0"/>
      <c r="AB150" s="486"/>
      <c r="AC150" s="486"/>
      <c r="AD150" s="486"/>
      <c r="AE150" s="486"/>
      <c r="AF150" s="486"/>
      <c r="AG150" s="486"/>
      <c r="AH150" s="486"/>
      <c r="AI150" s="486"/>
    </row>
    <row r="151" customFormat="false" ht="17.35" hidden="false" customHeight="false" outlineLevel="0" collapsed="false">
      <c r="A151" s="55"/>
      <c r="B151" s="25"/>
      <c r="C151" s="25"/>
      <c r="D151" s="25"/>
      <c r="E151" s="45"/>
      <c r="F151" s="45"/>
      <c r="G151" s="45"/>
      <c r="H151" s="20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55" t="s">
        <v>146</v>
      </c>
      <c r="B152" s="25"/>
      <c r="C152" s="25"/>
      <c r="D152" s="45"/>
      <c r="E152" s="72" t="n">
        <v>0</v>
      </c>
      <c r="F152" s="72"/>
      <c r="G152" s="72" t="n">
        <v>0</v>
      </c>
      <c r="H152" s="72"/>
      <c r="J152" s="0"/>
      <c r="K152" s="0"/>
      <c r="L152" s="0"/>
      <c r="M152" s="0"/>
      <c r="N152" s="486"/>
      <c r="O152" s="486"/>
      <c r="P152" s="486"/>
      <c r="Q152" s="486"/>
      <c r="R152" s="0"/>
      <c r="S152" s="0"/>
      <c r="T152" s="0"/>
      <c r="U152" s="0"/>
      <c r="V152" s="0"/>
      <c r="W152" s="486"/>
      <c r="X152" s="486"/>
      <c r="Y152" s="486"/>
      <c r="Z152" s="486"/>
      <c r="AA152" s="0"/>
      <c r="AB152" s="0"/>
      <c r="AC152" s="0"/>
      <c r="AD152" s="0"/>
      <c r="AE152" s="0"/>
      <c r="AF152" s="486"/>
      <c r="AG152" s="486"/>
      <c r="AH152" s="486"/>
      <c r="AI152" s="486"/>
    </row>
    <row r="153" customFormat="false" ht="17.35" hidden="false" customHeight="false" outlineLevel="0" collapsed="false">
      <c r="A153" s="55" t="s">
        <v>147</v>
      </c>
      <c r="B153" s="25"/>
      <c r="C153" s="25"/>
      <c r="D153" s="45"/>
      <c r="E153" s="38" t="n">
        <f aca="false">G153</f>
        <v>0</v>
      </c>
      <c r="F153" s="38"/>
      <c r="G153" s="72" t="n">
        <v>0</v>
      </c>
      <c r="H153" s="72"/>
      <c r="J153" s="0"/>
      <c r="K153" s="0"/>
      <c r="L153" s="0"/>
      <c r="M153" s="0"/>
      <c r="N153" s="486"/>
      <c r="O153" s="486"/>
      <c r="P153" s="486"/>
      <c r="Q153" s="486"/>
      <c r="R153" s="0"/>
      <c r="S153" s="0"/>
      <c r="T153" s="0"/>
      <c r="U153" s="0"/>
      <c r="V153" s="0"/>
      <c r="W153" s="486"/>
      <c r="X153" s="486"/>
      <c r="Y153" s="486"/>
      <c r="Z153" s="486"/>
      <c r="AA153" s="0"/>
      <c r="AB153" s="0"/>
      <c r="AC153" s="0"/>
      <c r="AD153" s="0"/>
      <c r="AE153" s="0"/>
      <c r="AF153" s="486"/>
      <c r="AG153" s="486"/>
      <c r="AH153" s="486"/>
      <c r="AI153" s="486"/>
    </row>
    <row r="154" customFormat="false" ht="17.35" hidden="false" customHeight="false" outlineLevel="0" collapsed="false">
      <c r="A154" s="55" t="s">
        <v>148</v>
      </c>
      <c r="B154" s="25"/>
      <c r="C154" s="25"/>
      <c r="D154" s="45"/>
      <c r="E154" s="38" t="n">
        <f aca="false">E152-E153</f>
        <v>0</v>
      </c>
      <c r="F154" s="38"/>
      <c r="G154" s="163" t="n">
        <f aca="false">G152-G153</f>
        <v>0</v>
      </c>
      <c r="H154" s="163"/>
      <c r="J154" s="0"/>
      <c r="K154" s="0"/>
      <c r="L154" s="0"/>
      <c r="M154" s="0"/>
      <c r="N154" s="486"/>
      <c r="O154" s="486"/>
      <c r="P154" s="486"/>
      <c r="Q154" s="486"/>
      <c r="R154" s="0"/>
      <c r="S154" s="0"/>
      <c r="T154" s="0"/>
      <c r="U154" s="0"/>
      <c r="V154" s="0"/>
      <c r="W154" s="486"/>
      <c r="X154" s="486"/>
      <c r="Y154" s="486"/>
      <c r="Z154" s="486"/>
      <c r="AA154" s="0"/>
      <c r="AB154" s="0"/>
      <c r="AC154" s="0"/>
      <c r="AD154" s="0"/>
      <c r="AE154" s="0"/>
      <c r="AF154" s="486"/>
      <c r="AG154" s="486"/>
      <c r="AH154" s="486"/>
      <c r="AI154" s="486"/>
    </row>
    <row r="155" customFormat="false" ht="17.35" hidden="false" customHeight="false" outlineLevel="0" collapsed="false">
      <c r="A155" s="55" t="s">
        <v>149</v>
      </c>
      <c r="B155" s="25"/>
      <c r="C155" s="25"/>
      <c r="D155" s="45"/>
      <c r="E155" s="38" t="n">
        <f aca="false">E154-G154</f>
        <v>0</v>
      </c>
      <c r="F155" s="38"/>
      <c r="G155" s="45"/>
      <c r="H155" s="20"/>
      <c r="J155" s="0"/>
      <c r="K155" s="0"/>
      <c r="L155" s="0"/>
      <c r="M155" s="0"/>
      <c r="N155" s="486"/>
      <c r="O155" s="486"/>
      <c r="P155" s="0"/>
      <c r="Q155" s="0"/>
      <c r="R155" s="0"/>
      <c r="S155" s="0"/>
      <c r="T155" s="0"/>
      <c r="U155" s="0"/>
      <c r="V155" s="0"/>
      <c r="W155" s="486"/>
      <c r="X155" s="486"/>
      <c r="Y155" s="0"/>
      <c r="Z155" s="0"/>
      <c r="AA155" s="0"/>
      <c r="AB155" s="0"/>
      <c r="AC155" s="0"/>
      <c r="AD155" s="0"/>
      <c r="AE155" s="0"/>
      <c r="AF155" s="486"/>
      <c r="AG155" s="486"/>
      <c r="AH155" s="0"/>
      <c r="AI155" s="0"/>
    </row>
    <row r="156" customFormat="false" ht="17.35" hidden="false" customHeight="false" outlineLevel="0" collapsed="false">
      <c r="A156" s="55"/>
      <c r="B156" s="25"/>
      <c r="C156" s="25"/>
      <c r="D156" s="45"/>
      <c r="E156" s="25"/>
      <c r="F156" s="45"/>
      <c r="G156" s="45"/>
      <c r="H156" s="20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48" t="s">
        <v>150</v>
      </c>
      <c r="B157" s="49"/>
      <c r="C157" s="49"/>
      <c r="D157" s="93"/>
      <c r="E157" s="49"/>
      <c r="F157" s="93"/>
      <c r="G157" s="164" t="n">
        <f aca="false">A114</f>
        <v>0</v>
      </c>
      <c r="H157" s="164"/>
      <c r="J157" s="0"/>
      <c r="K157" s="0"/>
      <c r="L157" s="0"/>
      <c r="M157" s="0"/>
      <c r="N157" s="0"/>
      <c r="O157" s="0"/>
      <c r="P157" s="486"/>
      <c r="Q157" s="486"/>
      <c r="R157" s="0"/>
      <c r="S157" s="0"/>
      <c r="T157" s="0"/>
      <c r="U157" s="0"/>
      <c r="V157" s="0"/>
      <c r="W157" s="0"/>
      <c r="X157" s="0"/>
      <c r="Y157" s="486"/>
      <c r="Z157" s="486"/>
      <c r="AA157" s="0"/>
      <c r="AB157" s="0"/>
      <c r="AC157" s="0"/>
      <c r="AD157" s="0"/>
      <c r="AE157" s="0"/>
      <c r="AF157" s="0"/>
      <c r="AG157" s="0"/>
      <c r="AH157" s="486"/>
      <c r="AI157" s="486"/>
    </row>
    <row r="158" customFormat="false" ht="19.7" hidden="false" customHeight="false" outlineLevel="0" collapsed="false">
      <c r="A158" s="165" t="s">
        <v>151</v>
      </c>
      <c r="B158" s="25"/>
      <c r="C158" s="25"/>
      <c r="D158" s="94"/>
      <c r="E158" s="25"/>
      <c r="F158" s="94"/>
      <c r="G158" s="166" t="n">
        <f aca="false">H147-G154-G157</f>
        <v>58525</v>
      </c>
      <c r="H158" s="166"/>
      <c r="J158" s="0"/>
      <c r="K158" s="0"/>
      <c r="L158" s="0"/>
      <c r="M158" s="0"/>
      <c r="N158" s="0"/>
      <c r="O158" s="0"/>
      <c r="P158" s="486"/>
      <c r="Q158" s="486"/>
      <c r="R158" s="0"/>
      <c r="S158" s="0"/>
      <c r="T158" s="0"/>
      <c r="U158" s="0"/>
      <c r="V158" s="0"/>
      <c r="W158" s="0"/>
      <c r="X158" s="0"/>
      <c r="Y158" s="486"/>
      <c r="Z158" s="486"/>
      <c r="AA158" s="0"/>
      <c r="AB158" s="0"/>
      <c r="AC158" s="0"/>
      <c r="AD158" s="0"/>
      <c r="AE158" s="0"/>
      <c r="AF158" s="0"/>
      <c r="AG158" s="0"/>
      <c r="AH158" s="486"/>
      <c r="AI158" s="486"/>
    </row>
    <row r="159" customFormat="false" ht="17.35" hidden="false" customHeight="false" outlineLevel="0" collapsed="false">
      <c r="A159" s="74" t="s">
        <v>152</v>
      </c>
      <c r="B159" s="75"/>
      <c r="C159" s="75"/>
      <c r="D159" s="116"/>
      <c r="E159" s="75"/>
      <c r="F159" s="116"/>
      <c r="G159" s="167" t="str">
        <f aca="false">B114</f>
        <v>199.99</v>
      </c>
      <c r="H159" s="167"/>
      <c r="J159" s="0"/>
      <c r="K159" s="0"/>
      <c r="L159" s="0"/>
      <c r="M159" s="0"/>
      <c r="N159" s="0"/>
      <c r="O159" s="0"/>
      <c r="P159" s="486"/>
      <c r="Q159" s="486"/>
      <c r="R159" s="0"/>
      <c r="S159" s="0"/>
      <c r="T159" s="0"/>
      <c r="U159" s="0"/>
      <c r="V159" s="0"/>
      <c r="W159" s="0"/>
      <c r="X159" s="0"/>
      <c r="Y159" s="486"/>
      <c r="Z159" s="486"/>
      <c r="AA159" s="0"/>
      <c r="AB159" s="0"/>
      <c r="AC159" s="0"/>
      <c r="AD159" s="0"/>
      <c r="AE159" s="0"/>
      <c r="AF159" s="0"/>
      <c r="AG159" s="0"/>
      <c r="AH159" s="486"/>
      <c r="AI159" s="486"/>
    </row>
    <row r="160" customFormat="false" ht="17.35" hidden="false" customHeight="false" outlineLevel="0" collapsed="false">
      <c r="A160" s="55"/>
      <c r="B160" s="25"/>
      <c r="C160" s="25"/>
      <c r="D160" s="25"/>
      <c r="E160" s="45"/>
      <c r="F160" s="45"/>
      <c r="G160" s="45"/>
      <c r="H160" s="2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55"/>
      <c r="B161" s="25"/>
      <c r="C161" s="25"/>
      <c r="D161" s="25"/>
      <c r="E161" s="45" t="n">
        <v>0</v>
      </c>
      <c r="F161" s="45"/>
      <c r="G161" s="45" t="n">
        <v>0</v>
      </c>
      <c r="H161" s="2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58" t="s">
        <v>153</v>
      </c>
      <c r="B162" s="58"/>
      <c r="C162" s="58"/>
      <c r="D162" s="58"/>
      <c r="E162" s="58"/>
      <c r="F162" s="58"/>
      <c r="G162" s="58" t="n">
        <v>0</v>
      </c>
      <c r="H162" s="58"/>
      <c r="J162" s="486"/>
      <c r="K162" s="486"/>
      <c r="L162" s="486"/>
      <c r="M162" s="486"/>
      <c r="N162" s="486"/>
      <c r="O162" s="486"/>
      <c r="P162" s="486"/>
      <c r="Q162" s="486"/>
      <c r="R162" s="0"/>
      <c r="S162" s="486"/>
      <c r="T162" s="486"/>
      <c r="U162" s="486"/>
      <c r="V162" s="486"/>
      <c r="W162" s="486"/>
      <c r="X162" s="486"/>
      <c r="Y162" s="486"/>
      <c r="Z162" s="486"/>
      <c r="AA162" s="0"/>
      <c r="AB162" s="486"/>
      <c r="AC162" s="486"/>
      <c r="AD162" s="486"/>
      <c r="AE162" s="486"/>
      <c r="AF162" s="486"/>
      <c r="AG162" s="486"/>
      <c r="AH162" s="486"/>
      <c r="AI162" s="486"/>
    </row>
    <row r="163" customFormat="false" ht="17.35" hidden="false" customHeight="false" outlineLevel="0" collapsed="false">
      <c r="A163" s="55"/>
      <c r="B163" s="25"/>
      <c r="C163" s="25"/>
      <c r="D163" s="25"/>
      <c r="E163" s="45"/>
      <c r="F163" s="45"/>
      <c r="G163" s="45"/>
      <c r="H163" s="2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55" t="s">
        <v>29</v>
      </c>
      <c r="B164" s="168" t="n">
        <v>0</v>
      </c>
      <c r="C164" s="168"/>
      <c r="D164" s="25"/>
      <c r="E164" s="45"/>
      <c r="F164" s="45"/>
      <c r="G164" s="45"/>
      <c r="H164" s="20"/>
      <c r="J164" s="0"/>
      <c r="K164" s="486"/>
      <c r="L164" s="486"/>
      <c r="M164" s="0"/>
      <c r="N164" s="0"/>
      <c r="O164" s="0"/>
      <c r="P164" s="0"/>
      <c r="Q164" s="0"/>
      <c r="R164" s="0"/>
      <c r="S164" s="0"/>
      <c r="T164" s="486"/>
      <c r="U164" s="486"/>
      <c r="V164" s="0"/>
      <c r="W164" s="0"/>
      <c r="X164" s="0"/>
      <c r="Y164" s="0"/>
      <c r="Z164" s="0"/>
      <c r="AA164" s="0"/>
      <c r="AB164" s="0"/>
      <c r="AC164" s="486"/>
      <c r="AD164" s="48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55"/>
      <c r="B165" s="25"/>
      <c r="C165" s="25"/>
      <c r="D165" s="25"/>
      <c r="E165" s="45"/>
      <c r="F165" s="45"/>
      <c r="G165" s="45"/>
      <c r="H165" s="2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169" t="s">
        <v>154</v>
      </c>
      <c r="B166" s="170" t="s">
        <v>155</v>
      </c>
      <c r="C166" s="170"/>
      <c r="D166" s="170"/>
      <c r="E166" s="170" t="s">
        <v>156</v>
      </c>
      <c r="F166" s="45"/>
      <c r="G166" s="45"/>
      <c r="H166" s="2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173" t="n">
        <f aca="false">B95</f>
        <v>1584.81640136705</v>
      </c>
      <c r="B167" s="172" t="n">
        <f aca="false">B94</f>
        <v>19.09375</v>
      </c>
      <c r="C167" s="170"/>
      <c r="D167" s="170"/>
      <c r="E167" s="172" t="n">
        <f aca="false">B96</f>
        <v>1603.91015136705</v>
      </c>
      <c r="F167" s="45"/>
      <c r="G167" s="45"/>
      <c r="H167" s="2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55"/>
      <c r="B168" s="25"/>
      <c r="C168" s="25"/>
      <c r="D168" s="25"/>
      <c r="E168" s="45"/>
      <c r="F168" s="45"/>
      <c r="G168" s="45"/>
      <c r="H168" s="2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55" t="s">
        <v>28</v>
      </c>
      <c r="B169" s="25" t="s">
        <v>33</v>
      </c>
      <c r="C169" s="25"/>
      <c r="D169" s="45"/>
      <c r="E169" s="25" t="s">
        <v>157</v>
      </c>
      <c r="F169" s="45"/>
      <c r="G169" s="45"/>
      <c r="H169" s="2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63" t="str">
        <f aca="false">H29</f>
        <v>33</v>
      </c>
      <c r="B170" s="176" t="str">
        <f aca="false">H30</f>
        <v>5000</v>
      </c>
      <c r="C170" s="175"/>
      <c r="D170" s="45"/>
      <c r="E170" s="73" t="n">
        <v>6000</v>
      </c>
      <c r="F170" s="45"/>
      <c r="G170" s="45"/>
      <c r="H170" s="2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55"/>
      <c r="B171" s="25"/>
      <c r="C171" s="25"/>
      <c r="D171" s="45"/>
      <c r="E171" s="25"/>
      <c r="F171" s="45"/>
      <c r="G171" s="45"/>
      <c r="H171" s="2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55" t="s">
        <v>158</v>
      </c>
      <c r="B172" s="25" t="s">
        <v>159</v>
      </c>
      <c r="C172" s="25"/>
      <c r="D172" s="45"/>
      <c r="E172" s="25" t="s">
        <v>160</v>
      </c>
      <c r="F172" s="45"/>
      <c r="G172" s="45"/>
      <c r="H172" s="2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69" t="n">
        <f aca="false">H141-H137-H139-H140</f>
        <v>48237.5</v>
      </c>
      <c r="B173" s="37" t="n">
        <f aca="false">H137</f>
        <v>9647.5</v>
      </c>
      <c r="C173" s="67"/>
      <c r="D173" s="45"/>
      <c r="E173" s="73" t="n">
        <f aca="false">H139+H140</f>
        <v>640</v>
      </c>
      <c r="F173" s="45"/>
      <c r="G173" s="45"/>
      <c r="H173" s="2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55"/>
      <c r="B174" s="25"/>
      <c r="C174" s="25"/>
      <c r="D174" s="45"/>
      <c r="E174" s="25"/>
      <c r="F174" s="45"/>
      <c r="G174" s="45"/>
      <c r="H174" s="2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55" t="s">
        <v>161</v>
      </c>
      <c r="B175" s="25" t="s">
        <v>108</v>
      </c>
      <c r="C175" s="25"/>
      <c r="D175" s="45"/>
      <c r="E175" s="25" t="s">
        <v>109</v>
      </c>
      <c r="F175" s="45"/>
      <c r="G175" s="45"/>
      <c r="H175" s="2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69" t="n">
        <f aca="false">H141</f>
        <v>58525</v>
      </c>
      <c r="B176" s="37" t="n">
        <f aca="false">B111</f>
        <v>0</v>
      </c>
      <c r="C176" s="37"/>
      <c r="D176" s="45"/>
      <c r="E176" s="37" t="n">
        <f aca="false">E111</f>
        <v>0</v>
      </c>
      <c r="F176" s="45"/>
      <c r="G176" s="45"/>
      <c r="H176" s="177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55"/>
      <c r="B177" s="25"/>
      <c r="C177" s="25"/>
      <c r="D177" s="45"/>
      <c r="E177" s="25"/>
      <c r="F177" s="45"/>
      <c r="G177" s="45"/>
      <c r="H177" s="2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55" t="s">
        <v>110</v>
      </c>
      <c r="B178" s="25" t="s">
        <v>146</v>
      </c>
      <c r="C178" s="25"/>
      <c r="D178" s="45"/>
      <c r="E178" s="25" t="s">
        <v>151</v>
      </c>
      <c r="F178" s="45"/>
      <c r="G178" s="45"/>
      <c r="H178" s="2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70" t="n">
        <f aca="false">B176+E176</f>
        <v>0</v>
      </c>
      <c r="B179" s="37" t="n">
        <f aca="false">G154</f>
        <v>0</v>
      </c>
      <c r="C179" s="37"/>
      <c r="D179" s="45"/>
      <c r="E179" s="37" t="n">
        <f aca="false">A176-A179-B179</f>
        <v>58525</v>
      </c>
      <c r="F179" s="45"/>
      <c r="G179" s="45"/>
      <c r="H179" s="177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55"/>
      <c r="B180" s="25"/>
      <c r="C180" s="25"/>
      <c r="D180" s="45"/>
      <c r="E180" s="25"/>
      <c r="F180" s="45"/>
      <c r="G180" s="45"/>
      <c r="H180" s="2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55" t="s">
        <v>162</v>
      </c>
      <c r="B181" s="25" t="s">
        <v>152</v>
      </c>
      <c r="C181" s="25"/>
      <c r="D181" s="45"/>
      <c r="E181" s="25" t="s">
        <v>163</v>
      </c>
      <c r="F181" s="45"/>
      <c r="G181" s="45"/>
      <c r="H181" s="2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70" t="n">
        <f aca="false">(A167*B59)+E185-E179-A185</f>
        <v>-1810.8751562543</v>
      </c>
      <c r="B182" s="37" t="str">
        <f aca="false">B114</f>
        <v>199.99</v>
      </c>
      <c r="C182" s="37"/>
      <c r="D182" s="45"/>
      <c r="E182" s="37" t="n">
        <f aca="false">E179+A182+B182+A185</f>
        <v>56924.1148437457</v>
      </c>
      <c r="F182" s="45"/>
      <c r="G182" s="45"/>
      <c r="H182" s="177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55"/>
      <c r="B183" s="25"/>
      <c r="C183" s="25"/>
      <c r="D183" s="45"/>
      <c r="E183" s="25"/>
      <c r="F183" s="45"/>
      <c r="G183" s="45"/>
      <c r="H183" s="2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55" t="s">
        <v>164</v>
      </c>
      <c r="B184" s="25" t="s">
        <v>165</v>
      </c>
      <c r="C184" s="25"/>
      <c r="D184" s="45"/>
      <c r="E184" s="25" t="s">
        <v>166</v>
      </c>
      <c r="F184" s="45"/>
      <c r="G184" s="45"/>
      <c r="H184" s="2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70" t="n">
        <f aca="false">B60</f>
        <v>10</v>
      </c>
      <c r="B185" s="37" t="n">
        <f aca="false">A179+B182*1.2</f>
        <v>239.988</v>
      </c>
      <c r="C185" s="37"/>
      <c r="D185" s="45"/>
      <c r="E185" s="37" t="n">
        <f aca="false">E170+A185</f>
        <v>6010</v>
      </c>
      <c r="F185" s="45"/>
      <c r="G185" s="45"/>
      <c r="H185" s="177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55"/>
      <c r="B186" s="25"/>
      <c r="C186" s="25"/>
      <c r="D186" s="25"/>
      <c r="E186" s="45"/>
      <c r="F186" s="45"/>
      <c r="G186" s="45"/>
      <c r="H186" s="2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55" t="s">
        <v>167</v>
      </c>
      <c r="B187" s="25" t="s">
        <v>168</v>
      </c>
      <c r="C187" s="25"/>
      <c r="D187" s="25"/>
      <c r="E187" s="38" t="s">
        <v>169</v>
      </c>
      <c r="F187" s="45"/>
      <c r="G187" s="45"/>
      <c r="H187" s="2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70" t="n">
        <f aca="false">J18*0.000002*100</f>
        <v>11.577</v>
      </c>
      <c r="B188" s="37" t="n">
        <f aca="false">(G158*B67)/1.2</f>
        <v>457.2265625</v>
      </c>
      <c r="C188" s="25"/>
      <c r="D188" s="25"/>
      <c r="E188" s="37" t="n">
        <f aca="false">IF(E105 = "YES" , (H36*A108)*0.1 , 0)</f>
        <v>14.1</v>
      </c>
      <c r="F188" s="45"/>
      <c r="G188" s="45"/>
      <c r="H188" s="2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70"/>
      <c r="B189" s="37"/>
      <c r="C189" s="25"/>
      <c r="D189" s="25"/>
      <c r="E189" s="45"/>
      <c r="F189" s="45"/>
      <c r="G189" s="45"/>
      <c r="H189" s="2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78" t="s">
        <v>170</v>
      </c>
      <c r="B190" s="38" t="s">
        <v>171</v>
      </c>
      <c r="C190" s="25"/>
      <c r="D190" s="25"/>
      <c r="E190" s="38" t="s">
        <v>172</v>
      </c>
      <c r="F190" s="45"/>
      <c r="G190" s="45"/>
      <c r="H190" s="2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70" t="n">
        <f aca="false">B182-100</f>
        <v>99.99</v>
      </c>
      <c r="B191" s="37" t="n">
        <f aca="false">B188+E188+A191</f>
        <v>571.3165625</v>
      </c>
      <c r="C191" s="25"/>
      <c r="D191" s="25"/>
      <c r="E191" s="37" t="n">
        <f aca="false">H148</f>
        <v>0</v>
      </c>
      <c r="F191" s="45"/>
      <c r="G191" s="45"/>
      <c r="H191" s="2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55"/>
      <c r="B192" s="25"/>
      <c r="C192" s="25"/>
      <c r="D192" s="25"/>
      <c r="E192" s="45"/>
      <c r="F192" s="45"/>
      <c r="G192" s="45"/>
      <c r="H192" s="2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83" t="s">
        <v>173</v>
      </c>
      <c r="B193" s="25"/>
      <c r="C193" s="25"/>
      <c r="D193" s="84"/>
      <c r="E193" s="84"/>
      <c r="F193" s="84"/>
      <c r="G193" s="84"/>
      <c r="H193" s="85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55"/>
      <c r="B194" s="87"/>
      <c r="C194" s="87"/>
      <c r="D194" s="25"/>
      <c r="E194" s="45"/>
      <c r="F194" s="45"/>
      <c r="G194" s="45"/>
      <c r="H194" s="20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88" t="s">
        <v>28</v>
      </c>
      <c r="B195" s="89" t="s">
        <v>33</v>
      </c>
      <c r="C195" s="89"/>
      <c r="D195" s="89"/>
      <c r="E195" s="45"/>
      <c r="F195" s="45"/>
      <c r="G195" s="45"/>
      <c r="H195" s="20"/>
      <c r="J195" s="486"/>
      <c r="K195" s="486"/>
      <c r="L195" s="486"/>
      <c r="M195" s="486"/>
      <c r="N195" s="0"/>
      <c r="O195" s="0"/>
      <c r="P195" s="0"/>
      <c r="Q195" s="0"/>
      <c r="R195" s="0"/>
      <c r="S195" s="486"/>
      <c r="T195" s="486"/>
      <c r="U195" s="486"/>
      <c r="V195" s="486"/>
      <c r="W195" s="0"/>
      <c r="X195" s="0"/>
      <c r="Y195" s="0"/>
      <c r="Z195" s="0"/>
      <c r="AA195" s="0"/>
      <c r="AB195" s="486"/>
      <c r="AC195" s="486"/>
      <c r="AD195" s="486"/>
      <c r="AE195" s="486"/>
      <c r="AF195" s="0"/>
      <c r="AG195" s="0"/>
      <c r="AH195" s="0"/>
      <c r="AI195" s="0"/>
    </row>
    <row r="196" customFormat="false" ht="19.5" hidden="false" customHeight="true" outlineLevel="0" collapsed="false">
      <c r="A196" s="88"/>
      <c r="B196" s="90" t="str">
        <f aca="false">H30</f>
        <v>5000</v>
      </c>
      <c r="C196" s="90"/>
      <c r="D196" s="90"/>
      <c r="E196" s="45"/>
      <c r="F196" s="45"/>
      <c r="G196" s="45"/>
      <c r="H196" s="20"/>
      <c r="J196" s="486"/>
      <c r="K196" s="486"/>
      <c r="L196" s="486"/>
      <c r="M196" s="486"/>
      <c r="N196" s="0"/>
      <c r="O196" s="0"/>
      <c r="P196" s="0"/>
      <c r="Q196" s="0"/>
      <c r="R196" s="0"/>
      <c r="S196" s="486"/>
      <c r="T196" s="486"/>
      <c r="U196" s="486"/>
      <c r="V196" s="486"/>
      <c r="W196" s="0"/>
      <c r="X196" s="0"/>
      <c r="Y196" s="0"/>
      <c r="Z196" s="0"/>
      <c r="AA196" s="0"/>
      <c r="AB196" s="486"/>
      <c r="AC196" s="486"/>
      <c r="AD196" s="486"/>
      <c r="AE196" s="486"/>
      <c r="AF196" s="0"/>
      <c r="AG196" s="0"/>
      <c r="AH196" s="0"/>
      <c r="AI196" s="0"/>
    </row>
    <row r="197" customFormat="false" ht="17.35" hidden="false" customHeight="false" outlineLevel="0" collapsed="false">
      <c r="A197" s="91" t="str">
        <f aca="false">H29</f>
        <v>33</v>
      </c>
      <c r="B197" s="92" t="n">
        <f aca="false">B96</f>
        <v>1603.91015136705</v>
      </c>
      <c r="C197" s="92"/>
      <c r="D197" s="92"/>
      <c r="E197" s="45"/>
      <c r="F197" s="45"/>
      <c r="G197" s="45"/>
      <c r="H197" s="20"/>
      <c r="J197" s="0"/>
      <c r="K197" s="486"/>
      <c r="L197" s="486"/>
      <c r="M197" s="486"/>
      <c r="N197" s="0"/>
      <c r="O197" s="0"/>
      <c r="P197" s="0"/>
      <c r="Q197" s="0"/>
      <c r="R197" s="0"/>
      <c r="S197" s="0"/>
      <c r="T197" s="486"/>
      <c r="U197" s="486"/>
      <c r="V197" s="486"/>
      <c r="W197" s="0"/>
      <c r="X197" s="0"/>
      <c r="Y197" s="0"/>
      <c r="Z197" s="0"/>
      <c r="AA197" s="0"/>
      <c r="AB197" s="0"/>
      <c r="AC197" s="486"/>
      <c r="AD197" s="486"/>
      <c r="AE197" s="486"/>
      <c r="AF197" s="0"/>
      <c r="AG197" s="0"/>
      <c r="AH197" s="0"/>
      <c r="AI197" s="0"/>
    </row>
    <row r="198" customFormat="false" ht="17.35" hidden="false" customHeight="false" outlineLevel="0" collapsed="false">
      <c r="A198" s="55"/>
      <c r="B198" s="25"/>
      <c r="C198" s="25"/>
      <c r="D198" s="25"/>
      <c r="E198" s="45"/>
      <c r="F198" s="45"/>
      <c r="G198" s="45"/>
      <c r="H198" s="20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55"/>
      <c r="B199" s="25"/>
      <c r="C199" s="25"/>
      <c r="D199" s="25"/>
      <c r="E199" s="45"/>
      <c r="F199" s="45"/>
      <c r="G199" s="45"/>
      <c r="H199" s="2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55"/>
      <c r="B200" s="25"/>
      <c r="C200" s="25"/>
      <c r="D200" s="25"/>
      <c r="E200" s="45"/>
      <c r="F200" s="45"/>
      <c r="G200" s="45"/>
      <c r="H200" s="20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55"/>
      <c r="B201" s="25"/>
      <c r="C201" s="25"/>
      <c r="D201" s="25"/>
      <c r="E201" s="45"/>
      <c r="F201" s="45"/>
      <c r="G201" s="45"/>
      <c r="H201" s="20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74"/>
      <c r="B202" s="75"/>
      <c r="C202" s="75"/>
      <c r="D202" s="75"/>
      <c r="E202" s="75"/>
      <c r="F202" s="75"/>
      <c r="G202" s="75"/>
      <c r="H202" s="82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179" t="s">
        <v>153</v>
      </c>
      <c r="B206" s="179"/>
      <c r="C206" s="179"/>
      <c r="D206" s="179"/>
      <c r="E206" s="179"/>
      <c r="F206" s="179"/>
      <c r="G206" s="179"/>
      <c r="H206" s="179"/>
    </row>
    <row r="207" customFormat="false" ht="17.35" hidden="false" customHeight="false" outlineLevel="0" collapsed="false">
      <c r="A207" s="55"/>
      <c r="B207" s="25"/>
      <c r="C207" s="25"/>
      <c r="D207" s="25"/>
      <c r="E207" s="94"/>
      <c r="F207" s="94"/>
      <c r="G207" s="94"/>
      <c r="H207" s="20"/>
    </row>
    <row r="208" customFormat="false" ht="17.35" hidden="false" customHeight="false" outlineLevel="0" collapsed="false">
      <c r="A208" s="180" t="s">
        <v>98</v>
      </c>
      <c r="B208" s="181" t="s">
        <v>174</v>
      </c>
      <c r="C208" s="181"/>
      <c r="D208" s="181"/>
      <c r="E208" s="181" t="s">
        <v>175</v>
      </c>
      <c r="F208" s="182"/>
      <c r="G208" s="94"/>
      <c r="H208" s="20"/>
    </row>
    <row r="209" customFormat="false" ht="17.35" hidden="false" customHeight="false" outlineLevel="0" collapsed="false">
      <c r="A209" s="183" t="s">
        <v>176</v>
      </c>
      <c r="B209" s="170" t="str">
        <f aca="false">A197</f>
        <v>33</v>
      </c>
      <c r="C209" s="170"/>
      <c r="D209" s="170"/>
      <c r="E209" s="170" t="str">
        <f aca="false">B196</f>
        <v>5000</v>
      </c>
      <c r="F209" s="182"/>
      <c r="G209" s="94"/>
      <c r="H209" s="20"/>
    </row>
    <row r="210" customFormat="false" ht="17.35" hidden="false" customHeight="false" outlineLevel="0" collapsed="false">
      <c r="A210" s="55"/>
      <c r="B210" s="25"/>
      <c r="C210" s="25"/>
      <c r="D210" s="25"/>
      <c r="E210" s="94"/>
      <c r="F210" s="94"/>
      <c r="G210" s="94"/>
      <c r="H210" s="20"/>
    </row>
    <row r="211" customFormat="false" ht="17.35" hidden="false" customHeight="false" outlineLevel="0" collapsed="false">
      <c r="A211" s="180" t="s">
        <v>154</v>
      </c>
      <c r="B211" s="181" t="s">
        <v>155</v>
      </c>
      <c r="C211" s="181"/>
      <c r="D211" s="181"/>
      <c r="E211" s="181" t="s">
        <v>156</v>
      </c>
      <c r="F211" s="94"/>
      <c r="G211" s="94"/>
      <c r="H211" s="20"/>
    </row>
    <row r="212" customFormat="false" ht="17.35" hidden="false" customHeight="false" outlineLevel="0" collapsed="false">
      <c r="A212" s="173" t="n">
        <f aca="false">A167</f>
        <v>1584.81640136705</v>
      </c>
      <c r="B212" s="172" t="n">
        <f aca="false">B167</f>
        <v>19.09375</v>
      </c>
      <c r="C212" s="170"/>
      <c r="D212" s="170"/>
      <c r="E212" s="172" t="n">
        <f aca="false">E167</f>
        <v>1603.91015136705</v>
      </c>
      <c r="F212" s="94"/>
      <c r="G212" s="94"/>
      <c r="H212" s="20"/>
    </row>
    <row r="213" customFormat="false" ht="17.35" hidden="false" customHeight="false" outlineLevel="0" collapsed="false">
      <c r="A213" s="55"/>
      <c r="B213" s="25"/>
      <c r="C213" s="25"/>
      <c r="D213" s="25"/>
      <c r="E213" s="94"/>
      <c r="F213" s="94"/>
      <c r="G213" s="94"/>
      <c r="H213" s="20"/>
    </row>
    <row r="214" customFormat="false" ht="17.35" hidden="false" customHeight="false" outlineLevel="0" collapsed="false">
      <c r="A214" s="55" t="s">
        <v>158</v>
      </c>
      <c r="B214" s="25" t="s">
        <v>159</v>
      </c>
      <c r="C214" s="25"/>
      <c r="D214" s="94"/>
      <c r="E214" s="25" t="s">
        <v>160</v>
      </c>
      <c r="F214" s="94"/>
      <c r="G214" s="94"/>
      <c r="H214" s="20"/>
    </row>
    <row r="215" customFormat="false" ht="17.35" hidden="false" customHeight="false" outlineLevel="0" collapsed="false">
      <c r="A215" s="69" t="n">
        <f aca="false">A173</f>
        <v>48237.5</v>
      </c>
      <c r="B215" s="37" t="n">
        <f aca="false">B173</f>
        <v>9647.5</v>
      </c>
      <c r="C215" s="67"/>
      <c r="D215" s="94"/>
      <c r="E215" s="73" t="n">
        <f aca="false">E173</f>
        <v>640</v>
      </c>
      <c r="F215" s="94"/>
      <c r="G215" s="94"/>
      <c r="H215" s="20"/>
    </row>
    <row r="216" customFormat="false" ht="17.35" hidden="false" customHeight="false" outlineLevel="0" collapsed="false">
      <c r="A216" s="55"/>
      <c r="B216" s="25"/>
      <c r="C216" s="25"/>
      <c r="D216" s="94"/>
      <c r="E216" s="25"/>
      <c r="F216" s="94"/>
      <c r="G216" s="94"/>
      <c r="H216" s="20"/>
    </row>
    <row r="217" customFormat="false" ht="17.35" hidden="false" customHeight="false" outlineLevel="0" collapsed="false">
      <c r="A217" s="55" t="s">
        <v>161</v>
      </c>
      <c r="B217" s="25" t="s">
        <v>108</v>
      </c>
      <c r="C217" s="25"/>
      <c r="D217" s="94"/>
      <c r="E217" s="25" t="s">
        <v>109</v>
      </c>
      <c r="F217" s="94"/>
      <c r="G217" s="94"/>
      <c r="H217" s="20"/>
    </row>
    <row r="218" customFormat="false" ht="17.35" hidden="false" customHeight="false" outlineLevel="0" collapsed="false">
      <c r="A218" s="69" t="n">
        <f aca="false">A176</f>
        <v>58525</v>
      </c>
      <c r="B218" s="37" t="n">
        <f aca="false">B176</f>
        <v>0</v>
      </c>
      <c r="C218" s="37"/>
      <c r="D218" s="94"/>
      <c r="E218" s="37" t="n">
        <f aca="false">E176</f>
        <v>0</v>
      </c>
      <c r="F218" s="94"/>
      <c r="G218" s="94"/>
      <c r="H218" s="177"/>
    </row>
    <row r="219" customFormat="false" ht="17.35" hidden="false" customHeight="false" outlineLevel="0" collapsed="false">
      <c r="A219" s="55"/>
      <c r="B219" s="25"/>
      <c r="C219" s="25"/>
      <c r="D219" s="94"/>
      <c r="E219" s="25"/>
      <c r="F219" s="94"/>
      <c r="G219" s="94"/>
      <c r="H219" s="20"/>
    </row>
    <row r="220" customFormat="false" ht="17.35" hidden="false" customHeight="false" outlineLevel="0" collapsed="false">
      <c r="A220" s="55" t="s">
        <v>110</v>
      </c>
      <c r="B220" s="25" t="s">
        <v>146</v>
      </c>
      <c r="C220" s="25"/>
      <c r="D220" s="94"/>
      <c r="E220" s="25" t="s">
        <v>151</v>
      </c>
      <c r="F220" s="94"/>
      <c r="G220" s="94"/>
      <c r="H220" s="20"/>
    </row>
    <row r="221" customFormat="false" ht="17.35" hidden="false" customHeight="false" outlineLevel="0" collapsed="false">
      <c r="A221" s="70" t="n">
        <f aca="false">A179</f>
        <v>0</v>
      </c>
      <c r="B221" s="37" t="n">
        <f aca="false">B179</f>
        <v>0</v>
      </c>
      <c r="C221" s="37"/>
      <c r="D221" s="94"/>
      <c r="E221" s="37" t="n">
        <f aca="false">E179</f>
        <v>58525</v>
      </c>
      <c r="F221" s="94"/>
      <c r="G221" s="94"/>
      <c r="H221" s="177"/>
    </row>
    <row r="222" customFormat="false" ht="17.35" hidden="false" customHeight="false" outlineLevel="0" collapsed="false">
      <c r="A222" s="55"/>
      <c r="B222" s="25"/>
      <c r="C222" s="25"/>
      <c r="D222" s="94"/>
      <c r="E222" s="25"/>
      <c r="F222" s="94"/>
      <c r="G222" s="94"/>
      <c r="H222" s="20"/>
    </row>
    <row r="223" customFormat="false" ht="17.35" hidden="false" customHeight="false" outlineLevel="0" collapsed="false">
      <c r="A223" s="55" t="s">
        <v>162</v>
      </c>
      <c r="B223" s="25" t="s">
        <v>152</v>
      </c>
      <c r="C223" s="25"/>
      <c r="D223" s="94"/>
      <c r="E223" s="25" t="s">
        <v>163</v>
      </c>
      <c r="F223" s="94"/>
      <c r="G223" s="94"/>
      <c r="H223" s="20"/>
    </row>
    <row r="224" customFormat="false" ht="17.35" hidden="false" customHeight="false" outlineLevel="0" collapsed="false">
      <c r="A224" s="70" t="n">
        <f aca="false">A182</f>
        <v>-1810.8751562543</v>
      </c>
      <c r="B224" s="37" t="str">
        <f aca="false">B182</f>
        <v>199.99</v>
      </c>
      <c r="C224" s="37"/>
      <c r="D224" s="94"/>
      <c r="E224" s="37" t="n">
        <f aca="false">E182</f>
        <v>56924.1148437457</v>
      </c>
      <c r="F224" s="94"/>
      <c r="G224" s="94"/>
      <c r="H224" s="177"/>
    </row>
    <row r="225" customFormat="false" ht="17.35" hidden="false" customHeight="false" outlineLevel="0" collapsed="false">
      <c r="A225" s="55"/>
      <c r="B225" s="25"/>
      <c r="C225" s="25"/>
      <c r="D225" s="94"/>
      <c r="E225" s="25"/>
      <c r="F225" s="94"/>
      <c r="G225" s="94"/>
      <c r="H225" s="20"/>
    </row>
    <row r="226" customFormat="false" ht="17.35" hidden="false" customHeight="false" outlineLevel="0" collapsed="false">
      <c r="A226" s="55" t="s">
        <v>164</v>
      </c>
      <c r="B226" s="25" t="s">
        <v>165</v>
      </c>
      <c r="C226" s="25"/>
      <c r="D226" s="94"/>
      <c r="E226" s="25" t="s">
        <v>177</v>
      </c>
      <c r="F226" s="94"/>
      <c r="G226" s="94"/>
      <c r="H226" s="20"/>
    </row>
    <row r="227" customFormat="false" ht="17.35" hidden="false" customHeight="false" outlineLevel="0" collapsed="false">
      <c r="A227" s="70" t="n">
        <f aca="false">A185</f>
        <v>10</v>
      </c>
      <c r="B227" s="37" t="n">
        <f aca="false">B185</f>
        <v>239.988</v>
      </c>
      <c r="C227" s="37"/>
      <c r="D227" s="94"/>
      <c r="E227" s="37" t="n">
        <f aca="false">B59</f>
        <v>32</v>
      </c>
      <c r="F227" s="94"/>
      <c r="G227" s="94"/>
      <c r="H227" s="177"/>
    </row>
    <row r="228" customFormat="false" ht="17.35" hidden="false" customHeight="false" outlineLevel="0" collapsed="false">
      <c r="A228" s="55"/>
      <c r="B228" s="25"/>
      <c r="C228" s="25"/>
      <c r="D228" s="25"/>
      <c r="E228" s="94"/>
      <c r="F228" s="94"/>
      <c r="G228" s="94"/>
      <c r="H228" s="20"/>
    </row>
    <row r="229" customFormat="false" ht="17.35" hidden="false" customHeight="false" outlineLevel="0" collapsed="false">
      <c r="A229" s="55" t="s">
        <v>154</v>
      </c>
      <c r="B229" s="25" t="s">
        <v>155</v>
      </c>
      <c r="C229" s="25"/>
      <c r="D229" s="25"/>
      <c r="E229" s="25" t="s">
        <v>156</v>
      </c>
      <c r="F229" s="94"/>
      <c r="G229" s="94"/>
      <c r="H229" s="20"/>
    </row>
    <row r="230" customFormat="false" ht="17.35" hidden="false" customHeight="false" outlineLevel="0" collapsed="false">
      <c r="A230" s="70" t="n">
        <f aca="false">A167</f>
        <v>1584.81640136705</v>
      </c>
      <c r="B230" s="37" t="n">
        <f aca="false">B167</f>
        <v>19.09375</v>
      </c>
      <c r="C230" s="67"/>
      <c r="D230" s="67"/>
      <c r="E230" s="37" t="n">
        <f aca="false">E167</f>
        <v>1603.91015136705</v>
      </c>
      <c r="F230" s="94"/>
      <c r="G230" s="94"/>
      <c r="H230" s="20"/>
    </row>
    <row r="231" customFormat="false" ht="17.35" hidden="false" customHeight="false" outlineLevel="0" collapsed="false">
      <c r="A231" s="55"/>
      <c r="B231" s="25"/>
      <c r="C231" s="25"/>
      <c r="D231" s="25"/>
      <c r="E231" s="94"/>
      <c r="F231" s="94"/>
      <c r="G231" s="94"/>
      <c r="H231" s="20"/>
    </row>
    <row r="232" customFormat="false" ht="17.35" hidden="false" customHeight="false" outlineLevel="0" collapsed="false">
      <c r="A232" s="55" t="s">
        <v>178</v>
      </c>
      <c r="B232" s="25" t="s">
        <v>179</v>
      </c>
      <c r="C232" s="25"/>
      <c r="D232" s="25"/>
      <c r="E232" s="25" t="s">
        <v>180</v>
      </c>
      <c r="F232" s="94"/>
      <c r="G232" s="94"/>
      <c r="H232" s="20"/>
    </row>
    <row r="233" customFormat="false" ht="17.35" hidden="false" customHeight="false" outlineLevel="0" collapsed="false">
      <c r="A233" s="70" t="n">
        <f aca="false">E170</f>
        <v>6000</v>
      </c>
      <c r="B233" s="37" t="n">
        <f aca="false">E185</f>
        <v>6010</v>
      </c>
      <c r="C233" s="25"/>
      <c r="D233" s="25"/>
      <c r="E233" s="37" t="n">
        <f aca="false">J18*0.000006*100</f>
        <v>34.731</v>
      </c>
      <c r="F233" s="94"/>
      <c r="G233" s="94"/>
      <c r="H233" s="20"/>
    </row>
    <row r="234" customFormat="false" ht="17.35" hidden="false" customHeight="false" outlineLevel="0" collapsed="false">
      <c r="A234" s="70"/>
      <c r="B234" s="37"/>
      <c r="C234" s="25"/>
      <c r="D234" s="25"/>
      <c r="E234" s="37"/>
      <c r="F234" s="94"/>
      <c r="G234" s="94"/>
      <c r="H234" s="20"/>
    </row>
    <row r="235" customFormat="false" ht="17.35" hidden="false" customHeight="false" outlineLevel="0" collapsed="false">
      <c r="A235" s="78" t="s">
        <v>181</v>
      </c>
      <c r="B235" s="38" t="s">
        <v>182</v>
      </c>
      <c r="C235" s="25"/>
      <c r="D235" s="25"/>
      <c r="E235" s="38" t="s">
        <v>102</v>
      </c>
      <c r="F235" s="94"/>
      <c r="G235" s="94"/>
      <c r="H235" s="20"/>
    </row>
    <row r="236" customFormat="false" ht="17.35" hidden="false" customHeight="false" outlineLevel="0" collapsed="false">
      <c r="A236" s="70" t="n">
        <f aca="false">A188</f>
        <v>11.577</v>
      </c>
      <c r="B236" s="37" t="n">
        <f aca="false">E233+A236</f>
        <v>46.308</v>
      </c>
      <c r="C236" s="25"/>
      <c r="D236" s="25"/>
      <c r="E236" s="37"/>
      <c r="F236" s="94"/>
      <c r="G236" s="94"/>
      <c r="H236" s="20"/>
    </row>
    <row r="237" customFormat="false" ht="17.35" hidden="false" customHeight="false" outlineLevel="0" collapsed="false">
      <c r="A237" s="70"/>
      <c r="B237" s="37"/>
      <c r="C237" s="25"/>
      <c r="D237" s="25"/>
      <c r="E237" s="37"/>
      <c r="F237" s="94"/>
      <c r="G237" s="94"/>
      <c r="H237" s="20"/>
    </row>
    <row r="238" customFormat="false" ht="22.05" hidden="false" customHeight="false" outlineLevel="0" collapsed="false">
      <c r="A238" s="184" t="s">
        <v>183</v>
      </c>
      <c r="B238" s="184"/>
      <c r="C238" s="184"/>
      <c r="D238" s="184"/>
      <c r="E238" s="184"/>
      <c r="F238" s="184"/>
      <c r="G238" s="184"/>
      <c r="H238" s="184"/>
    </row>
    <row r="239" customFormat="false" ht="17.35" hidden="false" customHeight="false" outlineLevel="0" collapsed="false">
      <c r="A239" s="55" t="s">
        <v>184</v>
      </c>
      <c r="B239" s="25" t="s">
        <v>168</v>
      </c>
      <c r="C239" s="25"/>
      <c r="D239" s="25"/>
      <c r="E239" s="38" t="s">
        <v>169</v>
      </c>
      <c r="F239" s="94"/>
      <c r="G239" s="94"/>
      <c r="H239" s="20"/>
    </row>
    <row r="240" customFormat="false" ht="17.35" hidden="false" customHeight="false" outlineLevel="0" collapsed="false">
      <c r="A240" s="70" t="n">
        <f aca="false">H148</f>
        <v>0</v>
      </c>
      <c r="B240" s="37" t="n">
        <f aca="false">B188</f>
        <v>457.2265625</v>
      </c>
      <c r="C240" s="25"/>
      <c r="D240" s="25"/>
      <c r="E240" s="37" t="n">
        <f aca="false">IF(E105 = "YES" , (H36*A108)*0.1 , 0)</f>
        <v>14.1</v>
      </c>
      <c r="F240" s="94"/>
      <c r="G240" s="94"/>
      <c r="H240" s="20"/>
    </row>
    <row r="241" customFormat="false" ht="17.35" hidden="false" customHeight="false" outlineLevel="0" collapsed="false">
      <c r="A241" s="70"/>
      <c r="B241" s="37"/>
      <c r="C241" s="25"/>
      <c r="D241" s="25"/>
      <c r="E241" s="94"/>
      <c r="F241" s="94"/>
      <c r="G241" s="94"/>
      <c r="H241" s="20"/>
    </row>
    <row r="242" customFormat="false" ht="17.35" hidden="false" customHeight="false" outlineLevel="0" collapsed="false">
      <c r="A242" s="78" t="s">
        <v>170</v>
      </c>
      <c r="B242" s="38" t="s">
        <v>171</v>
      </c>
      <c r="C242" s="25"/>
      <c r="D242" s="25"/>
      <c r="E242" s="38"/>
      <c r="F242" s="94"/>
      <c r="G242" s="94"/>
      <c r="H242" s="20"/>
    </row>
    <row r="243" customFormat="false" ht="17.35" hidden="false" customHeight="false" outlineLevel="0" collapsed="false">
      <c r="A243" s="70" t="n">
        <f aca="false">A191</f>
        <v>99.99</v>
      </c>
      <c r="B243" s="37" t="n">
        <f aca="false">B240+E240+A243+A240</f>
        <v>571.3165625</v>
      </c>
      <c r="C243" s="25"/>
      <c r="D243" s="25"/>
      <c r="E243" s="37"/>
      <c r="F243" s="94"/>
      <c r="G243" s="94"/>
      <c r="H243" s="20"/>
    </row>
    <row r="244" customFormat="false" ht="17.35" hidden="false" customHeight="false" outlineLevel="0" collapsed="false">
      <c r="A244" s="55"/>
      <c r="B244" s="25"/>
      <c r="C244" s="25"/>
      <c r="D244" s="25"/>
      <c r="E244" s="94"/>
      <c r="F244" s="94"/>
      <c r="G244" s="94"/>
      <c r="H244" s="20"/>
    </row>
    <row r="245" customFormat="false" ht="17.35" hidden="false" customHeight="false" outlineLevel="0" collapsed="false">
      <c r="A245" s="74"/>
      <c r="B245" s="75"/>
      <c r="C245" s="75"/>
      <c r="D245" s="75"/>
      <c r="E245" s="75"/>
      <c r="F245" s="75"/>
      <c r="G245" s="75"/>
      <c r="H245" s="82"/>
    </row>
    <row r="251" customFormat="false" ht="22.05" hidden="false" customHeight="false" outlineLevel="0" collapsed="false">
      <c r="A251" s="179" t="s">
        <v>185</v>
      </c>
      <c r="B251" s="179"/>
      <c r="C251" s="179"/>
      <c r="D251" s="179"/>
      <c r="E251" s="179"/>
      <c r="F251" s="179"/>
      <c r="G251" s="179"/>
      <c r="H251" s="179"/>
    </row>
    <row r="252" customFormat="false" ht="17.35" hidden="false" customHeight="false" outlineLevel="0" collapsed="false">
      <c r="A252" s="55"/>
      <c r="B252" s="178"/>
      <c r="C252" s="178"/>
      <c r="D252" s="178"/>
      <c r="E252" s="45"/>
      <c r="F252" s="45"/>
      <c r="G252" s="45"/>
      <c r="H252" s="20"/>
    </row>
    <row r="253" customFormat="false" ht="17.35" hidden="false" customHeight="false" outlineLevel="0" collapsed="false">
      <c r="A253" s="180" t="s">
        <v>186</v>
      </c>
      <c r="B253" s="185" t="n">
        <f aca="false">B63</f>
        <v>0.065</v>
      </c>
      <c r="C253" s="186"/>
      <c r="D253" s="187" t="s">
        <v>187</v>
      </c>
      <c r="E253" s="187"/>
      <c r="F253" s="185" t="n">
        <f aca="false">B83</f>
        <v>0.115</v>
      </c>
      <c r="G253" s="45"/>
      <c r="H253" s="20"/>
    </row>
    <row r="254" customFormat="false" ht="17.35" hidden="false" customHeight="false" outlineLevel="0" collapsed="false">
      <c r="A254" s="180" t="s">
        <v>188</v>
      </c>
      <c r="B254" s="188"/>
      <c r="C254" s="186"/>
      <c r="D254" s="187" t="s">
        <v>189</v>
      </c>
      <c r="E254" s="187"/>
      <c r="F254" s="188" t="n">
        <f aca="false">F261+F267+F269+B270+B271</f>
        <v>548.671875</v>
      </c>
      <c r="G254" s="45"/>
      <c r="H254" s="20"/>
    </row>
    <row r="255" customFormat="false" ht="17.35" hidden="false" customHeight="false" outlineLevel="0" collapsed="false">
      <c r="A255" s="180" t="s">
        <v>190</v>
      </c>
      <c r="B255" s="188" t="n">
        <f aca="false">F262+B263</f>
        <v>240.99</v>
      </c>
      <c r="C255" s="186"/>
      <c r="D255" s="187" t="s">
        <v>191</v>
      </c>
      <c r="E255" s="187"/>
      <c r="F255" s="188" t="n">
        <f aca="false">(B254-F254)+B255</f>
        <v>-307.681875</v>
      </c>
      <c r="G255" s="45"/>
      <c r="H255" s="20"/>
    </row>
    <row r="256" customFormat="false" ht="17.35" hidden="false" customHeight="false" outlineLevel="0" collapsed="false">
      <c r="A256" s="189"/>
      <c r="B256" s="187"/>
      <c r="C256" s="190"/>
      <c r="D256" s="190"/>
      <c r="E256" s="190"/>
      <c r="F256" s="190"/>
      <c r="G256" s="191"/>
      <c r="H256" s="192"/>
    </row>
    <row r="257" customFormat="false" ht="17.35" hidden="false" customHeight="false" outlineLevel="0" collapsed="false">
      <c r="A257" s="55" t="s">
        <v>186</v>
      </c>
      <c r="B257" s="193" t="n">
        <f aca="false">B253</f>
        <v>0.065</v>
      </c>
      <c r="C257" s="186"/>
      <c r="D257" s="186"/>
      <c r="E257" s="186"/>
      <c r="F257" s="186"/>
      <c r="G257" s="45"/>
      <c r="H257" s="20"/>
    </row>
    <row r="258" customFormat="false" ht="17.35" hidden="false" customHeight="false" outlineLevel="0" collapsed="false">
      <c r="A258" s="194"/>
      <c r="B258" s="195"/>
      <c r="C258" s="196"/>
      <c r="D258" s="196"/>
      <c r="E258" s="191"/>
      <c r="F258" s="191"/>
      <c r="G258" s="191"/>
      <c r="H258" s="192"/>
    </row>
    <row r="259" customFormat="false" ht="17.35" hidden="false" customHeight="false" outlineLevel="0" collapsed="false">
      <c r="A259" s="55" t="s">
        <v>192</v>
      </c>
      <c r="B259" s="193" t="n">
        <f aca="false">B64</f>
        <v>0.05</v>
      </c>
      <c r="C259" s="178"/>
      <c r="D259" s="38" t="s">
        <v>193</v>
      </c>
      <c r="E259" s="38"/>
      <c r="F259" s="193" t="n">
        <v>0</v>
      </c>
      <c r="G259" s="45"/>
      <c r="H259" s="20"/>
    </row>
    <row r="260" customFormat="false" ht="17.35" hidden="false" customHeight="false" outlineLevel="0" collapsed="false">
      <c r="A260" s="123" t="s">
        <v>187</v>
      </c>
      <c r="B260" s="197" t="n">
        <f aca="false">B83</f>
        <v>0.115</v>
      </c>
      <c r="C260" s="198"/>
      <c r="D260" s="38" t="s">
        <v>188</v>
      </c>
      <c r="E260" s="38"/>
      <c r="F260" s="199" t="n">
        <f aca="false">(B89*B59)-(C89*B59)</f>
        <v>0</v>
      </c>
      <c r="G260" s="45"/>
      <c r="H260" s="20"/>
    </row>
    <row r="261" customFormat="false" ht="17.35" hidden="false" customHeight="false" outlineLevel="0" collapsed="false">
      <c r="A261" s="55" t="s">
        <v>194</v>
      </c>
      <c r="B261" s="197" t="n">
        <f aca="false">B67</f>
        <v>0.009375</v>
      </c>
      <c r="C261" s="178"/>
      <c r="D261" s="38" t="s">
        <v>194</v>
      </c>
      <c r="E261" s="38"/>
      <c r="F261" s="152" t="n">
        <f aca="false">B68</f>
        <v>548.671875</v>
      </c>
      <c r="G261" s="45"/>
      <c r="H261" s="20"/>
    </row>
    <row r="262" customFormat="false" ht="17.35" hidden="false" customHeight="false" outlineLevel="0" collapsed="false">
      <c r="A262" s="55" t="s">
        <v>195</v>
      </c>
      <c r="B262" s="193" t="n">
        <f aca="false">A108</f>
        <v>0.3</v>
      </c>
      <c r="C262" s="178"/>
      <c r="D262" s="38" t="s">
        <v>195</v>
      </c>
      <c r="E262" s="38"/>
      <c r="F262" s="199" t="n">
        <f aca="false">E240*10</f>
        <v>141</v>
      </c>
      <c r="G262" s="45"/>
      <c r="H262" s="20"/>
    </row>
    <row r="263" customFormat="false" ht="17.35" hidden="false" customHeight="false" outlineLevel="0" collapsed="false">
      <c r="A263" s="55" t="s">
        <v>196</v>
      </c>
      <c r="B263" s="199" t="n">
        <f aca="false">A243</f>
        <v>99.99</v>
      </c>
      <c r="C263" s="178"/>
      <c r="D263" s="200" t="s">
        <v>191</v>
      </c>
      <c r="E263" s="200"/>
      <c r="F263" s="199" t="n">
        <f aca="false">(B254-F254)+B255</f>
        <v>-307.681875</v>
      </c>
      <c r="G263" s="45"/>
      <c r="H263" s="20"/>
    </row>
    <row r="264" customFormat="false" ht="17.35" hidden="false" customHeight="false" outlineLevel="0" collapsed="false">
      <c r="A264" s="70"/>
      <c r="B264" s="201"/>
      <c r="C264" s="178"/>
      <c r="D264" s="178"/>
      <c r="E264" s="201"/>
      <c r="F264" s="45"/>
      <c r="G264" s="45"/>
      <c r="H264" s="20"/>
    </row>
    <row r="265" customFormat="false" ht="22.05" hidden="false" customHeight="false" outlineLevel="0" collapsed="false">
      <c r="A265" s="184" t="s">
        <v>197</v>
      </c>
      <c r="B265" s="184"/>
      <c r="C265" s="184"/>
      <c r="D265" s="184"/>
      <c r="E265" s="184"/>
      <c r="F265" s="184"/>
      <c r="G265" s="184"/>
      <c r="H265" s="184"/>
    </row>
    <row r="266" customFormat="false" ht="17.35" hidden="false" customHeight="false" outlineLevel="0" collapsed="false">
      <c r="A266" s="55" t="s">
        <v>198</v>
      </c>
      <c r="B266" s="152" t="n">
        <v>0</v>
      </c>
      <c r="C266" s="178"/>
      <c r="D266" s="202" t="s">
        <v>199</v>
      </c>
      <c r="E266" s="202"/>
      <c r="F266" s="152" t="n">
        <v>0</v>
      </c>
      <c r="G266" s="45"/>
      <c r="H266" s="20"/>
    </row>
    <row r="267" customFormat="false" ht="17.35" hidden="false" customHeight="false" outlineLevel="0" collapsed="false">
      <c r="A267" s="70"/>
      <c r="B267" s="199"/>
      <c r="C267" s="178"/>
      <c r="D267" s="38" t="s">
        <v>200</v>
      </c>
      <c r="E267" s="38"/>
      <c r="F267" s="199" t="n">
        <f aca="false">B266+F266*B209</f>
        <v>0</v>
      </c>
      <c r="G267" s="45"/>
      <c r="H267" s="20"/>
    </row>
    <row r="268" customFormat="false" ht="17.35" hidden="false" customHeight="false" outlineLevel="0" collapsed="false">
      <c r="A268" s="78" t="s">
        <v>201</v>
      </c>
      <c r="B268" s="203" t="s">
        <v>4</v>
      </c>
      <c r="C268" s="178"/>
      <c r="D268" s="38" t="s">
        <v>202</v>
      </c>
      <c r="E268" s="38"/>
      <c r="F268" s="203" t="n">
        <f aca="false">B70</f>
        <v>0</v>
      </c>
      <c r="G268" s="45"/>
      <c r="H268" s="20"/>
    </row>
    <row r="269" customFormat="false" ht="17.35" hidden="false" customHeight="false" outlineLevel="0" collapsed="false">
      <c r="A269" s="78"/>
      <c r="B269" s="204"/>
      <c r="C269" s="178"/>
      <c r="D269" s="38" t="s">
        <v>203</v>
      </c>
      <c r="E269" s="38"/>
      <c r="F269" s="199" t="n">
        <f aca="false">B91</f>
        <v>0</v>
      </c>
      <c r="G269" s="45"/>
      <c r="H269" s="20"/>
    </row>
    <row r="270" customFormat="false" ht="17.35" hidden="false" customHeight="false" outlineLevel="0" collapsed="false">
      <c r="A270" s="78" t="s">
        <v>204</v>
      </c>
      <c r="B270" s="152" t="n">
        <v>0</v>
      </c>
      <c r="C270" s="178"/>
      <c r="D270" s="178"/>
      <c r="E270" s="201"/>
      <c r="F270" s="45"/>
      <c r="G270" s="45"/>
      <c r="H270" s="20"/>
    </row>
    <row r="271" customFormat="false" ht="17.35" hidden="false" customHeight="false" outlineLevel="0" collapsed="false">
      <c r="A271" s="55" t="s">
        <v>205</v>
      </c>
      <c r="B271" s="152" t="n">
        <v>0</v>
      </c>
      <c r="C271" s="178"/>
      <c r="D271" s="178"/>
      <c r="E271" s="45"/>
      <c r="F271" s="45"/>
      <c r="G271" s="45"/>
      <c r="H271" s="20"/>
    </row>
    <row r="272" customFormat="false" ht="17.35" hidden="false" customHeight="false" outlineLevel="0" collapsed="false">
      <c r="A272" s="74"/>
      <c r="B272" s="75"/>
      <c r="C272" s="75"/>
      <c r="D272" s="75"/>
      <c r="E272" s="75"/>
      <c r="F272" s="75"/>
      <c r="G272" s="75"/>
      <c r="H272" s="82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operator="between" showDropDown="false" showErrorMessage="true" showInputMessage="false" sqref="B38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true" sqref="B105" type="list">
      <formula1>#ref!</formula1>
      <formula2>0</formula2>
    </dataValidation>
    <dataValidation allowBlank="true" operator="between" showDropDown="false" showErrorMessage="true" showInputMessage="true" sqref="A18:A20" type="list">
      <formula1>#ref!</formula1>
      <formula2>0</formula2>
    </dataValidation>
    <dataValidation allowBlank="true" operator="between" showDropDown="false" showErrorMessage="true" showInputMessage="true" sqref="C108:D108" type="list">
      <formula1>#ref!</formula1>
      <formula2>0</formula2>
    </dataValidation>
    <dataValidation allowBlank="true" operator="between" showDropDown="false" showErrorMessage="true" showInputMessage="true" sqref="A144:A146" type="list">
      <formula1>#ref!</formula1>
      <formula2>0</formula2>
    </dataValidation>
    <dataValidation allowBlank="true" operator="between" showDropDown="false" showErrorMessage="true" showInputMessage="true" sqref="E105" type="list">
      <formula1>"YES,NO"</formula1>
      <formula2>0</formula2>
    </dataValidation>
    <dataValidation allowBlank="true" operator="between" showDropDown="false" showErrorMessage="true" showInputMessage="true" sqref="A111" type="list">
      <formula1>"YES,NO"</formula1>
      <formula2>0</formula2>
    </dataValidation>
    <dataValidation allowBlank="true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05" colorId="64" zoomScale="75" zoomScaleNormal="75" zoomScalePageLayoutView="100" workbookViewId="0">
      <selection pane="topLeft" activeCell="B186" activeCellId="0" sqref="B186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6" customWidth="true" hidden="false" style="1" width="18.88" collapsed="false" outlineLevel="0"/>
    <col min="7" max="7" customWidth="true" hidden="false" style="1" width="23.13" collapsed="false" outlineLevel="0"/>
    <col min="8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4" t="s">
        <v>324</v>
      </c>
      <c r="B1" s="4"/>
      <c r="C1" s="4"/>
      <c r="D1" s="4"/>
      <c r="E1" s="4"/>
      <c r="F1" s="4"/>
      <c r="G1" s="4"/>
      <c r="H1" s="4"/>
      <c r="I1" s="2"/>
      <c r="J1" s="2"/>
    </row>
    <row r="2" customFormat="false" ht="19.7" hidden="false" customHeight="false" outlineLevel="0" collapsed="false">
      <c r="A2" s="99"/>
      <c r="B2" s="8" t="s">
        <v>115</v>
      </c>
      <c r="C2" s="8"/>
      <c r="D2" s="8" t="s">
        <v>116</v>
      </c>
      <c r="E2" s="8"/>
      <c r="F2" s="8" t="s">
        <v>117</v>
      </c>
      <c r="G2" s="8"/>
      <c r="H2" s="9" t="s">
        <v>118</v>
      </c>
      <c r="I2" s="2"/>
      <c r="J2" s="2"/>
    </row>
    <row r="3" customFormat="false" ht="17.35" hidden="false" customHeight="false" outlineLevel="0" collapsed="false">
      <c r="A3" s="55" t="s">
        <v>121</v>
      </c>
      <c r="B3" s="13" t="n">
        <v>46854.17</v>
      </c>
      <c r="C3" s="13" t="n">
        <v>0</v>
      </c>
      <c r="D3" s="13" t="n">
        <v>0</v>
      </c>
      <c r="E3" s="13"/>
      <c r="F3" s="13" t="n">
        <v>833.33</v>
      </c>
      <c r="G3" s="13"/>
      <c r="H3" s="14" t="n">
        <v>0</v>
      </c>
      <c r="I3" s="2"/>
      <c r="J3" s="2"/>
    </row>
    <row r="4" customFormat="false" ht="17.35" hidden="false" customHeight="false" outlineLevel="0" collapsed="false">
      <c r="A4" s="55" t="s">
        <v>122</v>
      </c>
      <c r="B4" s="17" t="n">
        <v>0</v>
      </c>
      <c r="C4" s="17" t="n">
        <v>0</v>
      </c>
      <c r="D4" s="17" t="n">
        <v>0</v>
      </c>
      <c r="E4" s="17"/>
      <c r="F4" s="17" t="n">
        <v>0</v>
      </c>
      <c r="G4" s="17"/>
      <c r="H4" s="18"/>
      <c r="I4" s="2"/>
      <c r="J4" s="2"/>
    </row>
    <row r="5" customFormat="false" ht="17.35" hidden="false" customHeight="false" outlineLevel="0" collapsed="false">
      <c r="A5" s="55" t="s">
        <v>123</v>
      </c>
      <c r="B5" s="13" t="n">
        <v>0</v>
      </c>
      <c r="C5" s="13" t="n">
        <v>0</v>
      </c>
      <c r="D5" s="13" t="n">
        <v>0</v>
      </c>
      <c r="E5" s="13"/>
      <c r="F5" s="13" t="n">
        <v>0</v>
      </c>
      <c r="G5" s="13"/>
      <c r="H5" s="20"/>
      <c r="I5" s="2"/>
      <c r="J5" s="2"/>
    </row>
    <row r="6" customFormat="false" ht="17.35" hidden="false" customHeight="false" outlineLevel="0" collapsed="false">
      <c r="A6" s="55" t="s">
        <v>124</v>
      </c>
      <c r="B6" s="21" t="n">
        <f aca="false">(B3*B4/100)+B5</f>
        <v>0</v>
      </c>
      <c r="C6" s="21" t="n">
        <f aca="false">(C3*C4/100)+C5</f>
        <v>0</v>
      </c>
      <c r="D6" s="21" t="n">
        <f aca="false">(D3*D4/100)+D5</f>
        <v>0</v>
      </c>
      <c r="E6" s="21"/>
      <c r="F6" s="21" t="n">
        <f aca="false">(F3*F4/100)+F5</f>
        <v>0</v>
      </c>
      <c r="G6" s="21"/>
      <c r="H6" s="20"/>
      <c r="I6" s="2"/>
      <c r="J6" s="2"/>
    </row>
    <row r="7" customFormat="false" ht="17.35" hidden="false" customHeight="false" outlineLevel="0" collapsed="false">
      <c r="A7" s="55" t="s">
        <v>125</v>
      </c>
      <c r="B7" s="21" t="n">
        <f aca="false">B3-B6</f>
        <v>46854.17</v>
      </c>
      <c r="C7" s="21" t="n">
        <f aca="false">C3-C6</f>
        <v>0</v>
      </c>
      <c r="D7" s="21" t="n">
        <f aca="false">D3-D6</f>
        <v>0</v>
      </c>
      <c r="E7" s="21"/>
      <c r="F7" s="21" t="n">
        <f aca="false">F3-F6</f>
        <v>833.33</v>
      </c>
      <c r="G7" s="21"/>
      <c r="H7" s="20"/>
      <c r="I7" s="2"/>
      <c r="J7" s="2"/>
    </row>
    <row r="8" customFormat="false" ht="17.35" hidden="false" customHeight="false" outlineLevel="0" collapsed="false">
      <c r="A8" s="55"/>
      <c r="B8" s="25"/>
      <c r="C8" s="25"/>
      <c r="D8" s="25"/>
      <c r="E8" s="25"/>
      <c r="F8" s="25"/>
      <c r="G8" s="25"/>
      <c r="H8" s="20"/>
      <c r="I8" s="2"/>
      <c r="J8" s="2"/>
      <c r="L8" s="26" t="s">
        <v>3</v>
      </c>
      <c r="M8" s="27" t="n">
        <f aca="false">H13+H14</f>
        <v>640</v>
      </c>
    </row>
    <row r="9" customFormat="false" ht="19.7" hidden="false" customHeight="false" outlineLevel="0" collapsed="false">
      <c r="A9" s="153" t="s">
        <v>133</v>
      </c>
      <c r="B9" s="153"/>
      <c r="C9" s="153"/>
      <c r="D9" s="153"/>
      <c r="E9" s="153" t="n">
        <f aca="false">(B7+C7+D7+E3)</f>
        <v>46854.17</v>
      </c>
      <c r="F9" s="153"/>
      <c r="G9" s="29"/>
      <c r="H9" s="30" t="n">
        <f aca="false">B7+D7+F7+H3</f>
        <v>47687.5</v>
      </c>
      <c r="I9" s="2"/>
      <c r="J9" s="2"/>
      <c r="L9" s="27"/>
      <c r="M9" s="27"/>
    </row>
    <row r="10" customFormat="false" ht="17.35" hidden="false" customHeight="false" outlineLevel="0" collapsed="false">
      <c r="A10" s="155" t="s">
        <v>134</v>
      </c>
      <c r="B10" s="155"/>
      <c r="C10" s="155"/>
      <c r="D10" s="155"/>
      <c r="E10" s="155" t="n">
        <v>50</v>
      </c>
      <c r="F10" s="155"/>
      <c r="G10" s="21"/>
      <c r="H10" s="14" t="n">
        <v>550</v>
      </c>
      <c r="I10" s="2"/>
      <c r="J10" s="2"/>
      <c r="L10" s="32" t="s">
        <v>1</v>
      </c>
      <c r="M10" s="27" t="n">
        <f aca="false">H15-H11-M8</f>
        <v>48237.5</v>
      </c>
    </row>
    <row r="11" customFormat="false" ht="17.35" hidden="false" customHeight="false" outlineLevel="0" collapsed="false">
      <c r="A11" s="155" t="s">
        <v>135</v>
      </c>
      <c r="B11" s="155"/>
      <c r="C11" s="155"/>
      <c r="D11" s="155"/>
      <c r="E11" s="155"/>
      <c r="F11" s="155"/>
      <c r="G11" s="21"/>
      <c r="H11" s="20" t="n">
        <f aca="false">(H9+H10)*20%</f>
        <v>9647.5</v>
      </c>
      <c r="I11" s="2"/>
      <c r="J11" s="2"/>
      <c r="L11" s="27"/>
      <c r="M11" s="27"/>
    </row>
    <row r="12" customFormat="false" ht="17.35" hidden="false" customHeight="false" outlineLevel="0" collapsed="false">
      <c r="A12" s="155" t="s">
        <v>136</v>
      </c>
      <c r="B12" s="155"/>
      <c r="C12" s="155"/>
      <c r="D12" s="155"/>
      <c r="E12" s="155"/>
      <c r="F12" s="155"/>
      <c r="G12" s="21"/>
      <c r="H12" s="14" t="n">
        <v>0</v>
      </c>
      <c r="I12" s="2"/>
      <c r="J12" s="2"/>
    </row>
    <row r="13" customFormat="false" ht="17.35" hidden="false" customHeight="false" outlineLevel="0" collapsed="false">
      <c r="A13" s="155" t="s">
        <v>137</v>
      </c>
      <c r="B13" s="155"/>
      <c r="C13" s="155"/>
      <c r="D13" s="155"/>
      <c r="E13" s="155" t="n">
        <v>585</v>
      </c>
      <c r="F13" s="155"/>
      <c r="G13" s="21"/>
      <c r="H13" s="14" t="n">
        <v>585</v>
      </c>
      <c r="I13" s="2"/>
      <c r="J13" s="2"/>
    </row>
    <row r="14" customFormat="false" ht="17.35" hidden="false" customHeight="false" outlineLevel="0" collapsed="false">
      <c r="A14" s="155" t="s">
        <v>138</v>
      </c>
      <c r="B14" s="155"/>
      <c r="C14" s="155"/>
      <c r="D14" s="155"/>
      <c r="E14" s="155" t="n">
        <v>55</v>
      </c>
      <c r="F14" s="155"/>
      <c r="G14" s="21"/>
      <c r="H14" s="14" t="n">
        <v>55</v>
      </c>
      <c r="I14" s="2"/>
      <c r="J14" s="2" t="s">
        <v>13</v>
      </c>
    </row>
    <row r="15" customFormat="false" ht="17.35" hidden="false" customHeight="false" outlineLevel="0" collapsed="false">
      <c r="A15" s="155" t="s">
        <v>139</v>
      </c>
      <c r="B15" s="155"/>
      <c r="C15" s="155"/>
      <c r="D15" s="155"/>
      <c r="E15" s="155"/>
      <c r="F15" s="155"/>
      <c r="G15" s="21"/>
      <c r="H15" s="33" t="n">
        <f aca="false">(H9+H10+H13+H14+H11)-H12</f>
        <v>58525</v>
      </c>
      <c r="I15" s="2"/>
      <c r="J15" s="34" t="n">
        <f aca="false">H15</f>
        <v>58525</v>
      </c>
    </row>
    <row r="16" customFormat="false" ht="17.35" hidden="false" customHeight="false" outlineLevel="0" collapsed="false">
      <c r="A16" s="155" t="s">
        <v>140</v>
      </c>
      <c r="B16" s="155"/>
      <c r="C16" s="155"/>
      <c r="D16" s="155"/>
      <c r="E16" s="155" t="n">
        <v>120</v>
      </c>
      <c r="F16" s="155"/>
      <c r="G16" s="21"/>
      <c r="H16" s="14" t="n">
        <v>0</v>
      </c>
      <c r="I16" s="2"/>
      <c r="J16" s="2"/>
      <c r="Y16" s="36" t="s">
        <v>15</v>
      </c>
    </row>
    <row r="17" customFormat="false" ht="17.35" hidden="false" customHeight="false" outlineLevel="0" collapsed="false">
      <c r="A17" s="70" t="s">
        <v>141</v>
      </c>
      <c r="B17" s="70"/>
      <c r="C17" s="70"/>
      <c r="D17" s="70"/>
      <c r="E17" s="70"/>
      <c r="F17" s="70"/>
      <c r="G17" s="37"/>
      <c r="H17" s="20"/>
      <c r="I17" s="2"/>
      <c r="J17" s="2" t="s">
        <v>16</v>
      </c>
      <c r="Y17" s="36" t="s">
        <v>17</v>
      </c>
    </row>
    <row r="18" customFormat="false" ht="17.35" hidden="false" customHeight="false" outlineLevel="0" collapsed="false">
      <c r="A18" s="158" t="s">
        <v>15</v>
      </c>
      <c r="B18" s="159" t="s">
        <v>142</v>
      </c>
      <c r="C18" s="159"/>
      <c r="D18" s="159"/>
      <c r="E18" s="159"/>
      <c r="F18" s="159"/>
      <c r="G18" s="38"/>
      <c r="H18" s="39" t="n">
        <v>0</v>
      </c>
      <c r="I18" s="2"/>
      <c r="J18" s="34" t="n">
        <f aca="false">(B3+D3+F3+H3+H10)*1.2</f>
        <v>57885</v>
      </c>
      <c r="Y18" s="36" t="s">
        <v>18</v>
      </c>
    </row>
    <row r="19" customFormat="false" ht="17.35" hidden="false" customHeight="false" outlineLevel="0" collapsed="false">
      <c r="A19" s="158" t="s">
        <v>17</v>
      </c>
      <c r="B19" s="159" t="s">
        <v>142</v>
      </c>
      <c r="C19" s="159"/>
      <c r="D19" s="159"/>
      <c r="E19" s="159"/>
      <c r="F19" s="159"/>
      <c r="G19" s="38"/>
      <c r="H19" s="39" t="n">
        <v>0</v>
      </c>
      <c r="I19" s="2"/>
      <c r="J19" s="2"/>
      <c r="Z19" s="2" t="s">
        <v>9</v>
      </c>
    </row>
    <row r="20" customFormat="false" ht="17.35" hidden="false" customHeight="false" outlineLevel="0" collapsed="false">
      <c r="A20" s="158" t="s">
        <v>18</v>
      </c>
      <c r="B20" s="159" t="s">
        <v>142</v>
      </c>
      <c r="C20" s="159"/>
      <c r="D20" s="159"/>
      <c r="E20" s="159"/>
      <c r="F20" s="159"/>
      <c r="G20" s="38"/>
      <c r="H20" s="39" t="n">
        <v>0</v>
      </c>
      <c r="I20" s="2"/>
      <c r="J20" s="2"/>
      <c r="Z20" s="2" t="s">
        <v>10</v>
      </c>
    </row>
    <row r="21" customFormat="false" ht="19.7" hidden="false" customHeight="false" outlineLevel="0" collapsed="false">
      <c r="A21" s="449" t="s">
        <v>143</v>
      </c>
      <c r="B21" s="449"/>
      <c r="C21" s="449"/>
      <c r="D21" s="449"/>
      <c r="E21" s="449"/>
      <c r="F21" s="449"/>
      <c r="G21" s="43"/>
      <c r="H21" s="44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45"/>
      <c r="B22" s="45"/>
      <c r="C22" s="45"/>
      <c r="D22" s="45"/>
      <c r="E22" s="45"/>
      <c r="F22" s="45"/>
      <c r="G22" s="45"/>
      <c r="H22" s="45"/>
      <c r="J22" s="2"/>
      <c r="K22" s="2"/>
      <c r="P22" s="46"/>
    </row>
    <row r="23" customFormat="false" ht="17.35" hidden="false" customHeight="false" outlineLevel="0" collapsed="false">
      <c r="A23" s="45"/>
      <c r="B23" s="45"/>
      <c r="C23" s="45"/>
      <c r="D23" s="45"/>
      <c r="E23" s="45"/>
      <c r="F23" s="45"/>
      <c r="G23" s="45"/>
      <c r="H23" s="45"/>
      <c r="J23" s="2"/>
      <c r="K23" s="2"/>
      <c r="P23" s="46"/>
    </row>
    <row r="24" customFormat="false" ht="46.5" hidden="false" customHeight="true" outlineLevel="0" collapsed="false">
      <c r="A24" s="208" t="s">
        <v>208</v>
      </c>
      <c r="B24" s="208"/>
      <c r="C24" s="208"/>
      <c r="D24" s="208"/>
      <c r="E24" s="208"/>
      <c r="F24" s="19"/>
      <c r="G24" s="19"/>
      <c r="H24" s="19"/>
      <c r="I24" s="0"/>
      <c r="J24" s="0"/>
      <c r="K24" s="0"/>
      <c r="P24" s="46"/>
    </row>
    <row r="25" customFormat="false" ht="17.35" hidden="false" customHeight="false" outlineLevel="0" collapsed="false">
      <c r="A25" s="209"/>
      <c r="B25" s="207"/>
      <c r="C25" s="207"/>
      <c r="D25" s="207"/>
      <c r="E25" s="210"/>
      <c r="F25" s="19"/>
      <c r="G25" s="19"/>
      <c r="H25" s="19"/>
      <c r="I25" s="0"/>
      <c r="J25" s="0"/>
      <c r="K25" s="0"/>
      <c r="P25" s="46"/>
    </row>
    <row r="26" customFormat="false" ht="22.05" hidden="false" customHeight="false" outlineLevel="0" collapsed="false">
      <c r="A26" s="211" t="s">
        <v>209</v>
      </c>
      <c r="B26" s="211"/>
      <c r="C26" s="211"/>
      <c r="D26" s="211"/>
      <c r="E26" s="211"/>
      <c r="F26" s="19"/>
      <c r="G26" s="212"/>
      <c r="H26" s="212"/>
      <c r="I26" s="0"/>
      <c r="J26" s="0"/>
      <c r="K26" s="0"/>
      <c r="P26" s="46"/>
    </row>
    <row r="27" customFormat="false" ht="17.35" hidden="false" customHeight="false" outlineLevel="0" collapsed="false">
      <c r="A27" s="209"/>
      <c r="B27" s="207"/>
      <c r="C27" s="207"/>
      <c r="D27" s="207"/>
      <c r="E27" s="210"/>
      <c r="F27" s="19"/>
      <c r="G27" s="213" t="s">
        <v>46</v>
      </c>
      <c r="H27" s="213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6"/>
    </row>
    <row r="28" customFormat="false" ht="31.8" hidden="false" customHeight="false" outlineLevel="0" collapsed="false">
      <c r="A28" s="214" t="s">
        <v>210</v>
      </c>
      <c r="B28" s="215" t="s">
        <v>211</v>
      </c>
      <c r="C28" s="207"/>
      <c r="D28" s="215" t="s">
        <v>212</v>
      </c>
      <c r="E28" s="210"/>
      <c r="F28" s="19"/>
      <c r="G28" s="213" t="s">
        <v>60</v>
      </c>
      <c r="H28" s="213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6"/>
    </row>
    <row r="29" customFormat="false" ht="17.35" hidden="false" customHeight="false" outlineLevel="0" collapsed="false">
      <c r="A29" s="216" t="s">
        <v>213</v>
      </c>
      <c r="B29" s="217" t="n">
        <v>12345</v>
      </c>
      <c r="C29" s="217"/>
      <c r="D29" s="218" t="n">
        <f aca="true">TODAY()+1</f>
        <v>45008</v>
      </c>
      <c r="E29" s="218"/>
      <c r="F29" s="19"/>
      <c r="G29" s="212" t="s">
        <v>214</v>
      </c>
      <c r="H29" s="212" t="str">
        <f aca="false">B35</f>
        <v>33</v>
      </c>
      <c r="I29" s="0"/>
      <c r="J29" s="0"/>
      <c r="K29" s="0"/>
      <c r="P29" s="46"/>
    </row>
    <row r="30" customFormat="false" ht="17.35" hidden="false" customHeight="false" outlineLevel="0" collapsed="false">
      <c r="A30" s="209"/>
      <c r="B30" s="21"/>
      <c r="C30" s="21"/>
      <c r="D30" s="207"/>
      <c r="E30" s="210"/>
      <c r="F30" s="19"/>
      <c r="G30" s="212" t="s">
        <v>31</v>
      </c>
      <c r="H30" s="212" t="str">
        <f aca="false">D35</f>
        <v>5000</v>
      </c>
      <c r="I30" s="0"/>
      <c r="J30" s="0"/>
      <c r="K30" s="0"/>
      <c r="P30" s="46"/>
    </row>
    <row r="31" customFormat="false" ht="31.8" hidden="false" customHeight="false" outlineLevel="0" collapsed="false">
      <c r="A31" s="214" t="s">
        <v>23</v>
      </c>
      <c r="B31" s="215" t="s">
        <v>215</v>
      </c>
      <c r="C31" s="207"/>
      <c r="D31" s="215" t="s">
        <v>216</v>
      </c>
      <c r="E31" s="210"/>
      <c r="F31" s="19"/>
      <c r="G31" s="212" t="s">
        <v>217</v>
      </c>
      <c r="H31" s="219" t="str">
        <f aca="false">D38</f>
        <v>500</v>
      </c>
      <c r="I31" s="0"/>
      <c r="J31" s="0"/>
      <c r="K31" s="0"/>
      <c r="P31" s="46"/>
    </row>
    <row r="32" customFormat="false" ht="17.35" hidden="false" customHeight="false" outlineLevel="0" collapsed="false">
      <c r="A32" s="216" t="s">
        <v>100</v>
      </c>
      <c r="B32" s="220" t="str">
        <f aca="false">IF(A32=Z103,D38,IF(A32=Z104,D38,IF(A32=Z105,(D38*3),IF(A32=Z106,(D38*6),IF(A32=Z107,(D38*9),IF(A32=Z108,(D38*12),IF(A32=Z109,D38,IF(A32=Z110,D38,IF(A32=Z111,D38,0)))))))))</f>
        <v>500</v>
      </c>
      <c r="C32" s="220"/>
      <c r="D32" s="220" t="n">
        <f aca="false">IF(A32=Z103,A41,IF(A32=Z104,A41,IF(A32=Z105,(A41*3),IF(A32=Z106,(A41*6),IF(A32=Z107,(A41*9),IF(A32=Z108,(A41*12),IF(A32=Z109,A41,IF(A32=Z110,A41,IF(A32=Z111,A41,0)))))))))</f>
        <v>14.2424242424242</v>
      </c>
      <c r="E32" s="220"/>
      <c r="F32" s="19"/>
      <c r="G32" s="221" t="s">
        <v>218</v>
      </c>
      <c r="H32" s="219" t="n">
        <f aca="false">A41</f>
        <v>14.2424242424242</v>
      </c>
      <c r="I32" s="0"/>
      <c r="J32" s="481" t="s">
        <v>365</v>
      </c>
      <c r="K32" s="482" t="s">
        <v>366</v>
      </c>
      <c r="P32" s="46"/>
    </row>
    <row r="33" customFormat="false" ht="17.35" hidden="false" customHeight="false" outlineLevel="0" collapsed="false">
      <c r="A33" s="222"/>
      <c r="B33" s="174"/>
      <c r="C33" s="223"/>
      <c r="D33" s="176"/>
      <c r="E33" s="210"/>
      <c r="F33" s="19"/>
      <c r="G33" s="221" t="s">
        <v>219</v>
      </c>
      <c r="H33" s="219" t="n">
        <f aca="false">D41</f>
        <v>6000</v>
      </c>
      <c r="I33" s="0"/>
      <c r="J33" s="481"/>
      <c r="K33" s="483"/>
      <c r="P33" s="46"/>
    </row>
    <row r="34" customFormat="false" ht="17.35" hidden="false" customHeight="false" outlineLevel="0" collapsed="false">
      <c r="A34" s="222" t="s">
        <v>220</v>
      </c>
      <c r="B34" s="224" t="s">
        <v>221</v>
      </c>
      <c r="C34" s="223"/>
      <c r="D34" s="64" t="s">
        <v>175</v>
      </c>
      <c r="E34" s="210"/>
      <c r="F34" s="19"/>
      <c r="G34" s="221" t="s">
        <v>222</v>
      </c>
      <c r="H34" s="219" t="str">
        <f aca="false">A44</f>
        <v>12</v>
      </c>
      <c r="I34" s="0"/>
      <c r="J34" s="481" t="s">
        <v>367</v>
      </c>
      <c r="K34" s="484" t="s">
        <v>328</v>
      </c>
      <c r="P34" s="46"/>
    </row>
    <row r="35" customFormat="false" ht="17.35" hidden="false" customHeight="false" outlineLevel="0" collapsed="false">
      <c r="A35" s="220" t="n">
        <f aca="false">B32+D32</f>
        <v>514.242424242424</v>
      </c>
      <c r="B35" s="217" t="s">
        <v>356</v>
      </c>
      <c r="C35" s="217"/>
      <c r="D35" s="217" t="s">
        <v>326</v>
      </c>
      <c r="E35" s="217"/>
      <c r="F35" s="19"/>
      <c r="G35" s="225"/>
      <c r="H35" s="226"/>
      <c r="I35" s="0"/>
      <c r="J35" s="481"/>
      <c r="K35" s="483" t="n">
        <v>0.065</v>
      </c>
      <c r="P35" s="46"/>
    </row>
    <row r="36" customFormat="false" ht="17.35" hidden="false" customHeight="false" outlineLevel="0" collapsed="false">
      <c r="A36" s="209"/>
      <c r="B36" s="207"/>
      <c r="C36" s="207"/>
      <c r="D36" s="207"/>
      <c r="E36" s="210"/>
      <c r="F36" s="19"/>
      <c r="G36" s="19" t="s">
        <v>361</v>
      </c>
      <c r="H36" s="455" t="s">
        <v>362</v>
      </c>
      <c r="I36" s="0"/>
      <c r="J36" s="481" t="s">
        <v>368</v>
      </c>
      <c r="K36" s="485" t="n">
        <f aca="false">K32-K34</f>
        <v>47877.5</v>
      </c>
      <c r="P36" s="46"/>
    </row>
    <row r="37" customFormat="false" ht="17.35" hidden="false" customHeight="false" outlineLevel="0" collapsed="false">
      <c r="A37" s="214" t="s">
        <v>223</v>
      </c>
      <c r="B37" s="215" t="s">
        <v>224</v>
      </c>
      <c r="C37" s="207"/>
      <c r="D37" s="215" t="s">
        <v>225</v>
      </c>
      <c r="E37" s="210"/>
      <c r="F37" s="19"/>
      <c r="G37" s="19"/>
      <c r="H37" s="19"/>
      <c r="I37" s="0"/>
      <c r="J37" s="0"/>
      <c r="K37" s="0"/>
      <c r="P37" s="46"/>
    </row>
    <row r="38" customFormat="false" ht="17.35" hidden="false" customHeight="false" outlineLevel="0" collapsed="false">
      <c r="A38" s="227" t="n">
        <f aca="false">(B35/12)*D35</f>
        <v>13750</v>
      </c>
      <c r="B38" s="217" t="s">
        <v>9</v>
      </c>
      <c r="C38" s="217"/>
      <c r="D38" s="60" t="s">
        <v>226</v>
      </c>
      <c r="E38" s="60"/>
      <c r="F38" s="19"/>
      <c r="G38" s="19"/>
      <c r="H38" s="19"/>
      <c r="I38" s="0"/>
      <c r="J38" s="486"/>
      <c r="K38" s="486"/>
      <c r="L38" s="2"/>
      <c r="N38" s="1" t="n">
        <f aca="false">80.88*36</f>
        <v>2911.68</v>
      </c>
      <c r="P38" s="46"/>
    </row>
    <row r="39" customFormat="false" ht="17.35" hidden="false" customHeight="false" outlineLevel="0" collapsed="false">
      <c r="A39" s="229"/>
      <c r="B39" s="223"/>
      <c r="C39" s="223"/>
      <c r="D39" s="207"/>
      <c r="E39" s="210"/>
      <c r="F39" s="19"/>
      <c r="G39" s="19"/>
      <c r="H39" s="228"/>
      <c r="I39" s="0"/>
      <c r="J39" s="0"/>
      <c r="K39" s="0"/>
      <c r="L39" s="2"/>
      <c r="N39" s="1" t="n">
        <f aca="false">K39-L39</f>
        <v>0</v>
      </c>
      <c r="P39" s="46"/>
    </row>
    <row r="40" customFormat="false" ht="17.35" hidden="false" customHeight="false" outlineLevel="0" collapsed="false">
      <c r="A40" s="230" t="s">
        <v>227</v>
      </c>
      <c r="B40" s="231" t="s">
        <v>93</v>
      </c>
      <c r="C40" s="223"/>
      <c r="D40" s="232" t="s">
        <v>228</v>
      </c>
      <c r="E40" s="210"/>
      <c r="F40" s="19"/>
      <c r="G40" s="19"/>
      <c r="H40" s="228"/>
      <c r="I40" s="0"/>
      <c r="J40" s="0"/>
      <c r="K40" s="0"/>
      <c r="L40" s="2"/>
      <c r="N40" s="1" t="n">
        <f aca="false">N38-N39</f>
        <v>2911.68</v>
      </c>
      <c r="P40" s="46"/>
    </row>
    <row r="41" customFormat="false" ht="17.35" hidden="false" customHeight="false" outlineLevel="0" collapsed="false">
      <c r="A41" s="60" t="n">
        <f aca="false">H36/B35</f>
        <v>14.2424242424242</v>
      </c>
      <c r="B41" s="233" t="n">
        <f aca="false">IF(B38="YES", D38+A41, D38)</f>
        <v>514.242424242424</v>
      </c>
      <c r="C41" s="233"/>
      <c r="D41" s="60" t="n">
        <v>6000</v>
      </c>
      <c r="E41" s="60"/>
      <c r="F41" s="19"/>
      <c r="G41" s="19"/>
      <c r="H41" s="235"/>
      <c r="J41" s="2"/>
      <c r="K41" s="2"/>
      <c r="L41" s="2"/>
      <c r="P41" s="46"/>
    </row>
    <row r="42" customFormat="false" ht="17.35" hidden="false" customHeight="false" outlineLevel="0" collapsed="false">
      <c r="A42" s="229"/>
      <c r="B42" s="223"/>
      <c r="C42" s="223"/>
      <c r="D42" s="223"/>
      <c r="E42" s="236"/>
      <c r="F42" s="19"/>
      <c r="G42" s="237" t="s">
        <v>42</v>
      </c>
      <c r="H42" s="237"/>
      <c r="J42" s="2"/>
      <c r="K42" s="2"/>
      <c r="L42" s="2"/>
      <c r="P42" s="46"/>
    </row>
    <row r="43" customFormat="false" ht="17.35" hidden="false" customHeight="false" outlineLevel="0" collapsed="false">
      <c r="A43" s="230" t="s">
        <v>111</v>
      </c>
      <c r="B43" s="231" t="s">
        <v>229</v>
      </c>
      <c r="C43" s="223"/>
      <c r="D43" s="231" t="s">
        <v>230</v>
      </c>
      <c r="E43" s="236"/>
      <c r="F43" s="19"/>
      <c r="G43" s="19" t="s">
        <v>231</v>
      </c>
      <c r="H43" s="228" t="n">
        <f aca="false">((((D38*(B35-1))+B32)/B35) + (A44/B35))</f>
        <v>500.363636363636</v>
      </c>
      <c r="J43" s="2"/>
      <c r="K43" s="2"/>
      <c r="L43" s="2"/>
      <c r="P43" s="46"/>
    </row>
    <row r="44" customFormat="false" ht="17.35" hidden="false" customHeight="false" outlineLevel="0" collapsed="false">
      <c r="A44" s="60" t="s">
        <v>232</v>
      </c>
      <c r="B44" s="234" t="n">
        <v>0</v>
      </c>
      <c r="C44" s="234"/>
      <c r="D44" s="234" t="n">
        <v>0</v>
      </c>
      <c r="E44" s="234"/>
      <c r="F44" s="19"/>
      <c r="G44" s="19" t="s">
        <v>233</v>
      </c>
      <c r="H44" s="228" t="n">
        <f aca="false">H32</f>
        <v>14.2424242424242</v>
      </c>
      <c r="J44" s="2"/>
      <c r="K44" s="2"/>
      <c r="L44" s="2"/>
      <c r="P44" s="46"/>
    </row>
    <row r="45" customFormat="false" ht="17.35" hidden="false" customHeight="false" outlineLevel="0" collapsed="false">
      <c r="A45" s="229"/>
      <c r="B45" s="223"/>
      <c r="C45" s="223"/>
      <c r="D45" s="223"/>
      <c r="E45" s="236"/>
      <c r="F45" s="19"/>
      <c r="G45" s="19" t="s">
        <v>234</v>
      </c>
      <c r="H45" s="239" t="n">
        <f aca="false">H43+H44</f>
        <v>514.606060606061</v>
      </c>
      <c r="J45" s="2"/>
      <c r="K45" s="2"/>
      <c r="L45" s="2"/>
      <c r="P45" s="46"/>
    </row>
    <row r="46" customFormat="false" ht="17.35" hidden="false" customHeight="false" outlineLevel="0" collapsed="false">
      <c r="A46" s="230" t="s">
        <v>235</v>
      </c>
      <c r="B46" s="231" t="s">
        <v>236</v>
      </c>
      <c r="C46" s="223"/>
      <c r="D46" s="231" t="s">
        <v>237</v>
      </c>
      <c r="E46" s="236"/>
      <c r="F46" s="19"/>
      <c r="G46" s="19" t="s">
        <v>238</v>
      </c>
      <c r="H46" s="228" t="n">
        <f aca="false">H43</f>
        <v>500.363636363636</v>
      </c>
      <c r="J46" s="2"/>
      <c r="K46" s="2"/>
      <c r="L46" s="2"/>
      <c r="P46" s="46"/>
    </row>
    <row r="47" customFormat="false" ht="17.35" hidden="false" customHeight="false" outlineLevel="0" collapsed="false">
      <c r="A47" s="240" t="n">
        <v>0</v>
      </c>
      <c r="B47" s="241" t="n">
        <v>0</v>
      </c>
      <c r="C47" s="241"/>
      <c r="D47" s="234" t="n">
        <v>0</v>
      </c>
      <c r="E47" s="234"/>
      <c r="F47" s="19"/>
      <c r="G47" s="19"/>
      <c r="H47" s="228"/>
      <c r="J47" s="2"/>
      <c r="K47" s="2"/>
      <c r="L47" s="2"/>
      <c r="P47" s="46"/>
    </row>
    <row r="48" customFormat="false" ht="17.35" hidden="false" customHeight="false" outlineLevel="0" collapsed="false">
      <c r="A48" s="0"/>
      <c r="B48" s="223"/>
      <c r="C48" s="223"/>
      <c r="D48" s="223"/>
      <c r="E48" s="236"/>
      <c r="F48" s="19"/>
      <c r="G48" s="19"/>
      <c r="H48" s="228"/>
      <c r="J48" s="86"/>
      <c r="K48" s="2"/>
      <c r="L48" s="2"/>
      <c r="P48" s="46"/>
    </row>
    <row r="49" customFormat="false" ht="17.35" hidden="false" customHeight="false" outlineLevel="0" collapsed="false">
      <c r="A49" s="229"/>
      <c r="B49" s="223"/>
      <c r="C49" s="223"/>
      <c r="D49" s="223"/>
      <c r="E49" s="236"/>
      <c r="F49" s="19"/>
      <c r="G49" s="19"/>
      <c r="H49" s="228"/>
      <c r="J49" s="2"/>
      <c r="K49" s="2"/>
      <c r="L49" s="2"/>
      <c r="P49" s="46"/>
    </row>
    <row r="50" customFormat="false" ht="17.35" hidden="false" customHeight="false" outlineLevel="0" collapsed="false">
      <c r="A50" s="209"/>
      <c r="B50" s="246"/>
      <c r="C50" s="246"/>
      <c r="D50" s="207"/>
      <c r="E50" s="210"/>
      <c r="F50" s="0"/>
      <c r="G50" s="0"/>
      <c r="H50" s="0"/>
      <c r="I50" s="2"/>
      <c r="J50" s="2"/>
      <c r="K50" s="2"/>
      <c r="P50" s="46"/>
    </row>
    <row r="51" customFormat="false" ht="19.5" hidden="false" customHeight="true" outlineLevel="0" collapsed="false">
      <c r="A51" s="248" t="s">
        <v>28</v>
      </c>
      <c r="B51" s="249" t="s">
        <v>33</v>
      </c>
      <c r="C51" s="249"/>
      <c r="D51" s="207"/>
      <c r="E51" s="210"/>
      <c r="F51" s="0"/>
      <c r="G51" s="0"/>
      <c r="H51" s="0"/>
      <c r="I51" s="2"/>
      <c r="J51" s="2"/>
      <c r="K51" s="2"/>
      <c r="P51" s="46"/>
    </row>
    <row r="52" customFormat="false" ht="17.35" hidden="false" customHeight="false" outlineLevel="0" collapsed="false">
      <c r="A52" s="248"/>
      <c r="B52" s="250" t="str">
        <f aca="false">H30</f>
        <v>5000</v>
      </c>
      <c r="C52" s="250"/>
      <c r="D52" s="207"/>
      <c r="E52" s="210"/>
      <c r="F52" s="0"/>
      <c r="G52" s="0"/>
      <c r="H52" s="0"/>
      <c r="I52" s="2"/>
      <c r="J52" s="2"/>
      <c r="K52" s="2"/>
      <c r="P52" s="46"/>
    </row>
    <row r="53" customFormat="false" ht="17.35" hidden="false" customHeight="false" outlineLevel="0" collapsed="false">
      <c r="A53" s="251" t="str">
        <f aca="false">H29</f>
        <v>33</v>
      </c>
      <c r="B53" s="92" t="n">
        <f aca="false">H45</f>
        <v>514.606060606061</v>
      </c>
      <c r="C53" s="92"/>
      <c r="D53" s="207"/>
      <c r="E53" s="210"/>
      <c r="F53" s="0"/>
      <c r="G53" s="0"/>
      <c r="H53" s="0"/>
      <c r="I53" s="2"/>
      <c r="J53" s="2"/>
      <c r="K53" s="2"/>
      <c r="P53" s="46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2"/>
      <c r="J54" s="2"/>
      <c r="K54" s="2"/>
      <c r="P54" s="46"/>
    </row>
    <row r="55" customFormat="false" ht="17.35" hidden="false" customHeight="false" outlineLevel="0" collapsed="false">
      <c r="A55" s="45"/>
      <c r="B55" s="45"/>
      <c r="C55" s="45"/>
      <c r="D55" s="45"/>
      <c r="E55" s="45"/>
      <c r="F55" s="45"/>
      <c r="G55" s="45"/>
      <c r="H55" s="45"/>
      <c r="J55" s="2"/>
      <c r="K55" s="2"/>
      <c r="P55" s="46"/>
    </row>
    <row r="56" customFormat="false" ht="17.35" hidden="false" customHeight="false" outlineLevel="0" collapsed="false">
      <c r="A56" s="45"/>
      <c r="B56" s="45"/>
      <c r="C56" s="45"/>
      <c r="D56" s="45"/>
      <c r="E56" s="45"/>
      <c r="F56" s="45"/>
      <c r="G56" s="45"/>
      <c r="H56" s="45"/>
      <c r="J56" s="2"/>
      <c r="K56" s="2"/>
      <c r="P56" s="46"/>
    </row>
    <row r="57" customFormat="false" ht="17.35" hidden="false" customHeight="false" outlineLevel="0" collapsed="false">
      <c r="A57" s="48"/>
      <c r="B57" s="49"/>
      <c r="C57" s="49"/>
      <c r="D57" s="49"/>
      <c r="E57" s="93"/>
      <c r="F57" s="93"/>
      <c r="G57" s="93"/>
      <c r="H57" s="5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55" t="s">
        <v>46</v>
      </c>
      <c r="B58" s="25" t="n">
        <v>1</v>
      </c>
      <c r="C58" s="488"/>
      <c r="D58" s="25"/>
      <c r="E58" s="94"/>
      <c r="F58" s="94"/>
      <c r="G58" s="94"/>
      <c r="H58" s="2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55" t="s">
        <v>60</v>
      </c>
      <c r="B59" s="25" t="n">
        <f aca="false">B35-B58</f>
        <v>32</v>
      </c>
      <c r="C59" s="488"/>
      <c r="D59" s="25"/>
      <c r="E59" s="94"/>
      <c r="F59" s="94"/>
      <c r="G59" s="94"/>
      <c r="H59" s="2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95" t="s">
        <v>61</v>
      </c>
      <c r="B60" s="96" t="n">
        <v>10</v>
      </c>
      <c r="C60" s="488"/>
      <c r="D60" s="25"/>
      <c r="E60" s="94"/>
      <c r="F60" s="94"/>
      <c r="G60" s="94"/>
      <c r="H60" s="2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55" t="s">
        <v>16</v>
      </c>
      <c r="B61" s="25" t="n">
        <f aca="false">J18</f>
        <v>57885</v>
      </c>
      <c r="C61" s="488"/>
      <c r="D61" s="25"/>
      <c r="E61" s="94"/>
      <c r="F61" s="94"/>
      <c r="G61" s="94"/>
      <c r="H61" s="2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97" t="s">
        <v>62</v>
      </c>
      <c r="B62" s="98" t="n">
        <v>0</v>
      </c>
      <c r="C62" s="488"/>
      <c r="D62" s="25"/>
      <c r="E62" s="94"/>
      <c r="F62" s="94"/>
      <c r="G62" s="94"/>
      <c r="H62" s="20"/>
      <c r="J62" s="0"/>
      <c r="K62" s="489"/>
      <c r="L62" s="0"/>
      <c r="M62" s="0"/>
      <c r="N62" s="0"/>
      <c r="O62" s="0"/>
      <c r="P62" s="0"/>
      <c r="Q62" s="0"/>
      <c r="R62" s="0"/>
      <c r="S62" s="0"/>
      <c r="T62" s="489"/>
      <c r="U62" s="0"/>
      <c r="V62" s="0"/>
      <c r="W62" s="0"/>
      <c r="X62" s="0"/>
      <c r="Y62" s="0"/>
      <c r="Z62" s="0"/>
      <c r="AA62" s="0"/>
      <c r="AB62" s="0"/>
      <c r="AC62" s="489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99" t="s">
        <v>63</v>
      </c>
      <c r="B63" s="100" t="n">
        <v>0.065</v>
      </c>
      <c r="C63" s="488"/>
      <c r="D63" s="25"/>
      <c r="E63" s="94"/>
      <c r="F63" s="94"/>
      <c r="G63" s="94"/>
      <c r="H63" s="20"/>
      <c r="J63" s="0"/>
      <c r="K63" s="489"/>
      <c r="L63" s="0"/>
      <c r="M63" s="0"/>
      <c r="N63" s="0"/>
      <c r="O63" s="0"/>
      <c r="P63" s="0"/>
      <c r="Q63" s="0"/>
      <c r="R63" s="0"/>
      <c r="S63" s="0"/>
      <c r="T63" s="489"/>
      <c r="U63" s="0"/>
      <c r="V63" s="0"/>
      <c r="W63" s="0"/>
      <c r="X63" s="0"/>
      <c r="Y63" s="0"/>
      <c r="Z63" s="0"/>
      <c r="AA63" s="0"/>
      <c r="AB63" s="0"/>
      <c r="AC63" s="489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101" t="s">
        <v>64</v>
      </c>
      <c r="B64" s="102" t="n">
        <v>0.05</v>
      </c>
      <c r="C64" s="25"/>
      <c r="D64" s="25"/>
      <c r="E64" s="94"/>
      <c r="F64" s="94"/>
      <c r="G64" s="94"/>
      <c r="H64" s="20"/>
      <c r="J64" s="0"/>
      <c r="K64" s="489"/>
      <c r="L64" s="0"/>
      <c r="M64" s="0"/>
      <c r="N64" s="0"/>
      <c r="O64" s="0"/>
      <c r="P64" s="0"/>
      <c r="Q64" s="0"/>
      <c r="R64" s="0"/>
      <c r="S64" s="0"/>
      <c r="T64" s="489"/>
      <c r="U64" s="0"/>
      <c r="V64" s="0"/>
      <c r="W64" s="0"/>
      <c r="X64" s="0"/>
      <c r="Y64" s="0"/>
      <c r="Z64" s="0"/>
      <c r="AA64" s="0"/>
      <c r="AB64" s="0"/>
      <c r="AC64" s="489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74" t="s">
        <v>65</v>
      </c>
      <c r="B65" s="82" t="n">
        <f aca="false">(B89*B59)-B53</f>
        <v>50199.5187831396</v>
      </c>
      <c r="C65" s="25"/>
      <c r="D65" s="25"/>
      <c r="E65" s="94"/>
      <c r="F65" s="94"/>
      <c r="G65" s="94"/>
      <c r="H65" s="2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97" t="s">
        <v>66</v>
      </c>
      <c r="B66" s="98" t="n">
        <v>0.005</v>
      </c>
      <c r="C66" s="25"/>
      <c r="D66" s="25"/>
      <c r="E66" s="94"/>
      <c r="F66" s="94"/>
      <c r="G66" s="94"/>
      <c r="H66" s="20"/>
      <c r="J66" s="0"/>
      <c r="K66" s="489"/>
      <c r="L66" s="0"/>
      <c r="M66" s="0"/>
      <c r="N66" s="0"/>
      <c r="O66" s="0"/>
      <c r="P66" s="0"/>
      <c r="Q66" s="0"/>
      <c r="R66" s="0"/>
      <c r="S66" s="0"/>
      <c r="T66" s="489"/>
      <c r="U66" s="0"/>
      <c r="V66" s="0"/>
      <c r="W66" s="0"/>
      <c r="X66" s="0"/>
      <c r="Y66" s="0"/>
      <c r="Z66" s="0"/>
      <c r="AA66" s="0"/>
      <c r="AB66" s="0"/>
      <c r="AC66" s="489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55" t="s">
        <v>67</v>
      </c>
      <c r="B67" s="103" t="n">
        <f aca="false">B66+(B66*0.5*(H29/12-1))</f>
        <v>0.009375</v>
      </c>
      <c r="C67" s="25"/>
      <c r="D67" s="25"/>
      <c r="E67" s="94"/>
      <c r="F67" s="94"/>
      <c r="G67" s="94"/>
      <c r="H67" s="20"/>
      <c r="J67" s="0"/>
      <c r="K67" s="489"/>
      <c r="L67" s="0"/>
      <c r="M67" s="0"/>
      <c r="N67" s="0"/>
      <c r="O67" s="0"/>
      <c r="P67" s="0"/>
      <c r="Q67" s="0"/>
      <c r="R67" s="0"/>
      <c r="S67" s="0"/>
      <c r="T67" s="489"/>
      <c r="U67" s="0"/>
      <c r="V67" s="0"/>
      <c r="W67" s="0"/>
      <c r="X67" s="0"/>
      <c r="Y67" s="0"/>
      <c r="Z67" s="0"/>
      <c r="AA67" s="0"/>
      <c r="AB67" s="0"/>
      <c r="AC67" s="489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74" t="s">
        <v>68</v>
      </c>
      <c r="B68" s="82" t="n">
        <f aca="false">(G158*B67)</f>
        <v>548.671875</v>
      </c>
      <c r="C68" s="25"/>
      <c r="D68" s="25"/>
      <c r="E68" s="94"/>
      <c r="F68" s="94"/>
      <c r="G68" s="94"/>
      <c r="H68" s="2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97" t="s">
        <v>69</v>
      </c>
      <c r="B69" s="98" t="n">
        <v>0</v>
      </c>
      <c r="C69" s="490"/>
      <c r="D69" s="25"/>
      <c r="E69" s="94"/>
      <c r="F69" s="94"/>
      <c r="G69" s="94"/>
      <c r="H69" s="20"/>
      <c r="J69" s="0"/>
      <c r="K69" s="489"/>
      <c r="L69" s="0"/>
      <c r="M69" s="0"/>
      <c r="N69" s="0"/>
      <c r="O69" s="0"/>
      <c r="P69" s="0"/>
      <c r="Q69" s="0"/>
      <c r="R69" s="0"/>
      <c r="S69" s="0"/>
      <c r="T69" s="489"/>
      <c r="U69" s="0"/>
      <c r="V69" s="0"/>
      <c r="W69" s="0"/>
      <c r="X69" s="0"/>
      <c r="Y69" s="0"/>
      <c r="Z69" s="0"/>
      <c r="AA69" s="0"/>
      <c r="AB69" s="0"/>
      <c r="AC69" s="489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99" t="s">
        <v>70</v>
      </c>
      <c r="B70" s="100" t="n">
        <v>0</v>
      </c>
      <c r="C70" s="490"/>
      <c r="D70" s="25"/>
      <c r="E70" s="94"/>
      <c r="F70" s="94"/>
      <c r="G70" s="94"/>
      <c r="H70" s="20"/>
      <c r="J70" s="0"/>
      <c r="K70" s="489"/>
      <c r="L70" s="0"/>
      <c r="M70" s="0"/>
      <c r="N70" s="0"/>
      <c r="O70" s="0"/>
      <c r="P70" s="0"/>
      <c r="Q70" s="0"/>
      <c r="R70" s="0"/>
      <c r="S70" s="0"/>
      <c r="T70" s="489"/>
      <c r="U70" s="0"/>
      <c r="V70" s="0"/>
      <c r="W70" s="0"/>
      <c r="X70" s="0"/>
      <c r="Y70" s="0"/>
      <c r="Z70" s="0"/>
      <c r="AA70" s="0"/>
      <c r="AB70" s="0"/>
      <c r="AC70" s="489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74" t="s">
        <v>71</v>
      </c>
      <c r="B71" s="104" t="n">
        <f aca="false">B69*(1+B70)</f>
        <v>0</v>
      </c>
      <c r="C71" s="490"/>
      <c r="D71" s="25"/>
      <c r="E71" s="94"/>
      <c r="F71" s="94"/>
      <c r="G71" s="94"/>
      <c r="H71" s="20"/>
      <c r="J71" s="0"/>
      <c r="K71" s="489"/>
      <c r="L71" s="0"/>
      <c r="M71" s="0"/>
      <c r="N71" s="0"/>
      <c r="O71" s="0"/>
      <c r="P71" s="0"/>
      <c r="Q71" s="0"/>
      <c r="R71" s="0"/>
      <c r="S71" s="0"/>
      <c r="T71" s="489"/>
      <c r="U71" s="0"/>
      <c r="V71" s="0"/>
      <c r="W71" s="0"/>
      <c r="X71" s="0"/>
      <c r="Y71" s="0"/>
      <c r="Z71" s="0"/>
      <c r="AA71" s="0"/>
      <c r="AB71" s="0"/>
      <c r="AC71" s="489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97" t="s">
        <v>72</v>
      </c>
      <c r="B72" s="105" t="n">
        <v>0</v>
      </c>
      <c r="C72" s="490"/>
      <c r="D72" s="25"/>
      <c r="E72" s="94"/>
      <c r="F72" s="94"/>
      <c r="G72" s="94"/>
      <c r="H72" s="2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99" t="s">
        <v>73</v>
      </c>
      <c r="B73" s="96" t="n">
        <v>0</v>
      </c>
      <c r="C73" s="490"/>
      <c r="D73" s="25"/>
      <c r="E73" s="94"/>
      <c r="F73" s="94"/>
      <c r="G73" s="94"/>
      <c r="H73" s="2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74" t="s">
        <v>74</v>
      </c>
      <c r="B74" s="82" t="n">
        <f aca="false">B73*B35</f>
        <v>0</v>
      </c>
      <c r="C74" s="490"/>
      <c r="D74" s="25" t="n">
        <f aca="false">B74+B72</f>
        <v>0</v>
      </c>
      <c r="E74" s="94"/>
      <c r="F74" s="94"/>
      <c r="G74" s="94"/>
      <c r="H74" s="2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99" t="s">
        <v>75</v>
      </c>
      <c r="B75" s="96" t="n">
        <v>0</v>
      </c>
      <c r="C75" s="490"/>
      <c r="D75" s="25" t="n">
        <f aca="false">B75</f>
        <v>0</v>
      </c>
      <c r="E75" s="94"/>
      <c r="F75" s="94"/>
      <c r="G75" s="94"/>
      <c r="H75" s="2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101" t="s">
        <v>76</v>
      </c>
      <c r="B76" s="106" t="n">
        <v>0</v>
      </c>
      <c r="C76" s="490"/>
      <c r="D76" s="25" t="n">
        <f aca="false">B76</f>
        <v>0</v>
      </c>
      <c r="E76" s="94"/>
      <c r="F76" s="25"/>
      <c r="G76" s="94"/>
      <c r="H76" s="2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107" t="s">
        <v>77</v>
      </c>
      <c r="B77" s="108" t="n">
        <f aca="false">SUM(D65:D76)</f>
        <v>0</v>
      </c>
      <c r="C77" s="25"/>
      <c r="D77" s="25"/>
      <c r="E77" s="94"/>
      <c r="F77" s="25"/>
      <c r="G77" s="25"/>
      <c r="H77" s="2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55" t="s">
        <v>78</v>
      </c>
      <c r="B78" s="20" t="n">
        <f aca="false">B77/B35</f>
        <v>0</v>
      </c>
      <c r="C78" s="25"/>
      <c r="D78" s="25"/>
      <c r="E78" s="94"/>
      <c r="F78" s="94"/>
      <c r="G78" s="94"/>
      <c r="H78" s="2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109" t="s">
        <v>79</v>
      </c>
      <c r="B79" s="77" t="n">
        <f aca="false">H46</f>
        <v>500.363636363636</v>
      </c>
      <c r="C79" s="25"/>
      <c r="D79" s="25"/>
      <c r="E79" s="94"/>
      <c r="F79" s="94"/>
      <c r="G79" s="94"/>
      <c r="H79" s="2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55"/>
      <c r="B80" s="25"/>
      <c r="C80" s="25"/>
      <c r="D80" s="25"/>
      <c r="E80" s="94"/>
      <c r="F80" s="94"/>
      <c r="G80" s="94"/>
      <c r="H80" s="2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48" t="s">
        <v>80</v>
      </c>
      <c r="B81" s="50" t="n">
        <f aca="false">K36</f>
        <v>47877.5</v>
      </c>
      <c r="C81" s="25"/>
      <c r="D81" s="25"/>
      <c r="E81" s="94"/>
      <c r="F81" s="94"/>
      <c r="G81" s="94"/>
      <c r="H81" s="2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55" t="s">
        <v>47</v>
      </c>
      <c r="B82" s="20" t="n">
        <f aca="false">IF(A111="YES",D41,0)</f>
        <v>6000</v>
      </c>
      <c r="C82" s="25"/>
      <c r="D82" s="25"/>
      <c r="E82" s="94"/>
      <c r="F82" s="94"/>
      <c r="G82" s="94"/>
      <c r="H82" s="2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55" t="s">
        <v>81</v>
      </c>
      <c r="B83" s="110" t="n">
        <f aca="false">B62+B63+B64</f>
        <v>0.115</v>
      </c>
      <c r="C83" s="25"/>
      <c r="D83" s="25"/>
      <c r="E83" s="94"/>
      <c r="F83" s="94"/>
      <c r="G83" s="94"/>
      <c r="H83" s="20"/>
      <c r="J83" s="0"/>
      <c r="K83" s="489"/>
      <c r="L83" s="0"/>
      <c r="M83" s="0"/>
      <c r="N83" s="0"/>
      <c r="O83" s="0"/>
      <c r="P83" s="0"/>
      <c r="Q83" s="0"/>
      <c r="R83" s="0"/>
      <c r="S83" s="0"/>
      <c r="T83" s="489"/>
      <c r="U83" s="0"/>
      <c r="V83" s="0"/>
      <c r="W83" s="0"/>
      <c r="X83" s="0"/>
      <c r="Y83" s="0"/>
      <c r="Z83" s="0"/>
      <c r="AA83" s="0"/>
      <c r="AB83" s="0"/>
      <c r="AC83" s="489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55" t="s">
        <v>82</v>
      </c>
      <c r="B84" s="103" t="n">
        <f aca="false">B83/12</f>
        <v>0.00958333333333333</v>
      </c>
      <c r="C84" s="25"/>
      <c r="D84" s="25"/>
      <c r="E84" s="94"/>
      <c r="F84" s="94"/>
      <c r="G84" s="94"/>
      <c r="H84" s="20"/>
      <c r="J84" s="0"/>
      <c r="K84" s="489"/>
      <c r="L84" s="0"/>
      <c r="M84" s="0"/>
      <c r="N84" s="0"/>
      <c r="O84" s="0"/>
      <c r="P84" s="0"/>
      <c r="Q84" s="0"/>
      <c r="R84" s="0"/>
      <c r="S84" s="0"/>
      <c r="T84" s="489"/>
      <c r="U84" s="0"/>
      <c r="V84" s="0"/>
      <c r="W84" s="0"/>
      <c r="X84" s="0"/>
      <c r="Y84" s="0"/>
      <c r="Z84" s="0"/>
      <c r="AA84" s="0"/>
      <c r="AB84" s="0"/>
      <c r="AC84" s="489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55" t="s">
        <v>83</v>
      </c>
      <c r="B85" s="20" t="n">
        <f aca="false">IF(B82=0, (B59+B58), (B59))</f>
        <v>32</v>
      </c>
      <c r="C85" s="25"/>
      <c r="D85" s="25"/>
      <c r="E85" s="94"/>
      <c r="F85" s="94"/>
      <c r="G85" s="94"/>
      <c r="H85" s="2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55" t="s">
        <v>84</v>
      </c>
      <c r="B86" s="20" t="n">
        <f aca="false">(B82/((1+B84)^(B85+1)))</f>
        <v>4379.8532592462</v>
      </c>
      <c r="C86" s="25" t="n">
        <f aca="false">(B82/((1+B84)^(B85+1)))</f>
        <v>4379.8532592462</v>
      </c>
      <c r="D86" s="25"/>
      <c r="E86" s="94"/>
      <c r="F86" s="94"/>
      <c r="G86" s="94"/>
      <c r="H86" s="2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55" t="s">
        <v>85</v>
      </c>
      <c r="B87" s="20" t="n">
        <f aca="false">((1-(1/((1+B84)^B85)))/B84)</f>
        <v>27.4464895133802</v>
      </c>
      <c r="C87" s="25" t="n">
        <f aca="false">((1-(1/((1+B84)^B85)))/B84)</f>
        <v>27.4464895133802</v>
      </c>
      <c r="D87" s="25"/>
      <c r="E87" s="94"/>
      <c r="F87" s="94"/>
      <c r="G87" s="94"/>
      <c r="H87" s="2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55" t="s">
        <v>86</v>
      </c>
      <c r="B88" s="20" t="n">
        <f aca="false">B81-B86</f>
        <v>43497.6467407538</v>
      </c>
      <c r="C88" s="25" t="n">
        <f aca="false">B81-B86</f>
        <v>43497.6467407538</v>
      </c>
      <c r="D88" s="25"/>
      <c r="E88" s="94"/>
      <c r="F88" s="94"/>
      <c r="G88" s="94"/>
      <c r="H88" s="2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55" t="s">
        <v>87</v>
      </c>
      <c r="B89" s="20" t="n">
        <f aca="false">(B88/B87)</f>
        <v>1584.81640136705</v>
      </c>
      <c r="C89" s="25" t="n">
        <f aca="false">(B88/B87)</f>
        <v>1584.81640136705</v>
      </c>
      <c r="D89" s="25"/>
      <c r="E89" s="94"/>
      <c r="F89" s="94"/>
      <c r="G89" s="94"/>
      <c r="H89" s="2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55" t="s">
        <v>88</v>
      </c>
      <c r="B90" s="20" t="n">
        <f aca="false">((B89*(B85))+B77)</f>
        <v>50714.1248437457</v>
      </c>
      <c r="C90" s="25"/>
      <c r="D90" s="25"/>
      <c r="E90" s="94"/>
      <c r="F90" s="94"/>
      <c r="G90" s="94"/>
      <c r="H90" s="2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55" t="s">
        <v>89</v>
      </c>
      <c r="B91" s="20" t="n">
        <f aca="false">(((B89*(B85))+B77)/(1-B71))*B71</f>
        <v>0</v>
      </c>
      <c r="C91" s="25"/>
      <c r="D91" s="25"/>
      <c r="E91" s="94"/>
      <c r="F91" s="94"/>
      <c r="G91" s="94"/>
      <c r="H91" s="2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74" t="s">
        <v>90</v>
      </c>
      <c r="B92" s="82" t="n">
        <f aca="false">(B90+B91)</f>
        <v>50714.1248437457</v>
      </c>
      <c r="C92" s="25"/>
      <c r="D92" s="25"/>
      <c r="E92" s="94"/>
      <c r="F92" s="94"/>
      <c r="G92" s="94"/>
      <c r="H92" s="2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55"/>
      <c r="B93" s="25"/>
      <c r="C93" s="25"/>
      <c r="D93" s="25"/>
      <c r="E93" s="94"/>
      <c r="F93" s="94"/>
      <c r="G93" s="94"/>
      <c r="H93" s="2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107" t="s">
        <v>91</v>
      </c>
      <c r="B94" s="111" t="n">
        <f aca="false">IF(B38="YES",((H36/B85)*(1+A108)*1.2),"0")</f>
        <v>22.9125</v>
      </c>
      <c r="C94" s="25"/>
      <c r="D94" s="25"/>
      <c r="E94" s="94"/>
      <c r="F94" s="94"/>
      <c r="G94" s="94"/>
      <c r="H94" s="2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112" t="s">
        <v>92</v>
      </c>
      <c r="B95" s="113" t="n">
        <f aca="false">B92/(B85)</f>
        <v>1584.81640136705</v>
      </c>
      <c r="C95" s="25"/>
      <c r="D95" s="25"/>
      <c r="E95" s="94"/>
      <c r="F95" s="94"/>
      <c r="G95" s="94"/>
      <c r="H95" s="2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114" t="s">
        <v>93</v>
      </c>
      <c r="B96" s="115" t="n">
        <f aca="false">B94+B95</f>
        <v>1607.72890136705</v>
      </c>
      <c r="C96" s="25"/>
      <c r="D96" s="25"/>
      <c r="E96" s="94"/>
      <c r="F96" s="94"/>
      <c r="G96" s="94"/>
      <c r="H96" s="2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74"/>
      <c r="B97" s="75"/>
      <c r="C97" s="75"/>
      <c r="D97" s="75"/>
      <c r="E97" s="116"/>
      <c r="F97" s="116"/>
      <c r="G97" s="116"/>
      <c r="H97" s="82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45"/>
      <c r="B98" s="45"/>
      <c r="C98" s="45"/>
      <c r="D98" s="45"/>
      <c r="E98" s="45"/>
      <c r="F98" s="45"/>
      <c r="G98" s="45"/>
      <c r="H98" s="45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45"/>
      <c r="B99" s="45"/>
      <c r="C99" s="45"/>
      <c r="D99" s="45"/>
      <c r="E99" s="45"/>
      <c r="F99" s="45"/>
      <c r="G99" s="45"/>
      <c r="H99" s="45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4" t="s">
        <v>369</v>
      </c>
      <c r="B100" s="4"/>
      <c r="C100" s="4"/>
      <c r="D100" s="4"/>
      <c r="E100" s="4"/>
      <c r="F100" s="4"/>
      <c r="G100" s="4"/>
      <c r="H100" s="4"/>
      <c r="J100" s="486"/>
      <c r="K100" s="486"/>
      <c r="L100" s="486"/>
      <c r="M100" s="486"/>
      <c r="N100" s="486"/>
      <c r="O100" s="486"/>
      <c r="P100" s="486"/>
      <c r="Q100" s="486"/>
      <c r="R100" s="0"/>
      <c r="S100" s="486"/>
      <c r="T100" s="486"/>
      <c r="U100" s="486"/>
      <c r="V100" s="486"/>
      <c r="W100" s="486"/>
      <c r="X100" s="486"/>
      <c r="Y100" s="486"/>
      <c r="Z100" s="486"/>
      <c r="AA100" s="0"/>
      <c r="AB100" s="486"/>
      <c r="AC100" s="486"/>
      <c r="AD100" s="486"/>
      <c r="AE100" s="486"/>
      <c r="AF100" s="486"/>
      <c r="AG100" s="486"/>
      <c r="AH100" s="486"/>
      <c r="AI100" s="486"/>
    </row>
    <row r="101" customFormat="false" ht="17.35" hidden="false" customHeight="false" outlineLevel="0" collapsed="false">
      <c r="A101" s="48"/>
      <c r="B101" s="49"/>
      <c r="C101" s="49"/>
      <c r="D101" s="49"/>
      <c r="E101" s="93"/>
      <c r="F101" s="93"/>
      <c r="G101" s="93"/>
      <c r="H101" s="11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58" t="s">
        <v>26</v>
      </c>
      <c r="B102" s="58"/>
      <c r="C102" s="58"/>
      <c r="D102" s="58"/>
      <c r="E102" s="58"/>
      <c r="F102" s="58"/>
      <c r="G102" s="58"/>
      <c r="H102" s="58"/>
      <c r="J102" s="486"/>
      <c r="K102" s="486"/>
      <c r="L102" s="486"/>
      <c r="M102" s="486"/>
      <c r="N102" s="486"/>
      <c r="O102" s="486"/>
      <c r="P102" s="486"/>
      <c r="Q102" s="486"/>
      <c r="R102" s="0"/>
      <c r="S102" s="486"/>
      <c r="T102" s="486"/>
      <c r="U102" s="486"/>
      <c r="V102" s="486"/>
      <c r="W102" s="486"/>
      <c r="X102" s="486"/>
      <c r="Y102" s="486"/>
      <c r="Z102" s="486"/>
      <c r="AA102" s="0"/>
      <c r="AB102" s="486"/>
      <c r="AC102" s="486"/>
      <c r="AD102" s="486"/>
      <c r="AE102" s="486"/>
      <c r="AF102" s="486"/>
      <c r="AG102" s="486"/>
      <c r="AH102" s="486"/>
      <c r="AI102" s="486"/>
    </row>
    <row r="103" customFormat="false" ht="17.35" hidden="false" customHeight="false" outlineLevel="0" collapsed="false">
      <c r="A103" s="55"/>
      <c r="B103" s="25"/>
      <c r="C103" s="25"/>
      <c r="D103" s="25"/>
      <c r="E103" s="94"/>
      <c r="F103" s="94"/>
      <c r="G103" s="94"/>
      <c r="H103" s="11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9" t="s">
        <v>100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55" t="s">
        <v>98</v>
      </c>
      <c r="B104" s="25" t="s">
        <v>23</v>
      </c>
      <c r="C104" s="25"/>
      <c r="D104" s="25"/>
      <c r="E104" s="25" t="s">
        <v>22</v>
      </c>
      <c r="F104" s="25"/>
      <c r="G104" s="25"/>
      <c r="H104" s="2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9" t="s">
        <v>253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51" t="s">
        <v>99</v>
      </c>
      <c r="B105" s="37" t="s">
        <v>100</v>
      </c>
      <c r="C105" s="37"/>
      <c r="D105" s="37"/>
      <c r="E105" s="60" t="s">
        <v>9</v>
      </c>
      <c r="F105" s="60"/>
      <c r="G105" s="60"/>
      <c r="H105" s="118"/>
      <c r="J105" s="0"/>
      <c r="K105" s="486"/>
      <c r="L105" s="486"/>
      <c r="M105" s="486"/>
      <c r="N105" s="486"/>
      <c r="O105" s="486"/>
      <c r="P105" s="486"/>
      <c r="Q105" s="0"/>
      <c r="R105" s="0"/>
      <c r="S105" s="0"/>
      <c r="T105" s="486"/>
      <c r="U105" s="486"/>
      <c r="V105" s="486"/>
      <c r="W105" s="486"/>
      <c r="X105" s="486"/>
      <c r="Y105" s="486"/>
      <c r="Z105" s="19" t="s">
        <v>257</v>
      </c>
      <c r="AA105" s="0"/>
      <c r="AB105" s="0"/>
      <c r="AC105" s="486"/>
      <c r="AD105" s="486"/>
      <c r="AE105" s="486"/>
      <c r="AF105" s="486"/>
      <c r="AG105" s="486"/>
      <c r="AH105" s="486"/>
      <c r="AI105" s="0"/>
    </row>
    <row r="106" customFormat="false" ht="17.35" hidden="false" customHeight="false" outlineLevel="0" collapsed="false">
      <c r="A106" s="55"/>
      <c r="B106" s="25"/>
      <c r="C106" s="25"/>
      <c r="D106" s="94"/>
      <c r="E106" s="25"/>
      <c r="F106" s="25"/>
      <c r="G106" s="94"/>
      <c r="H106" s="2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9" t="s">
        <v>258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55" t="s">
        <v>101</v>
      </c>
      <c r="B107" s="25" t="s">
        <v>102</v>
      </c>
      <c r="C107" s="25"/>
      <c r="D107" s="94"/>
      <c r="E107" s="25" t="s">
        <v>103</v>
      </c>
      <c r="F107" s="25"/>
      <c r="G107" s="94"/>
      <c r="H107" s="11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9" t="s">
        <v>262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91" t="n">
        <v>0.3</v>
      </c>
      <c r="B108" s="72" t="s">
        <v>364</v>
      </c>
      <c r="C108" s="72"/>
      <c r="D108" s="72"/>
      <c r="E108" s="121" t="n">
        <f aca="false">B83</f>
        <v>0.115</v>
      </c>
      <c r="F108" s="121"/>
      <c r="G108" s="121"/>
      <c r="H108" s="65"/>
      <c r="J108" s="489"/>
      <c r="K108" s="486"/>
      <c r="L108" s="486"/>
      <c r="M108" s="486"/>
      <c r="N108" s="489"/>
      <c r="O108" s="489"/>
      <c r="P108" s="489"/>
      <c r="Q108" s="0"/>
      <c r="R108" s="0"/>
      <c r="S108" s="489"/>
      <c r="T108" s="486"/>
      <c r="U108" s="486"/>
      <c r="V108" s="486"/>
      <c r="W108" s="489"/>
      <c r="X108" s="489"/>
      <c r="Y108" s="489"/>
      <c r="Z108" s="19" t="s">
        <v>256</v>
      </c>
      <c r="AA108" s="0"/>
      <c r="AB108" s="489"/>
      <c r="AC108" s="486"/>
      <c r="AD108" s="486"/>
      <c r="AE108" s="486"/>
      <c r="AF108" s="489"/>
      <c r="AG108" s="489"/>
      <c r="AH108" s="489"/>
      <c r="AI108" s="0"/>
      <c r="AP108" s="1" t="s">
        <v>106</v>
      </c>
    </row>
    <row r="109" customFormat="false" ht="17.35" hidden="false" customHeight="false" outlineLevel="0" collapsed="false">
      <c r="A109" s="55"/>
      <c r="B109" s="25"/>
      <c r="C109" s="25"/>
      <c r="D109" s="25"/>
      <c r="E109" s="25"/>
      <c r="F109" s="25"/>
      <c r="G109" s="25"/>
      <c r="H109" s="2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9" t="s">
        <v>255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" t="s">
        <v>104</v>
      </c>
    </row>
    <row r="110" customFormat="false" ht="17.35" hidden="false" customHeight="false" outlineLevel="0" collapsed="false">
      <c r="A110" s="55" t="s">
        <v>107</v>
      </c>
      <c r="B110" s="25" t="s">
        <v>108</v>
      </c>
      <c r="C110" s="25"/>
      <c r="D110" s="25"/>
      <c r="E110" s="25" t="s">
        <v>109</v>
      </c>
      <c r="F110" s="25"/>
      <c r="G110" s="25"/>
      <c r="H110" s="2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9" t="s">
        <v>263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52" t="s">
        <v>9</v>
      </c>
      <c r="B111" s="72" t="n">
        <v>0</v>
      </c>
      <c r="C111" s="72"/>
      <c r="D111" s="72"/>
      <c r="E111" s="72" t="n">
        <v>0</v>
      </c>
      <c r="F111" s="72"/>
      <c r="G111" s="72"/>
      <c r="H111" s="118"/>
      <c r="J111" s="0"/>
      <c r="K111" s="486"/>
      <c r="L111" s="486"/>
      <c r="M111" s="486"/>
      <c r="N111" s="486"/>
      <c r="O111" s="486"/>
      <c r="P111" s="486"/>
      <c r="Q111" s="0"/>
      <c r="R111" s="0"/>
      <c r="S111" s="0"/>
      <c r="T111" s="486"/>
      <c r="U111" s="486"/>
      <c r="V111" s="486"/>
      <c r="W111" s="486"/>
      <c r="X111" s="486"/>
      <c r="Y111" s="486"/>
      <c r="Z111" s="19" t="s">
        <v>265</v>
      </c>
      <c r="AA111" s="0"/>
      <c r="AB111" s="0"/>
      <c r="AC111" s="486"/>
      <c r="AD111" s="486"/>
      <c r="AE111" s="486"/>
      <c r="AF111" s="486"/>
      <c r="AG111" s="486"/>
      <c r="AH111" s="486"/>
      <c r="AI111" s="0"/>
    </row>
    <row r="112" customFormat="false" ht="17.35" hidden="false" customHeight="false" outlineLevel="0" collapsed="false">
      <c r="A112" s="55"/>
      <c r="B112" s="25"/>
      <c r="C112" s="25"/>
      <c r="D112" s="25"/>
      <c r="E112" s="25"/>
      <c r="F112" s="25"/>
      <c r="G112" s="94"/>
      <c r="H112" s="11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123" t="s">
        <v>110</v>
      </c>
      <c r="B113" s="25" t="s">
        <v>111</v>
      </c>
      <c r="C113" s="25"/>
      <c r="D113" s="25"/>
      <c r="E113" s="25" t="s">
        <v>112</v>
      </c>
      <c r="F113" s="25"/>
      <c r="G113" s="94"/>
      <c r="H113" s="11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70" t="n">
        <f aca="false">B111+E111</f>
        <v>0</v>
      </c>
      <c r="B114" s="72" t="s">
        <v>113</v>
      </c>
      <c r="C114" s="72"/>
      <c r="D114" s="72"/>
      <c r="E114" s="72" t="n">
        <v>0</v>
      </c>
      <c r="F114" s="72"/>
      <c r="G114" s="72"/>
      <c r="H114" s="118"/>
      <c r="J114" s="0"/>
      <c r="K114" s="486"/>
      <c r="L114" s="486"/>
      <c r="M114" s="486"/>
      <c r="N114" s="486"/>
      <c r="O114" s="486"/>
      <c r="P114" s="486"/>
      <c r="Q114" s="0"/>
      <c r="R114" s="0"/>
      <c r="S114" s="0"/>
      <c r="T114" s="486"/>
      <c r="U114" s="486"/>
      <c r="V114" s="486"/>
      <c r="W114" s="486"/>
      <c r="X114" s="486"/>
      <c r="Y114" s="486"/>
      <c r="Z114" s="0"/>
      <c r="AA114" s="0"/>
      <c r="AB114" s="0"/>
      <c r="AC114" s="486"/>
      <c r="AD114" s="486"/>
      <c r="AE114" s="486"/>
      <c r="AF114" s="486"/>
      <c r="AG114" s="486"/>
      <c r="AH114" s="486"/>
      <c r="AI114" s="0"/>
    </row>
    <row r="115" customFormat="false" ht="13.8" hidden="false" customHeight="false" outlineLevel="0" collapsed="false">
      <c r="A115" s="124"/>
      <c r="B115" s="94"/>
      <c r="C115" s="94"/>
      <c r="D115" s="94"/>
      <c r="E115" s="94"/>
      <c r="F115" s="94"/>
      <c r="G115" s="94"/>
      <c r="H115" s="11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124"/>
      <c r="B116" s="94"/>
      <c r="C116" s="94"/>
      <c r="D116" s="94"/>
      <c r="E116" s="94"/>
      <c r="F116" s="94"/>
      <c r="G116" s="94"/>
      <c r="H116" s="11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58" t="s">
        <v>114</v>
      </c>
      <c r="B117" s="58"/>
      <c r="C117" s="58"/>
      <c r="D117" s="58"/>
      <c r="E117" s="58"/>
      <c r="F117" s="58"/>
      <c r="G117" s="58"/>
      <c r="H117" s="58"/>
      <c r="J117" s="486"/>
      <c r="K117" s="486"/>
      <c r="L117" s="486"/>
      <c r="M117" s="486"/>
      <c r="N117" s="486"/>
      <c r="O117" s="486"/>
      <c r="P117" s="486"/>
      <c r="Q117" s="486"/>
      <c r="R117" s="0"/>
      <c r="S117" s="486"/>
      <c r="T117" s="486"/>
      <c r="U117" s="486"/>
      <c r="V117" s="486"/>
      <c r="W117" s="486"/>
      <c r="X117" s="486"/>
      <c r="Y117" s="486"/>
      <c r="Z117" s="486"/>
      <c r="AA117" s="0"/>
      <c r="AB117" s="486"/>
      <c r="AC117" s="486"/>
      <c r="AD117" s="486"/>
      <c r="AE117" s="486"/>
      <c r="AF117" s="486"/>
      <c r="AG117" s="486"/>
      <c r="AH117" s="486"/>
      <c r="AI117" s="486"/>
    </row>
    <row r="118" customFormat="false" ht="13.8" hidden="false" customHeight="false" outlineLevel="0" collapsed="false">
      <c r="A118" s="124"/>
      <c r="B118" s="94"/>
      <c r="C118" s="94"/>
      <c r="D118" s="94"/>
      <c r="E118" s="94"/>
      <c r="F118" s="94"/>
      <c r="G118" s="94"/>
      <c r="H118" s="11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97"/>
      <c r="B119" s="125" t="s">
        <v>115</v>
      </c>
      <c r="C119" s="125"/>
      <c r="D119" s="125" t="s">
        <v>116</v>
      </c>
      <c r="E119" s="125"/>
      <c r="F119" s="125" t="s">
        <v>117</v>
      </c>
      <c r="G119" s="125"/>
      <c r="H119" s="126" t="s">
        <v>118</v>
      </c>
      <c r="J119" s="0"/>
      <c r="K119" s="486"/>
      <c r="L119" s="486"/>
      <c r="M119" s="486"/>
      <c r="N119" s="486"/>
      <c r="O119" s="486"/>
      <c r="P119" s="486"/>
      <c r="Q119" s="0"/>
      <c r="R119" s="0"/>
      <c r="S119" s="0"/>
      <c r="T119" s="486"/>
      <c r="U119" s="486"/>
      <c r="V119" s="486"/>
      <c r="W119" s="486"/>
      <c r="X119" s="486"/>
      <c r="Y119" s="486"/>
      <c r="Z119" s="0"/>
      <c r="AA119" s="0"/>
      <c r="AB119" s="0"/>
      <c r="AC119" s="486"/>
      <c r="AD119" s="486"/>
      <c r="AE119" s="486"/>
      <c r="AF119" s="486"/>
      <c r="AG119" s="486"/>
      <c r="AH119" s="486"/>
      <c r="AI119" s="0"/>
    </row>
    <row r="120" customFormat="false" ht="19.7" hidden="false" customHeight="false" outlineLevel="0" collapsed="false">
      <c r="A120" s="99"/>
      <c r="B120" s="127" t="s">
        <v>119</v>
      </c>
      <c r="C120" s="128" t="s">
        <v>120</v>
      </c>
      <c r="D120" s="127" t="s">
        <v>119</v>
      </c>
      <c r="E120" s="129" t="s">
        <v>120</v>
      </c>
      <c r="F120" s="127" t="s">
        <v>119</v>
      </c>
      <c r="G120" s="129" t="s">
        <v>120</v>
      </c>
      <c r="H120" s="13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48" t="s">
        <v>121</v>
      </c>
      <c r="B121" s="131" t="n">
        <f aca="false">B3</f>
        <v>46854.17</v>
      </c>
      <c r="C121" s="132" t="n">
        <f aca="false">B121</f>
        <v>46854.17</v>
      </c>
      <c r="D121" s="131" t="n">
        <f aca="false">D3</f>
        <v>0</v>
      </c>
      <c r="E121" s="132" t="n">
        <f aca="false">D121</f>
        <v>0</v>
      </c>
      <c r="F121" s="131" t="n">
        <f aca="false">F3</f>
        <v>833.33</v>
      </c>
      <c r="G121" s="132" t="n">
        <f aca="false">F121</f>
        <v>833.33</v>
      </c>
      <c r="H121" s="13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55" t="s">
        <v>122</v>
      </c>
      <c r="B122" s="134" t="n">
        <f aca="false">B4</f>
        <v>0</v>
      </c>
      <c r="C122" s="17" t="n">
        <f aca="false">B122</f>
        <v>0</v>
      </c>
      <c r="D122" s="134" t="n">
        <f aca="false">D4</f>
        <v>0</v>
      </c>
      <c r="E122" s="17" t="n">
        <f aca="false">D122</f>
        <v>0</v>
      </c>
      <c r="F122" s="134" t="n">
        <f aca="false">F4</f>
        <v>0</v>
      </c>
      <c r="G122" s="492" t="n">
        <f aca="false">F122</f>
        <v>0</v>
      </c>
      <c r="H122" s="18"/>
      <c r="J122" s="0"/>
      <c r="K122" s="489"/>
      <c r="L122" s="489"/>
      <c r="M122" s="489"/>
      <c r="N122" s="489"/>
      <c r="O122" s="489"/>
      <c r="P122" s="489"/>
      <c r="Q122" s="489"/>
      <c r="R122" s="0"/>
      <c r="S122" s="0"/>
      <c r="T122" s="489"/>
      <c r="U122" s="489"/>
      <c r="V122" s="489"/>
      <c r="W122" s="489"/>
      <c r="X122" s="489"/>
      <c r="Y122" s="489"/>
      <c r="Z122" s="489"/>
      <c r="AA122" s="0"/>
      <c r="AB122" s="0"/>
      <c r="AC122" s="489"/>
      <c r="AD122" s="489"/>
      <c r="AE122" s="489"/>
      <c r="AF122" s="489"/>
      <c r="AG122" s="489"/>
      <c r="AH122" s="489"/>
      <c r="AI122" s="489"/>
    </row>
    <row r="123" customFormat="false" ht="17.35" hidden="false" customHeight="false" outlineLevel="0" collapsed="false">
      <c r="A123" s="55" t="s">
        <v>123</v>
      </c>
      <c r="B123" s="136" t="n">
        <f aca="false">B5</f>
        <v>0</v>
      </c>
      <c r="C123" s="132" t="n">
        <f aca="false">B123</f>
        <v>0</v>
      </c>
      <c r="D123" s="136" t="n">
        <f aca="false">D5</f>
        <v>0</v>
      </c>
      <c r="E123" s="132" t="n">
        <f aca="false">D123</f>
        <v>0</v>
      </c>
      <c r="F123" s="136" t="n">
        <f aca="false">F5</f>
        <v>0</v>
      </c>
      <c r="G123" s="132" t="n">
        <f aca="false">F123</f>
        <v>0</v>
      </c>
      <c r="H123" s="2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55" t="s">
        <v>124</v>
      </c>
      <c r="B124" s="136" t="n">
        <f aca="false">(B121*B122)+B123</f>
        <v>0</v>
      </c>
      <c r="C124" s="137" t="n">
        <f aca="false">(C121*C122/100)+C123</f>
        <v>0</v>
      </c>
      <c r="D124" s="136" t="n">
        <f aca="false">(D121*D122)+D123</f>
        <v>0</v>
      </c>
      <c r="E124" s="137" t="n">
        <f aca="false">(E121*E122/100)+E123</f>
        <v>0</v>
      </c>
      <c r="F124" s="136" t="n">
        <f aca="false">(F121*F122)+F123</f>
        <v>0</v>
      </c>
      <c r="G124" s="137" t="n">
        <f aca="false">(G121*G122/100)+G123</f>
        <v>0</v>
      </c>
      <c r="H124" s="2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74" t="s">
        <v>125</v>
      </c>
      <c r="B125" s="138" t="n">
        <f aca="false">B121-B124</f>
        <v>46854.17</v>
      </c>
      <c r="C125" s="139" t="n">
        <f aca="false">C121-C124</f>
        <v>46854.17</v>
      </c>
      <c r="D125" s="138" t="n">
        <f aca="false">D121-D124</f>
        <v>0</v>
      </c>
      <c r="E125" s="139" t="n">
        <f aca="false">E121-E124</f>
        <v>0</v>
      </c>
      <c r="F125" s="138" t="n">
        <f aca="false">F121-F124</f>
        <v>833.33</v>
      </c>
      <c r="G125" s="139" t="n">
        <f aca="false">G121-G124</f>
        <v>833.33</v>
      </c>
      <c r="H125" s="82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55"/>
      <c r="B126" s="25"/>
      <c r="C126" s="25"/>
      <c r="D126" s="25"/>
      <c r="E126" s="25"/>
      <c r="F126" s="25"/>
      <c r="G126" s="25"/>
      <c r="H126" s="2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140"/>
      <c r="B127" s="141"/>
      <c r="C127" s="141"/>
      <c r="D127" s="141"/>
      <c r="E127" s="141"/>
      <c r="F127" s="141"/>
      <c r="G127" s="29" t="s">
        <v>119</v>
      </c>
      <c r="H127" s="142" t="s">
        <v>120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143" t="s">
        <v>126</v>
      </c>
      <c r="B128" s="144"/>
      <c r="C128" s="144"/>
      <c r="D128" s="144"/>
      <c r="E128" s="144"/>
      <c r="F128" s="144"/>
      <c r="G128" s="145" t="n">
        <f aca="false">H121</f>
        <v>0</v>
      </c>
      <c r="H128" s="146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55"/>
      <c r="B129" s="25"/>
      <c r="C129" s="25"/>
      <c r="D129" s="25"/>
      <c r="E129" s="25"/>
      <c r="F129" s="25"/>
      <c r="G129" s="147"/>
      <c r="H129" s="148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149" t="s">
        <v>127</v>
      </c>
      <c r="B130" s="147" t="s">
        <v>128</v>
      </c>
      <c r="C130" s="147"/>
      <c r="D130" s="147" t="s">
        <v>129</v>
      </c>
      <c r="E130" s="147"/>
      <c r="F130" s="147" t="s">
        <v>123</v>
      </c>
      <c r="G130" s="147"/>
      <c r="H130" s="148" t="s">
        <v>120</v>
      </c>
      <c r="J130" s="0"/>
      <c r="K130" s="486"/>
      <c r="L130" s="486"/>
      <c r="M130" s="486"/>
      <c r="N130" s="486"/>
      <c r="O130" s="486"/>
      <c r="P130" s="486"/>
      <c r="Q130" s="0"/>
      <c r="R130" s="0"/>
      <c r="S130" s="0"/>
      <c r="T130" s="486"/>
      <c r="U130" s="486"/>
      <c r="V130" s="486"/>
      <c r="W130" s="486"/>
      <c r="X130" s="486"/>
      <c r="Y130" s="486"/>
      <c r="Z130" s="0"/>
      <c r="AA130" s="0"/>
      <c r="AB130" s="0"/>
      <c r="AC130" s="486"/>
      <c r="AD130" s="486"/>
      <c r="AE130" s="486"/>
      <c r="AF130" s="486"/>
      <c r="AG130" s="486"/>
      <c r="AH130" s="486"/>
      <c r="AI130" s="0"/>
    </row>
    <row r="131" customFormat="false" ht="17.35" hidden="false" customHeight="false" outlineLevel="0" collapsed="false">
      <c r="A131" s="55" t="s">
        <v>130</v>
      </c>
      <c r="B131" s="150" t="n">
        <f aca="false">G128</f>
        <v>0</v>
      </c>
      <c r="C131" s="150"/>
      <c r="D131" s="151" t="n">
        <v>0</v>
      </c>
      <c r="E131" s="151"/>
      <c r="F131" s="150" t="n">
        <v>0</v>
      </c>
      <c r="G131" s="150"/>
      <c r="H131" s="152" t="n">
        <f aca="false">(B131-(B131*D131))-F131</f>
        <v>0</v>
      </c>
      <c r="J131" s="0"/>
      <c r="K131" s="486"/>
      <c r="L131" s="486"/>
      <c r="M131" s="489"/>
      <c r="N131" s="489"/>
      <c r="O131" s="486"/>
      <c r="P131" s="486"/>
      <c r="Q131" s="0"/>
      <c r="R131" s="0"/>
      <c r="S131" s="0"/>
      <c r="T131" s="486"/>
      <c r="U131" s="486"/>
      <c r="V131" s="489"/>
      <c r="W131" s="489"/>
      <c r="X131" s="486"/>
      <c r="Y131" s="486"/>
      <c r="Z131" s="0"/>
      <c r="AA131" s="0"/>
      <c r="AB131" s="0"/>
      <c r="AC131" s="486"/>
      <c r="AD131" s="486"/>
      <c r="AE131" s="489"/>
      <c r="AF131" s="489"/>
      <c r="AG131" s="486"/>
      <c r="AH131" s="486"/>
      <c r="AI131" s="0"/>
    </row>
    <row r="132" customFormat="false" ht="17.35" hidden="false" customHeight="false" outlineLevel="0" collapsed="false">
      <c r="A132" s="55" t="s">
        <v>131</v>
      </c>
      <c r="B132" s="150" t="n">
        <v>0</v>
      </c>
      <c r="C132" s="150"/>
      <c r="D132" s="151" t="n">
        <v>0</v>
      </c>
      <c r="E132" s="151"/>
      <c r="F132" s="150" t="n">
        <v>0</v>
      </c>
      <c r="G132" s="150"/>
      <c r="H132" s="152" t="n">
        <f aca="false">(B132-(B132*D132))-F132</f>
        <v>0</v>
      </c>
      <c r="J132" s="0"/>
      <c r="K132" s="486"/>
      <c r="L132" s="486"/>
      <c r="M132" s="489"/>
      <c r="N132" s="489"/>
      <c r="O132" s="486"/>
      <c r="P132" s="486"/>
      <c r="Q132" s="0"/>
      <c r="R132" s="0"/>
      <c r="S132" s="0"/>
      <c r="T132" s="486"/>
      <c r="U132" s="486"/>
      <c r="V132" s="489"/>
      <c r="W132" s="489"/>
      <c r="X132" s="486"/>
      <c r="Y132" s="486"/>
      <c r="Z132" s="0"/>
      <c r="AA132" s="0"/>
      <c r="AB132" s="0"/>
      <c r="AC132" s="486"/>
      <c r="AD132" s="486"/>
      <c r="AE132" s="489"/>
      <c r="AF132" s="489"/>
      <c r="AG132" s="486"/>
      <c r="AH132" s="486"/>
      <c r="AI132" s="0"/>
    </row>
    <row r="133" customFormat="false" ht="17.35" hidden="false" customHeight="false" outlineLevel="0" collapsed="false">
      <c r="A133" s="55" t="s">
        <v>132</v>
      </c>
      <c r="B133" s="150" t="n">
        <v>0</v>
      </c>
      <c r="C133" s="150"/>
      <c r="D133" s="151" t="n">
        <v>0</v>
      </c>
      <c r="E133" s="151"/>
      <c r="F133" s="150" t="n">
        <v>0</v>
      </c>
      <c r="G133" s="150"/>
      <c r="H133" s="152" t="n">
        <f aca="false">(B133-(B133*D133))-F133</f>
        <v>0</v>
      </c>
      <c r="J133" s="0"/>
      <c r="K133" s="486"/>
      <c r="L133" s="486"/>
      <c r="M133" s="489"/>
      <c r="N133" s="489"/>
      <c r="O133" s="486"/>
      <c r="P133" s="486"/>
      <c r="Q133" s="0"/>
      <c r="R133" s="0"/>
      <c r="S133" s="0"/>
      <c r="T133" s="486"/>
      <c r="U133" s="486"/>
      <c r="V133" s="489"/>
      <c r="W133" s="489"/>
      <c r="X133" s="486"/>
      <c r="Y133" s="486"/>
      <c r="Z133" s="0"/>
      <c r="AA133" s="0"/>
      <c r="AB133" s="0"/>
      <c r="AC133" s="486"/>
      <c r="AD133" s="486"/>
      <c r="AE133" s="489"/>
      <c r="AF133" s="489"/>
      <c r="AG133" s="486"/>
      <c r="AH133" s="486"/>
      <c r="AI133" s="0"/>
    </row>
    <row r="134" customFormat="false" ht="17.35" hidden="false" customHeight="false" outlineLevel="0" collapsed="false">
      <c r="A134" s="55"/>
      <c r="B134" s="25"/>
      <c r="C134" s="25"/>
      <c r="D134" s="25"/>
      <c r="E134" s="25"/>
      <c r="F134" s="25"/>
      <c r="G134" s="147"/>
      <c r="H134" s="148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153" t="s">
        <v>133</v>
      </c>
      <c r="B135" s="153"/>
      <c r="C135" s="153"/>
      <c r="D135" s="153"/>
      <c r="E135" s="153"/>
      <c r="F135" s="153"/>
      <c r="G135" s="29" t="n">
        <f aca="false">H9</f>
        <v>47687.5</v>
      </c>
      <c r="H135" s="154" t="n">
        <f aca="false">C125+E125+G125+H128</f>
        <v>47687.5</v>
      </c>
      <c r="J135" s="486"/>
      <c r="K135" s="486"/>
      <c r="L135" s="486"/>
      <c r="M135" s="486"/>
      <c r="N135" s="486"/>
      <c r="O135" s="486"/>
      <c r="P135" s="0"/>
      <c r="Q135" s="0"/>
      <c r="R135" s="0"/>
      <c r="S135" s="486"/>
      <c r="T135" s="486"/>
      <c r="U135" s="486"/>
      <c r="V135" s="486"/>
      <c r="W135" s="486"/>
      <c r="X135" s="486"/>
      <c r="Y135" s="0"/>
      <c r="Z135" s="0"/>
      <c r="AA135" s="0"/>
      <c r="AB135" s="486"/>
      <c r="AC135" s="486"/>
      <c r="AD135" s="486"/>
      <c r="AE135" s="486"/>
      <c r="AF135" s="486"/>
      <c r="AG135" s="486"/>
      <c r="AH135" s="0"/>
      <c r="AI135" s="0"/>
    </row>
    <row r="136" customFormat="false" ht="17.35" hidden="false" customHeight="false" outlineLevel="0" collapsed="false">
      <c r="A136" s="155" t="s">
        <v>134</v>
      </c>
      <c r="B136" s="155"/>
      <c r="C136" s="155"/>
      <c r="D136" s="155"/>
      <c r="E136" s="155"/>
      <c r="F136" s="155"/>
      <c r="G136" s="21" t="n">
        <f aca="false">H10</f>
        <v>550</v>
      </c>
      <c r="H136" s="20" t="n">
        <f aca="false">G136</f>
        <v>550</v>
      </c>
      <c r="J136" s="486"/>
      <c r="K136" s="486"/>
      <c r="L136" s="486"/>
      <c r="M136" s="486"/>
      <c r="N136" s="486"/>
      <c r="O136" s="486"/>
      <c r="P136" s="0"/>
      <c r="Q136" s="0"/>
      <c r="R136" s="0"/>
      <c r="S136" s="486"/>
      <c r="T136" s="486"/>
      <c r="U136" s="486"/>
      <c r="V136" s="486"/>
      <c r="W136" s="486"/>
      <c r="X136" s="486"/>
      <c r="Y136" s="0"/>
      <c r="Z136" s="0"/>
      <c r="AA136" s="0"/>
      <c r="AB136" s="486"/>
      <c r="AC136" s="486"/>
      <c r="AD136" s="486"/>
      <c r="AE136" s="486"/>
      <c r="AF136" s="486"/>
      <c r="AG136" s="486"/>
      <c r="AH136" s="0"/>
      <c r="AI136" s="0"/>
    </row>
    <row r="137" customFormat="false" ht="17.35" hidden="false" customHeight="false" outlineLevel="0" collapsed="false">
      <c r="A137" s="155" t="s">
        <v>135</v>
      </c>
      <c r="B137" s="155"/>
      <c r="C137" s="155"/>
      <c r="D137" s="155"/>
      <c r="E137" s="155"/>
      <c r="F137" s="155"/>
      <c r="G137" s="21" t="n">
        <f aca="false">H11</f>
        <v>9647.5</v>
      </c>
      <c r="H137" s="20" t="n">
        <f aca="false">(H135+H136)*20%</f>
        <v>9647.5</v>
      </c>
      <c r="J137" s="486"/>
      <c r="K137" s="486"/>
      <c r="L137" s="486"/>
      <c r="M137" s="486"/>
      <c r="N137" s="486"/>
      <c r="O137" s="486"/>
      <c r="P137" s="0"/>
      <c r="Q137" s="0"/>
      <c r="R137" s="0"/>
      <c r="S137" s="486"/>
      <c r="T137" s="486"/>
      <c r="U137" s="486"/>
      <c r="V137" s="486"/>
      <c r="W137" s="486"/>
      <c r="X137" s="486"/>
      <c r="Y137" s="0"/>
      <c r="Z137" s="0"/>
      <c r="AA137" s="0"/>
      <c r="AB137" s="486"/>
      <c r="AC137" s="486"/>
      <c r="AD137" s="486"/>
      <c r="AE137" s="486"/>
      <c r="AF137" s="486"/>
      <c r="AG137" s="486"/>
      <c r="AH137" s="0"/>
      <c r="AI137" s="0"/>
    </row>
    <row r="138" customFormat="false" ht="17.35" hidden="false" customHeight="false" outlineLevel="0" collapsed="false">
      <c r="A138" s="155" t="s">
        <v>136</v>
      </c>
      <c r="B138" s="155"/>
      <c r="C138" s="155"/>
      <c r="D138" s="155"/>
      <c r="E138" s="155"/>
      <c r="F138" s="155"/>
      <c r="G138" s="21" t="n">
        <f aca="false">H12</f>
        <v>0</v>
      </c>
      <c r="H138" s="20" t="n">
        <v>0</v>
      </c>
      <c r="J138" s="486"/>
      <c r="K138" s="486"/>
      <c r="L138" s="486"/>
      <c r="M138" s="486"/>
      <c r="N138" s="486"/>
      <c r="O138" s="486"/>
      <c r="P138" s="0"/>
      <c r="Q138" s="0"/>
      <c r="R138" s="0"/>
      <c r="S138" s="486"/>
      <c r="T138" s="486"/>
      <c r="U138" s="486"/>
      <c r="V138" s="486"/>
      <c r="W138" s="486"/>
      <c r="X138" s="486"/>
      <c r="Y138" s="0"/>
      <c r="Z138" s="0"/>
      <c r="AA138" s="0"/>
      <c r="AB138" s="486"/>
      <c r="AC138" s="486"/>
      <c r="AD138" s="486"/>
      <c r="AE138" s="486"/>
      <c r="AF138" s="486"/>
      <c r="AG138" s="486"/>
      <c r="AH138" s="0"/>
      <c r="AI138" s="0"/>
    </row>
    <row r="139" customFormat="false" ht="17.35" hidden="false" customHeight="false" outlineLevel="0" collapsed="false">
      <c r="A139" s="155" t="s">
        <v>137</v>
      </c>
      <c r="B139" s="155"/>
      <c r="C139" s="155"/>
      <c r="D139" s="155"/>
      <c r="E139" s="155"/>
      <c r="F139" s="155"/>
      <c r="G139" s="21" t="n">
        <f aca="false">H13</f>
        <v>585</v>
      </c>
      <c r="H139" s="20" t="n">
        <f aca="false">G139</f>
        <v>585</v>
      </c>
      <c r="J139" s="486"/>
      <c r="K139" s="486"/>
      <c r="L139" s="486"/>
      <c r="M139" s="486"/>
      <c r="N139" s="486"/>
      <c r="O139" s="486"/>
      <c r="P139" s="0"/>
      <c r="Q139" s="0"/>
      <c r="R139" s="0"/>
      <c r="S139" s="486"/>
      <c r="T139" s="486"/>
      <c r="U139" s="486"/>
      <c r="V139" s="486"/>
      <c r="W139" s="486"/>
      <c r="X139" s="486"/>
      <c r="Y139" s="0"/>
      <c r="Z139" s="0"/>
      <c r="AA139" s="0"/>
      <c r="AB139" s="486"/>
      <c r="AC139" s="486"/>
      <c r="AD139" s="486"/>
      <c r="AE139" s="486"/>
      <c r="AF139" s="486"/>
      <c r="AG139" s="486"/>
      <c r="AH139" s="0"/>
      <c r="AI139" s="0"/>
    </row>
    <row r="140" customFormat="false" ht="17.35" hidden="false" customHeight="false" outlineLevel="0" collapsed="false">
      <c r="A140" s="155" t="s">
        <v>138</v>
      </c>
      <c r="B140" s="155"/>
      <c r="C140" s="155"/>
      <c r="D140" s="155"/>
      <c r="E140" s="155"/>
      <c r="F140" s="155"/>
      <c r="G140" s="21" t="n">
        <f aca="false">H14</f>
        <v>55</v>
      </c>
      <c r="H140" s="20" t="n">
        <v>55</v>
      </c>
      <c r="J140" s="486"/>
      <c r="K140" s="486"/>
      <c r="L140" s="486"/>
      <c r="M140" s="486"/>
      <c r="N140" s="486"/>
      <c r="O140" s="486"/>
      <c r="P140" s="0"/>
      <c r="Q140" s="0"/>
      <c r="R140" s="0"/>
      <c r="S140" s="486"/>
      <c r="T140" s="486"/>
      <c r="U140" s="486"/>
      <c r="V140" s="486"/>
      <c r="W140" s="486"/>
      <c r="X140" s="486"/>
      <c r="Y140" s="0"/>
      <c r="Z140" s="0"/>
      <c r="AA140" s="0"/>
      <c r="AB140" s="486"/>
      <c r="AC140" s="486"/>
      <c r="AD140" s="486"/>
      <c r="AE140" s="486"/>
      <c r="AF140" s="486"/>
      <c r="AG140" s="486"/>
      <c r="AH140" s="0"/>
      <c r="AI140" s="0"/>
    </row>
    <row r="141" customFormat="false" ht="19.7" hidden="false" customHeight="false" outlineLevel="0" collapsed="false">
      <c r="A141" s="155" t="s">
        <v>139</v>
      </c>
      <c r="B141" s="155"/>
      <c r="C141" s="155"/>
      <c r="D141" s="155"/>
      <c r="E141" s="155"/>
      <c r="F141" s="155"/>
      <c r="G141" s="157" t="n">
        <f aca="false">H15</f>
        <v>58525</v>
      </c>
      <c r="H141" s="156" t="n">
        <f aca="false">(H135+H136+H139+H140+H137)-H138</f>
        <v>58525</v>
      </c>
      <c r="J141" s="486"/>
      <c r="K141" s="486"/>
      <c r="L141" s="486"/>
      <c r="M141" s="486"/>
      <c r="N141" s="486"/>
      <c r="O141" s="486"/>
      <c r="P141" s="0"/>
      <c r="Q141" s="0"/>
      <c r="R141" s="0"/>
      <c r="S141" s="486"/>
      <c r="T141" s="486"/>
      <c r="U141" s="486"/>
      <c r="V141" s="486"/>
      <c r="W141" s="486"/>
      <c r="X141" s="486"/>
      <c r="Y141" s="0"/>
      <c r="Z141" s="0"/>
      <c r="AA141" s="0"/>
      <c r="AB141" s="486"/>
      <c r="AC141" s="486"/>
      <c r="AD141" s="486"/>
      <c r="AE141" s="486"/>
      <c r="AF141" s="486"/>
      <c r="AG141" s="486"/>
      <c r="AH141" s="0"/>
      <c r="AI141" s="0"/>
    </row>
    <row r="142" customFormat="false" ht="17.35" hidden="false" customHeight="false" outlineLevel="0" collapsed="false">
      <c r="A142" s="155" t="s">
        <v>140</v>
      </c>
      <c r="B142" s="155"/>
      <c r="C142" s="155"/>
      <c r="D142" s="155"/>
      <c r="E142" s="155"/>
      <c r="F142" s="155"/>
      <c r="G142" s="21" t="n">
        <f aca="false">H16</f>
        <v>0</v>
      </c>
      <c r="H142" s="52" t="n">
        <f aca="false">G142</f>
        <v>0</v>
      </c>
      <c r="J142" s="486"/>
      <c r="K142" s="486"/>
      <c r="L142" s="486"/>
      <c r="M142" s="486"/>
      <c r="N142" s="486"/>
      <c r="O142" s="486"/>
      <c r="P142" s="0"/>
      <c r="Q142" s="0"/>
      <c r="R142" s="0"/>
      <c r="S142" s="486"/>
      <c r="T142" s="486"/>
      <c r="U142" s="486"/>
      <c r="V142" s="486"/>
      <c r="W142" s="486"/>
      <c r="X142" s="486"/>
      <c r="Y142" s="0"/>
      <c r="Z142" s="0"/>
      <c r="AA142" s="0"/>
      <c r="AB142" s="486"/>
      <c r="AC142" s="486"/>
      <c r="AD142" s="486"/>
      <c r="AE142" s="486"/>
      <c r="AF142" s="486"/>
      <c r="AG142" s="486"/>
      <c r="AH142" s="0"/>
      <c r="AI142" s="0"/>
    </row>
    <row r="143" customFormat="false" ht="17.35" hidden="false" customHeight="false" outlineLevel="0" collapsed="false">
      <c r="A143" s="70" t="s">
        <v>141</v>
      </c>
      <c r="B143" s="70"/>
      <c r="C143" s="70"/>
      <c r="D143" s="70"/>
      <c r="E143" s="70"/>
      <c r="F143" s="70"/>
      <c r="G143" s="37"/>
      <c r="H143" s="20"/>
      <c r="J143" s="486"/>
      <c r="K143" s="486"/>
      <c r="L143" s="486"/>
      <c r="M143" s="486"/>
      <c r="N143" s="486"/>
      <c r="O143" s="486"/>
      <c r="P143" s="0"/>
      <c r="Q143" s="0"/>
      <c r="R143" s="0"/>
      <c r="S143" s="486"/>
      <c r="T143" s="486"/>
      <c r="U143" s="486"/>
      <c r="V143" s="486"/>
      <c r="W143" s="486"/>
      <c r="X143" s="486"/>
      <c r="Y143" s="0"/>
      <c r="Z143" s="0"/>
      <c r="AA143" s="0"/>
      <c r="AB143" s="486"/>
      <c r="AC143" s="486"/>
      <c r="AD143" s="486"/>
      <c r="AE143" s="486"/>
      <c r="AF143" s="486"/>
      <c r="AG143" s="486"/>
      <c r="AH143" s="0"/>
      <c r="AI143" s="0"/>
    </row>
    <row r="144" customFormat="false" ht="17.35" hidden="false" customHeight="false" outlineLevel="0" collapsed="false">
      <c r="A144" s="158" t="s">
        <v>15</v>
      </c>
      <c r="B144" s="159" t="n">
        <v>0</v>
      </c>
      <c r="C144" s="159"/>
      <c r="D144" s="159"/>
      <c r="E144" s="159"/>
      <c r="F144" s="159"/>
      <c r="G144" s="21" t="n">
        <f aca="false">H18</f>
        <v>0</v>
      </c>
      <c r="H144" s="52" t="n">
        <v>0</v>
      </c>
      <c r="J144" s="0"/>
      <c r="K144" s="486"/>
      <c r="L144" s="486"/>
      <c r="M144" s="486"/>
      <c r="N144" s="486"/>
      <c r="O144" s="486"/>
      <c r="P144" s="0"/>
      <c r="Q144" s="0"/>
      <c r="R144" s="0"/>
      <c r="S144" s="0"/>
      <c r="T144" s="486"/>
      <c r="U144" s="486"/>
      <c r="V144" s="486"/>
      <c r="W144" s="486"/>
      <c r="X144" s="486"/>
      <c r="Y144" s="0"/>
      <c r="Z144" s="0"/>
      <c r="AA144" s="0"/>
      <c r="AB144" s="0"/>
      <c r="AC144" s="486"/>
      <c r="AD144" s="486"/>
      <c r="AE144" s="486"/>
      <c r="AF144" s="486"/>
      <c r="AG144" s="486"/>
      <c r="AH144" s="0"/>
      <c r="AI144" s="0"/>
    </row>
    <row r="145" customFormat="false" ht="17.35" hidden="false" customHeight="false" outlineLevel="0" collapsed="false">
      <c r="A145" s="158" t="s">
        <v>17</v>
      </c>
      <c r="B145" s="159" t="s">
        <v>142</v>
      </c>
      <c r="C145" s="159"/>
      <c r="D145" s="159"/>
      <c r="E145" s="159"/>
      <c r="F145" s="159"/>
      <c r="G145" s="21" t="n">
        <f aca="false">H19</f>
        <v>0</v>
      </c>
      <c r="H145" s="52" t="n">
        <v>0</v>
      </c>
      <c r="I145" s="1" t="n">
        <f aca="false">(G142+G145+G146+G144)</f>
        <v>0</v>
      </c>
      <c r="J145" s="0"/>
      <c r="K145" s="486"/>
      <c r="L145" s="486"/>
      <c r="M145" s="486"/>
      <c r="N145" s="486"/>
      <c r="O145" s="486"/>
      <c r="P145" s="0"/>
      <c r="Q145" s="0"/>
      <c r="R145" s="0"/>
      <c r="S145" s="0"/>
      <c r="T145" s="486"/>
      <c r="U145" s="486"/>
      <c r="V145" s="486"/>
      <c r="W145" s="486"/>
      <c r="X145" s="486"/>
      <c r="Y145" s="0"/>
      <c r="Z145" s="0"/>
      <c r="AA145" s="0"/>
      <c r="AB145" s="0"/>
      <c r="AC145" s="486"/>
      <c r="AD145" s="486"/>
      <c r="AE145" s="486"/>
      <c r="AF145" s="486"/>
      <c r="AG145" s="486"/>
      <c r="AH145" s="0"/>
      <c r="AI145" s="0"/>
    </row>
    <row r="146" customFormat="false" ht="17.35" hidden="false" customHeight="false" outlineLevel="0" collapsed="false">
      <c r="A146" s="160" t="s">
        <v>18</v>
      </c>
      <c r="B146" s="161" t="s">
        <v>142</v>
      </c>
      <c r="C146" s="161"/>
      <c r="D146" s="161"/>
      <c r="E146" s="161"/>
      <c r="F146" s="161"/>
      <c r="G146" s="21" t="n">
        <f aca="false">H20</f>
        <v>0</v>
      </c>
      <c r="H146" s="52" t="n">
        <v>0</v>
      </c>
      <c r="I146" s="1" t="n">
        <f aca="false">(H142+H144+H145+H146)</f>
        <v>0</v>
      </c>
      <c r="J146" s="0"/>
      <c r="K146" s="486"/>
      <c r="L146" s="486"/>
      <c r="M146" s="486"/>
      <c r="N146" s="486"/>
      <c r="O146" s="486"/>
      <c r="P146" s="0"/>
      <c r="Q146" s="0"/>
      <c r="R146" s="0"/>
      <c r="S146" s="0"/>
      <c r="T146" s="486"/>
      <c r="U146" s="486"/>
      <c r="V146" s="486"/>
      <c r="W146" s="486"/>
      <c r="X146" s="486"/>
      <c r="Y146" s="0"/>
      <c r="Z146" s="0"/>
      <c r="AA146" s="0"/>
      <c r="AB146" s="0"/>
      <c r="AC146" s="486"/>
      <c r="AD146" s="486"/>
      <c r="AE146" s="486"/>
      <c r="AF146" s="486"/>
      <c r="AG146" s="486"/>
      <c r="AH146" s="0"/>
      <c r="AI146" s="0"/>
    </row>
    <row r="147" customFormat="false" ht="19.7" hidden="false" customHeight="false" outlineLevel="0" collapsed="false">
      <c r="A147" s="155" t="s">
        <v>143</v>
      </c>
      <c r="B147" s="155"/>
      <c r="C147" s="155"/>
      <c r="D147" s="155"/>
      <c r="E147" s="155"/>
      <c r="F147" s="155"/>
      <c r="G147" s="157" t="n">
        <f aca="false">G141-((G144*1.2)+(G145*1.2)+(G146*1.2)+(G142*1.2))</f>
        <v>58525</v>
      </c>
      <c r="H147" s="162" t="n">
        <f aca="false">H141-((H144*1.2)+(H145*1.2)+(H146*1.2)+(H142*1.2))</f>
        <v>58525</v>
      </c>
      <c r="J147" s="486"/>
      <c r="K147" s="486"/>
      <c r="L147" s="486"/>
      <c r="M147" s="486"/>
      <c r="N147" s="486"/>
      <c r="O147" s="486"/>
      <c r="P147" s="0"/>
      <c r="Q147" s="0"/>
      <c r="R147" s="0"/>
      <c r="S147" s="486"/>
      <c r="T147" s="486"/>
      <c r="U147" s="486"/>
      <c r="V147" s="486"/>
      <c r="W147" s="486"/>
      <c r="X147" s="486"/>
      <c r="Y147" s="0"/>
      <c r="Z147" s="0"/>
      <c r="AA147" s="0"/>
      <c r="AB147" s="486"/>
      <c r="AC147" s="486"/>
      <c r="AD147" s="486"/>
      <c r="AE147" s="486"/>
      <c r="AF147" s="486"/>
      <c r="AG147" s="486"/>
      <c r="AH147" s="0"/>
      <c r="AI147" s="0"/>
    </row>
    <row r="148" customFormat="false" ht="17.35" hidden="false" customHeight="false" outlineLevel="0" collapsed="false">
      <c r="A148" s="155" t="s">
        <v>144</v>
      </c>
      <c r="B148" s="155"/>
      <c r="C148" s="155"/>
      <c r="D148" s="155"/>
      <c r="E148" s="155"/>
      <c r="F148" s="155"/>
      <c r="G148" s="21"/>
      <c r="H148" s="52" t="n">
        <f aca="false">((H147-G147)-(H137-G137))+((I146-I145)*0.2)</f>
        <v>0</v>
      </c>
      <c r="I148" s="1" t="n">
        <f aca="false">(H148-G81)/1.2</f>
        <v>0</v>
      </c>
      <c r="J148" s="486"/>
      <c r="K148" s="486"/>
      <c r="L148" s="486"/>
      <c r="M148" s="486"/>
      <c r="N148" s="486"/>
      <c r="O148" s="486"/>
      <c r="P148" s="0"/>
      <c r="Q148" s="0"/>
      <c r="R148" s="0"/>
      <c r="S148" s="486"/>
      <c r="T148" s="486"/>
      <c r="U148" s="486"/>
      <c r="V148" s="486"/>
      <c r="W148" s="486"/>
      <c r="X148" s="486"/>
      <c r="Y148" s="0"/>
      <c r="Z148" s="0"/>
      <c r="AA148" s="0"/>
      <c r="AB148" s="486"/>
      <c r="AC148" s="486"/>
      <c r="AD148" s="486"/>
      <c r="AE148" s="486"/>
      <c r="AF148" s="486"/>
      <c r="AG148" s="486"/>
      <c r="AH148" s="0"/>
      <c r="AI148" s="0"/>
    </row>
    <row r="149" customFormat="false" ht="17.35" hidden="false" customHeight="false" outlineLevel="0" collapsed="false">
      <c r="A149" s="55"/>
      <c r="B149" s="25"/>
      <c r="C149" s="25"/>
      <c r="D149" s="25"/>
      <c r="E149" s="45"/>
      <c r="F149" s="45"/>
      <c r="G149" s="45"/>
      <c r="H149" s="2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58" t="s">
        <v>145</v>
      </c>
      <c r="B150" s="58"/>
      <c r="C150" s="58"/>
      <c r="D150" s="58"/>
      <c r="E150" s="58"/>
      <c r="F150" s="58"/>
      <c r="G150" s="58"/>
      <c r="H150" s="58"/>
      <c r="J150" s="486"/>
      <c r="K150" s="486"/>
      <c r="L150" s="486"/>
      <c r="M150" s="486"/>
      <c r="N150" s="486"/>
      <c r="O150" s="486"/>
      <c r="P150" s="486"/>
      <c r="Q150" s="486"/>
      <c r="R150" s="0"/>
      <c r="S150" s="486"/>
      <c r="T150" s="486"/>
      <c r="U150" s="486"/>
      <c r="V150" s="486"/>
      <c r="W150" s="486"/>
      <c r="X150" s="486"/>
      <c r="Y150" s="486"/>
      <c r="Z150" s="486"/>
      <c r="AA150" s="0"/>
      <c r="AB150" s="486"/>
      <c r="AC150" s="486"/>
      <c r="AD150" s="486"/>
      <c r="AE150" s="486"/>
      <c r="AF150" s="486"/>
      <c r="AG150" s="486"/>
      <c r="AH150" s="486"/>
      <c r="AI150" s="486"/>
    </row>
    <row r="151" customFormat="false" ht="17.35" hidden="false" customHeight="false" outlineLevel="0" collapsed="false">
      <c r="A151" s="55"/>
      <c r="B151" s="25"/>
      <c r="C151" s="25"/>
      <c r="D151" s="25"/>
      <c r="E151" s="45"/>
      <c r="F151" s="45"/>
      <c r="G151" s="45"/>
      <c r="H151" s="20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55" t="s">
        <v>146</v>
      </c>
      <c r="B152" s="25"/>
      <c r="C152" s="25"/>
      <c r="D152" s="45"/>
      <c r="E152" s="72" t="n">
        <v>0</v>
      </c>
      <c r="F152" s="72"/>
      <c r="G152" s="72" t="n">
        <v>0</v>
      </c>
      <c r="H152" s="72"/>
      <c r="J152" s="0"/>
      <c r="K152" s="0"/>
      <c r="L152" s="0"/>
      <c r="M152" s="0"/>
      <c r="N152" s="486"/>
      <c r="O152" s="486"/>
      <c r="P152" s="486"/>
      <c r="Q152" s="486"/>
      <c r="R152" s="0"/>
      <c r="S152" s="0"/>
      <c r="T152" s="0"/>
      <c r="U152" s="0"/>
      <c r="V152" s="0"/>
      <c r="W152" s="486"/>
      <c r="X152" s="486"/>
      <c r="Y152" s="486"/>
      <c r="Z152" s="486"/>
      <c r="AA152" s="0"/>
      <c r="AB152" s="0"/>
      <c r="AC152" s="0"/>
      <c r="AD152" s="0"/>
      <c r="AE152" s="0"/>
      <c r="AF152" s="486"/>
      <c r="AG152" s="486"/>
      <c r="AH152" s="486"/>
      <c r="AI152" s="486"/>
    </row>
    <row r="153" customFormat="false" ht="17.35" hidden="false" customHeight="false" outlineLevel="0" collapsed="false">
      <c r="A153" s="55" t="s">
        <v>147</v>
      </c>
      <c r="B153" s="25"/>
      <c r="C153" s="25"/>
      <c r="D153" s="45"/>
      <c r="E153" s="38" t="n">
        <f aca="false">G153</f>
        <v>0</v>
      </c>
      <c r="F153" s="38"/>
      <c r="G153" s="72" t="n">
        <v>0</v>
      </c>
      <c r="H153" s="72"/>
      <c r="J153" s="0"/>
      <c r="K153" s="0"/>
      <c r="L153" s="0"/>
      <c r="M153" s="0"/>
      <c r="N153" s="486"/>
      <c r="O153" s="486"/>
      <c r="P153" s="486"/>
      <c r="Q153" s="486"/>
      <c r="R153" s="0"/>
      <c r="S153" s="0"/>
      <c r="T153" s="0"/>
      <c r="U153" s="0"/>
      <c r="V153" s="0"/>
      <c r="W153" s="486"/>
      <c r="X153" s="486"/>
      <c r="Y153" s="486"/>
      <c r="Z153" s="486"/>
      <c r="AA153" s="0"/>
      <c r="AB153" s="0"/>
      <c r="AC153" s="0"/>
      <c r="AD153" s="0"/>
      <c r="AE153" s="0"/>
      <c r="AF153" s="486"/>
      <c r="AG153" s="486"/>
      <c r="AH153" s="486"/>
      <c r="AI153" s="486"/>
    </row>
    <row r="154" customFormat="false" ht="17.35" hidden="false" customHeight="false" outlineLevel="0" collapsed="false">
      <c r="A154" s="55" t="s">
        <v>148</v>
      </c>
      <c r="B154" s="25"/>
      <c r="C154" s="25"/>
      <c r="D154" s="45"/>
      <c r="E154" s="38" t="n">
        <f aca="false">E152-E153</f>
        <v>0</v>
      </c>
      <c r="F154" s="38"/>
      <c r="G154" s="163" t="n">
        <f aca="false">G152-G153</f>
        <v>0</v>
      </c>
      <c r="H154" s="163"/>
      <c r="J154" s="0"/>
      <c r="K154" s="0"/>
      <c r="L154" s="0"/>
      <c r="M154" s="0"/>
      <c r="N154" s="486"/>
      <c r="O154" s="486"/>
      <c r="P154" s="486"/>
      <c r="Q154" s="486"/>
      <c r="R154" s="0"/>
      <c r="S154" s="0"/>
      <c r="T154" s="0"/>
      <c r="U154" s="0"/>
      <c r="V154" s="0"/>
      <c r="W154" s="486"/>
      <c r="X154" s="486"/>
      <c r="Y154" s="486"/>
      <c r="Z154" s="486"/>
      <c r="AA154" s="0"/>
      <c r="AB154" s="0"/>
      <c r="AC154" s="0"/>
      <c r="AD154" s="0"/>
      <c r="AE154" s="0"/>
      <c r="AF154" s="486"/>
      <c r="AG154" s="486"/>
      <c r="AH154" s="486"/>
      <c r="AI154" s="486"/>
    </row>
    <row r="155" customFormat="false" ht="17.35" hidden="false" customHeight="false" outlineLevel="0" collapsed="false">
      <c r="A155" s="55" t="s">
        <v>149</v>
      </c>
      <c r="B155" s="25"/>
      <c r="C155" s="25"/>
      <c r="D155" s="45"/>
      <c r="E155" s="38" t="n">
        <f aca="false">E154-G154</f>
        <v>0</v>
      </c>
      <c r="F155" s="38"/>
      <c r="G155" s="45"/>
      <c r="H155" s="20"/>
      <c r="J155" s="0"/>
      <c r="K155" s="0"/>
      <c r="L155" s="0"/>
      <c r="M155" s="0"/>
      <c r="N155" s="486"/>
      <c r="O155" s="486"/>
      <c r="P155" s="0"/>
      <c r="Q155" s="0"/>
      <c r="R155" s="0"/>
      <c r="S155" s="0"/>
      <c r="T155" s="0"/>
      <c r="U155" s="0"/>
      <c r="V155" s="0"/>
      <c r="W155" s="486"/>
      <c r="X155" s="486"/>
      <c r="Y155" s="0"/>
      <c r="Z155" s="0"/>
      <c r="AA155" s="0"/>
      <c r="AB155" s="0"/>
      <c r="AC155" s="0"/>
      <c r="AD155" s="0"/>
      <c r="AE155" s="0"/>
      <c r="AF155" s="486"/>
      <c r="AG155" s="486"/>
      <c r="AH155" s="0"/>
      <c r="AI155" s="0"/>
    </row>
    <row r="156" customFormat="false" ht="17.35" hidden="false" customHeight="false" outlineLevel="0" collapsed="false">
      <c r="A156" s="55"/>
      <c r="B156" s="25"/>
      <c r="C156" s="25"/>
      <c r="D156" s="45"/>
      <c r="E156" s="25"/>
      <c r="F156" s="45"/>
      <c r="G156" s="45"/>
      <c r="H156" s="20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48" t="s">
        <v>150</v>
      </c>
      <c r="B157" s="49"/>
      <c r="C157" s="49"/>
      <c r="D157" s="93"/>
      <c r="E157" s="49"/>
      <c r="F157" s="93"/>
      <c r="G157" s="164" t="n">
        <f aca="false">A114</f>
        <v>0</v>
      </c>
      <c r="H157" s="164"/>
      <c r="J157" s="0"/>
      <c r="K157" s="0"/>
      <c r="L157" s="0"/>
      <c r="M157" s="0"/>
      <c r="N157" s="0"/>
      <c r="O157" s="0"/>
      <c r="P157" s="486"/>
      <c r="Q157" s="486"/>
      <c r="R157" s="0"/>
      <c r="S157" s="0"/>
      <c r="T157" s="0"/>
      <c r="U157" s="0"/>
      <c r="V157" s="0"/>
      <c r="W157" s="0"/>
      <c r="X157" s="0"/>
      <c r="Y157" s="486"/>
      <c r="Z157" s="486"/>
      <c r="AA157" s="0"/>
      <c r="AB157" s="0"/>
      <c r="AC157" s="0"/>
      <c r="AD157" s="0"/>
      <c r="AE157" s="0"/>
      <c r="AF157" s="0"/>
      <c r="AG157" s="0"/>
      <c r="AH157" s="486"/>
      <c r="AI157" s="486"/>
    </row>
    <row r="158" customFormat="false" ht="19.7" hidden="false" customHeight="false" outlineLevel="0" collapsed="false">
      <c r="A158" s="165" t="s">
        <v>151</v>
      </c>
      <c r="B158" s="25"/>
      <c r="C158" s="25"/>
      <c r="D158" s="94"/>
      <c r="E158" s="25"/>
      <c r="F158" s="94"/>
      <c r="G158" s="166" t="n">
        <f aca="false">H147-G154-G157</f>
        <v>58525</v>
      </c>
      <c r="H158" s="166"/>
      <c r="J158" s="0"/>
      <c r="K158" s="0"/>
      <c r="L158" s="0"/>
      <c r="M158" s="0"/>
      <c r="N158" s="0"/>
      <c r="O158" s="0"/>
      <c r="P158" s="486"/>
      <c r="Q158" s="486"/>
      <c r="R158" s="0"/>
      <c r="S158" s="0"/>
      <c r="T158" s="0"/>
      <c r="U158" s="0"/>
      <c r="V158" s="0"/>
      <c r="W158" s="0"/>
      <c r="X158" s="0"/>
      <c r="Y158" s="486"/>
      <c r="Z158" s="486"/>
      <c r="AA158" s="0"/>
      <c r="AB158" s="0"/>
      <c r="AC158" s="0"/>
      <c r="AD158" s="0"/>
      <c r="AE158" s="0"/>
      <c r="AF158" s="0"/>
      <c r="AG158" s="0"/>
      <c r="AH158" s="486"/>
      <c r="AI158" s="486"/>
    </row>
    <row r="159" customFormat="false" ht="17.35" hidden="false" customHeight="false" outlineLevel="0" collapsed="false">
      <c r="A159" s="74" t="s">
        <v>152</v>
      </c>
      <c r="B159" s="75"/>
      <c r="C159" s="75"/>
      <c r="D159" s="116"/>
      <c r="E159" s="75"/>
      <c r="F159" s="116"/>
      <c r="G159" s="167" t="str">
        <f aca="false">B114</f>
        <v>239.99</v>
      </c>
      <c r="H159" s="167"/>
      <c r="J159" s="0"/>
      <c r="K159" s="0"/>
      <c r="L159" s="0"/>
      <c r="M159" s="0"/>
      <c r="N159" s="0"/>
      <c r="O159" s="0"/>
      <c r="P159" s="486"/>
      <c r="Q159" s="486"/>
      <c r="R159" s="0"/>
      <c r="S159" s="0"/>
      <c r="T159" s="0"/>
      <c r="U159" s="0"/>
      <c r="V159" s="0"/>
      <c r="W159" s="0"/>
      <c r="X159" s="0"/>
      <c r="Y159" s="486"/>
      <c r="Z159" s="486"/>
      <c r="AA159" s="0"/>
      <c r="AB159" s="0"/>
      <c r="AC159" s="0"/>
      <c r="AD159" s="0"/>
      <c r="AE159" s="0"/>
      <c r="AF159" s="0"/>
      <c r="AG159" s="0"/>
      <c r="AH159" s="486"/>
      <c r="AI159" s="486"/>
    </row>
    <row r="160" customFormat="false" ht="17.35" hidden="false" customHeight="false" outlineLevel="0" collapsed="false">
      <c r="A160" s="55"/>
      <c r="B160" s="25"/>
      <c r="C160" s="25"/>
      <c r="D160" s="25"/>
      <c r="E160" s="45"/>
      <c r="F160" s="45"/>
      <c r="G160" s="45"/>
      <c r="H160" s="2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55"/>
      <c r="B161" s="25"/>
      <c r="C161" s="25"/>
      <c r="D161" s="25"/>
      <c r="E161" s="45"/>
      <c r="F161" s="45"/>
      <c r="G161" s="45"/>
      <c r="H161" s="2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58" t="s">
        <v>153</v>
      </c>
      <c r="B162" s="58"/>
      <c r="C162" s="58"/>
      <c r="D162" s="58"/>
      <c r="E162" s="58"/>
      <c r="F162" s="58"/>
      <c r="G162" s="58"/>
      <c r="H162" s="58"/>
      <c r="J162" s="486"/>
      <c r="K162" s="486"/>
      <c r="L162" s="486"/>
      <c r="M162" s="486"/>
      <c r="N162" s="486"/>
      <c r="O162" s="486"/>
      <c r="P162" s="486"/>
      <c r="Q162" s="486"/>
      <c r="R162" s="0"/>
      <c r="S162" s="486"/>
      <c r="T162" s="486"/>
      <c r="U162" s="486"/>
      <c r="V162" s="486"/>
      <c r="W162" s="486"/>
      <c r="X162" s="486"/>
      <c r="Y162" s="486"/>
      <c r="Z162" s="486"/>
      <c r="AA162" s="0"/>
      <c r="AB162" s="486"/>
      <c r="AC162" s="486"/>
      <c r="AD162" s="486"/>
      <c r="AE162" s="486"/>
      <c r="AF162" s="486"/>
      <c r="AG162" s="486"/>
      <c r="AH162" s="486"/>
      <c r="AI162" s="486"/>
    </row>
    <row r="163" customFormat="false" ht="17.35" hidden="false" customHeight="false" outlineLevel="0" collapsed="false">
      <c r="A163" s="55"/>
      <c r="B163" s="25"/>
      <c r="C163" s="25"/>
      <c r="D163" s="25"/>
      <c r="E163" s="45"/>
      <c r="F163" s="45"/>
      <c r="G163" s="45"/>
      <c r="H163" s="2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55" t="s">
        <v>29</v>
      </c>
      <c r="B164" s="168" t="n">
        <v>0</v>
      </c>
      <c r="C164" s="168"/>
      <c r="D164" s="25"/>
      <c r="E164" s="45"/>
      <c r="F164" s="45"/>
      <c r="G164" s="45"/>
      <c r="H164" s="20"/>
      <c r="J164" s="0"/>
      <c r="K164" s="486"/>
      <c r="L164" s="486"/>
      <c r="M164" s="0"/>
      <c r="N164" s="0"/>
      <c r="O164" s="0"/>
      <c r="P164" s="0"/>
      <c r="Q164" s="0"/>
      <c r="R164" s="0"/>
      <c r="S164" s="0"/>
      <c r="T164" s="486"/>
      <c r="U164" s="486"/>
      <c r="V164" s="0"/>
      <c r="W164" s="0"/>
      <c r="X164" s="0"/>
      <c r="Y164" s="0"/>
      <c r="Z164" s="0"/>
      <c r="AA164" s="0"/>
      <c r="AB164" s="0"/>
      <c r="AC164" s="486"/>
      <c r="AD164" s="48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55"/>
      <c r="B165" s="25"/>
      <c r="C165" s="25"/>
      <c r="D165" s="25"/>
      <c r="E165" s="45"/>
      <c r="F165" s="45"/>
      <c r="G165" s="45"/>
      <c r="H165" s="2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169" t="s">
        <v>154</v>
      </c>
      <c r="B166" s="170" t="s">
        <v>155</v>
      </c>
      <c r="C166" s="170"/>
      <c r="D166" s="170"/>
      <c r="E166" s="170" t="s">
        <v>156</v>
      </c>
      <c r="F166" s="45"/>
      <c r="G166" s="45"/>
      <c r="H166" s="2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171" t="n">
        <f aca="false">B95</f>
        <v>1584.81640136705</v>
      </c>
      <c r="B167" s="172" t="n">
        <f aca="false">B94</f>
        <v>22.9125</v>
      </c>
      <c r="C167" s="170"/>
      <c r="D167" s="170"/>
      <c r="E167" s="172" t="n">
        <f aca="false">B96</f>
        <v>1607.72890136705</v>
      </c>
      <c r="F167" s="45"/>
      <c r="G167" s="45"/>
      <c r="H167" s="2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55"/>
      <c r="B168" s="25"/>
      <c r="C168" s="25"/>
      <c r="D168" s="25"/>
      <c r="E168" s="45"/>
      <c r="F168" s="45"/>
      <c r="G168" s="45"/>
      <c r="H168" s="2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55" t="s">
        <v>28</v>
      </c>
      <c r="B169" s="25" t="s">
        <v>33</v>
      </c>
      <c r="C169" s="25"/>
      <c r="D169" s="45"/>
      <c r="E169" s="25" t="s">
        <v>157</v>
      </c>
      <c r="F169" s="45"/>
      <c r="G169" s="45"/>
      <c r="H169" s="2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63" t="str">
        <f aca="false">H29</f>
        <v>33</v>
      </c>
      <c r="B170" s="174" t="str">
        <f aca="false">H30</f>
        <v>5000</v>
      </c>
      <c r="C170" s="175"/>
      <c r="D170" s="45"/>
      <c r="E170" s="73" t="n">
        <v>6000</v>
      </c>
      <c r="F170" s="45"/>
      <c r="G170" s="45"/>
      <c r="H170" s="2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55"/>
      <c r="B171" s="25"/>
      <c r="C171" s="25"/>
      <c r="D171" s="45"/>
      <c r="E171" s="25"/>
      <c r="F171" s="45"/>
      <c r="G171" s="45"/>
      <c r="H171" s="2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55" t="s">
        <v>158</v>
      </c>
      <c r="B172" s="25" t="s">
        <v>159</v>
      </c>
      <c r="C172" s="25"/>
      <c r="D172" s="45"/>
      <c r="E172" s="25" t="s">
        <v>160</v>
      </c>
      <c r="F172" s="45"/>
      <c r="G172" s="45"/>
      <c r="H172" s="2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69" t="n">
        <f aca="false">H141-H137-H139-H140</f>
        <v>48237.5</v>
      </c>
      <c r="B173" s="37" t="n">
        <f aca="false">H137</f>
        <v>9647.5</v>
      </c>
      <c r="C173" s="67"/>
      <c r="D173" s="45"/>
      <c r="E173" s="73" t="n">
        <f aca="false">H139+H140</f>
        <v>640</v>
      </c>
      <c r="F173" s="45"/>
      <c r="G173" s="45"/>
      <c r="H173" s="2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55"/>
      <c r="B174" s="25"/>
      <c r="C174" s="25"/>
      <c r="D174" s="45"/>
      <c r="E174" s="25"/>
      <c r="F174" s="45"/>
      <c r="G174" s="45"/>
      <c r="H174" s="2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55" t="s">
        <v>161</v>
      </c>
      <c r="B175" s="25" t="s">
        <v>108</v>
      </c>
      <c r="C175" s="25"/>
      <c r="D175" s="45"/>
      <c r="E175" s="25" t="s">
        <v>109</v>
      </c>
      <c r="F175" s="45"/>
      <c r="G175" s="45"/>
      <c r="H175" s="2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69" t="n">
        <f aca="false">H147</f>
        <v>58525</v>
      </c>
      <c r="B176" s="37" t="n">
        <f aca="false">B111</f>
        <v>0</v>
      </c>
      <c r="C176" s="37"/>
      <c r="D176" s="45"/>
      <c r="E176" s="37" t="n">
        <f aca="false">E111</f>
        <v>0</v>
      </c>
      <c r="F176" s="45"/>
      <c r="G176" s="45"/>
      <c r="H176" s="177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55"/>
      <c r="B177" s="25"/>
      <c r="C177" s="25"/>
      <c r="D177" s="45"/>
      <c r="E177" s="25"/>
      <c r="F177" s="45"/>
      <c r="G177" s="45"/>
      <c r="H177" s="2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55" t="s">
        <v>110</v>
      </c>
      <c r="B178" s="25" t="s">
        <v>146</v>
      </c>
      <c r="C178" s="25"/>
      <c r="D178" s="45"/>
      <c r="E178" s="25" t="s">
        <v>151</v>
      </c>
      <c r="F178" s="45"/>
      <c r="G178" s="45"/>
      <c r="H178" s="2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70" t="n">
        <f aca="false">B176+E176</f>
        <v>0</v>
      </c>
      <c r="B179" s="37" t="n">
        <f aca="false">G154</f>
        <v>0</v>
      </c>
      <c r="C179" s="37"/>
      <c r="D179" s="45"/>
      <c r="E179" s="37" t="n">
        <f aca="false">A176-A179-B179</f>
        <v>58525</v>
      </c>
      <c r="F179" s="45"/>
      <c r="G179" s="45"/>
      <c r="H179" s="177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55"/>
      <c r="B180" s="25"/>
      <c r="C180" s="25"/>
      <c r="D180" s="45"/>
      <c r="E180" s="25"/>
      <c r="F180" s="45"/>
      <c r="G180" s="45"/>
      <c r="H180" s="2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55" t="s">
        <v>162</v>
      </c>
      <c r="B181" s="25" t="s">
        <v>152</v>
      </c>
      <c r="C181" s="25"/>
      <c r="D181" s="45"/>
      <c r="E181" s="25" t="s">
        <v>163</v>
      </c>
      <c r="F181" s="45"/>
      <c r="G181" s="45"/>
      <c r="H181" s="2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70" t="n">
        <f aca="false">(A167*B59)+E185-E179-A185</f>
        <v>-1810.8751562543</v>
      </c>
      <c r="B182" s="37" t="str">
        <f aca="false">B114</f>
        <v>239.99</v>
      </c>
      <c r="C182" s="37"/>
      <c r="D182" s="45"/>
      <c r="E182" s="37" t="n">
        <f aca="false">E179+A182+B182+A185</f>
        <v>56964.1148437457</v>
      </c>
      <c r="F182" s="45"/>
      <c r="G182" s="45"/>
      <c r="H182" s="177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55"/>
      <c r="B183" s="25"/>
      <c r="C183" s="25"/>
      <c r="D183" s="45"/>
      <c r="E183" s="25"/>
      <c r="F183" s="45"/>
      <c r="G183" s="45"/>
      <c r="H183" s="2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55" t="s">
        <v>164</v>
      </c>
      <c r="B184" s="25" t="s">
        <v>165</v>
      </c>
      <c r="C184" s="25"/>
      <c r="D184" s="45"/>
      <c r="E184" s="25" t="s">
        <v>166</v>
      </c>
      <c r="F184" s="45"/>
      <c r="G184" s="45"/>
      <c r="H184" s="2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70" t="n">
        <f aca="false">B60</f>
        <v>10</v>
      </c>
      <c r="B185" s="37" t="n">
        <f aca="false">A179+B182</f>
        <v>239.99</v>
      </c>
      <c r="C185" s="37"/>
      <c r="D185" s="45"/>
      <c r="E185" s="37" t="n">
        <f aca="false">E170+A185</f>
        <v>6010</v>
      </c>
      <c r="F185" s="45"/>
      <c r="G185" s="45"/>
      <c r="H185" s="177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55"/>
      <c r="B186" s="25"/>
      <c r="C186" s="25"/>
      <c r="D186" s="25"/>
      <c r="E186" s="45"/>
      <c r="F186" s="45"/>
      <c r="G186" s="45"/>
      <c r="H186" s="2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55" t="s">
        <v>167</v>
      </c>
      <c r="B187" s="25" t="s">
        <v>168</v>
      </c>
      <c r="C187" s="25"/>
      <c r="D187" s="25"/>
      <c r="E187" s="38" t="s">
        <v>169</v>
      </c>
      <c r="F187" s="45"/>
      <c r="G187" s="45"/>
      <c r="H187" s="2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70" t="n">
        <f aca="false">J18*0.000002*100*1.2</f>
        <v>13.8924</v>
      </c>
      <c r="B188" s="37" t="n">
        <f aca="false">(G158*B67)/1.2</f>
        <v>457.2265625</v>
      </c>
      <c r="C188" s="25"/>
      <c r="D188" s="25"/>
      <c r="E188" s="37" t="n">
        <f aca="false">IF(E105 = "YES" , (H36*A108)*0.1 , 0)</f>
        <v>14.1</v>
      </c>
      <c r="F188" s="45"/>
      <c r="G188" s="45"/>
      <c r="H188" s="2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70"/>
      <c r="B189" s="37"/>
      <c r="C189" s="25"/>
      <c r="D189" s="25"/>
      <c r="E189" s="45"/>
      <c r="F189" s="45"/>
      <c r="G189" s="45"/>
      <c r="H189" s="2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78" t="s">
        <v>170</v>
      </c>
      <c r="B190" s="38" t="s">
        <v>171</v>
      </c>
      <c r="C190" s="25"/>
      <c r="D190" s="25"/>
      <c r="E190" s="38" t="s">
        <v>172</v>
      </c>
      <c r="F190" s="45"/>
      <c r="G190" s="45"/>
      <c r="H190" s="2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70" t="n">
        <f aca="false">(B182/1.2)-100</f>
        <v>99.9916666666667</v>
      </c>
      <c r="B191" s="37" t="n">
        <f aca="false">B188+E188+A191</f>
        <v>571.318229166667</v>
      </c>
      <c r="C191" s="25"/>
      <c r="D191" s="25"/>
      <c r="E191" s="37" t="n">
        <f aca="false">H148</f>
        <v>0</v>
      </c>
      <c r="F191" s="45"/>
      <c r="G191" s="45"/>
      <c r="H191" s="2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55"/>
      <c r="B192" s="25"/>
      <c r="C192" s="25"/>
      <c r="D192" s="25"/>
      <c r="E192" s="45"/>
      <c r="F192" s="45"/>
      <c r="G192" s="45"/>
      <c r="H192" s="2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83" t="s">
        <v>173</v>
      </c>
      <c r="B193" s="25"/>
      <c r="C193" s="25"/>
      <c r="D193" s="84"/>
      <c r="E193" s="84"/>
      <c r="F193" s="84"/>
      <c r="G193" s="84"/>
      <c r="H193" s="85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55"/>
      <c r="B194" s="87"/>
      <c r="C194" s="87"/>
      <c r="D194" s="25"/>
      <c r="E194" s="45"/>
      <c r="F194" s="45"/>
      <c r="G194" s="45"/>
      <c r="H194" s="20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88" t="s">
        <v>28</v>
      </c>
      <c r="B195" s="89" t="s">
        <v>33</v>
      </c>
      <c r="C195" s="89"/>
      <c r="D195" s="89"/>
      <c r="E195" s="45"/>
      <c r="F195" s="45"/>
      <c r="G195" s="45"/>
      <c r="H195" s="20"/>
      <c r="J195" s="486"/>
      <c r="K195" s="486"/>
      <c r="L195" s="486"/>
      <c r="M195" s="486"/>
      <c r="N195" s="0"/>
      <c r="O195" s="0"/>
      <c r="P195" s="0"/>
      <c r="Q195" s="0"/>
      <c r="R195" s="0"/>
      <c r="S195" s="486"/>
      <c r="T195" s="486"/>
      <c r="U195" s="486"/>
      <c r="V195" s="486"/>
      <c r="W195" s="0"/>
      <c r="X195" s="0"/>
      <c r="Y195" s="0"/>
      <c r="Z195" s="0"/>
      <c r="AA195" s="0"/>
      <c r="AB195" s="486"/>
      <c r="AC195" s="486"/>
      <c r="AD195" s="486"/>
      <c r="AE195" s="486"/>
      <c r="AF195" s="0"/>
      <c r="AG195" s="0"/>
      <c r="AH195" s="0"/>
      <c r="AI195" s="0"/>
    </row>
    <row r="196" customFormat="false" ht="19.5" hidden="false" customHeight="true" outlineLevel="0" collapsed="false">
      <c r="A196" s="88"/>
      <c r="B196" s="90" t="str">
        <f aca="false">H30</f>
        <v>5000</v>
      </c>
      <c r="C196" s="90"/>
      <c r="D196" s="90"/>
      <c r="E196" s="45"/>
      <c r="F196" s="45"/>
      <c r="G196" s="45"/>
      <c r="H196" s="20"/>
      <c r="J196" s="486"/>
      <c r="K196" s="486"/>
      <c r="L196" s="486"/>
      <c r="M196" s="486"/>
      <c r="N196" s="0"/>
      <c r="O196" s="0"/>
      <c r="P196" s="0"/>
      <c r="Q196" s="0"/>
      <c r="R196" s="0"/>
      <c r="S196" s="486"/>
      <c r="T196" s="486"/>
      <c r="U196" s="486"/>
      <c r="V196" s="486"/>
      <c r="W196" s="0"/>
      <c r="X196" s="0"/>
      <c r="Y196" s="0"/>
      <c r="Z196" s="0"/>
      <c r="AA196" s="0"/>
      <c r="AB196" s="486"/>
      <c r="AC196" s="486"/>
      <c r="AD196" s="486"/>
      <c r="AE196" s="486"/>
      <c r="AF196" s="0"/>
      <c r="AG196" s="0"/>
      <c r="AH196" s="0"/>
      <c r="AI196" s="0"/>
    </row>
    <row r="197" customFormat="false" ht="17.35" hidden="false" customHeight="false" outlineLevel="0" collapsed="false">
      <c r="A197" s="91" t="str">
        <f aca="false">H29</f>
        <v>33</v>
      </c>
      <c r="B197" s="92" t="n">
        <f aca="false">B96</f>
        <v>1607.72890136705</v>
      </c>
      <c r="C197" s="92"/>
      <c r="D197" s="92"/>
      <c r="E197" s="45"/>
      <c r="F197" s="45"/>
      <c r="G197" s="45"/>
      <c r="H197" s="20"/>
      <c r="J197" s="0"/>
      <c r="K197" s="486"/>
      <c r="L197" s="486"/>
      <c r="M197" s="486"/>
      <c r="N197" s="0"/>
      <c r="O197" s="0"/>
      <c r="P197" s="0"/>
      <c r="Q197" s="0"/>
      <c r="R197" s="0"/>
      <c r="S197" s="0"/>
      <c r="T197" s="486"/>
      <c r="U197" s="486"/>
      <c r="V197" s="486"/>
      <c r="W197" s="0"/>
      <c r="X197" s="0"/>
      <c r="Y197" s="0"/>
      <c r="Z197" s="0"/>
      <c r="AA197" s="0"/>
      <c r="AB197" s="0"/>
      <c r="AC197" s="486"/>
      <c r="AD197" s="486"/>
      <c r="AE197" s="486"/>
      <c r="AF197" s="0"/>
      <c r="AG197" s="0"/>
      <c r="AH197" s="0"/>
      <c r="AI197" s="0"/>
    </row>
    <row r="198" customFormat="false" ht="17.35" hidden="false" customHeight="false" outlineLevel="0" collapsed="false">
      <c r="A198" s="55"/>
      <c r="B198" s="25"/>
      <c r="C198" s="25"/>
      <c r="D198" s="25"/>
      <c r="E198" s="45"/>
      <c r="F198" s="45"/>
      <c r="G198" s="45"/>
      <c r="H198" s="20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55"/>
      <c r="B199" s="25"/>
      <c r="C199" s="25"/>
      <c r="D199" s="25"/>
      <c r="E199" s="45"/>
      <c r="F199" s="45"/>
      <c r="G199" s="45"/>
      <c r="H199" s="2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55"/>
      <c r="B200" s="25"/>
      <c r="C200" s="25"/>
      <c r="D200" s="25"/>
      <c r="E200" s="45"/>
      <c r="F200" s="45"/>
      <c r="G200" s="45"/>
      <c r="H200" s="20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55"/>
      <c r="B201" s="25"/>
      <c r="C201" s="25"/>
      <c r="D201" s="25"/>
      <c r="E201" s="45"/>
      <c r="F201" s="45"/>
      <c r="G201" s="45"/>
      <c r="H201" s="20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74"/>
      <c r="B202" s="75"/>
      <c r="C202" s="75"/>
      <c r="D202" s="75"/>
      <c r="E202" s="75"/>
      <c r="F202" s="75"/>
      <c r="G202" s="75"/>
      <c r="H202" s="82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179" t="s">
        <v>153</v>
      </c>
      <c r="B206" s="179"/>
      <c r="C206" s="179"/>
      <c r="D206" s="179"/>
      <c r="E206" s="179"/>
      <c r="F206" s="179"/>
      <c r="G206" s="179"/>
      <c r="H206" s="179"/>
    </row>
    <row r="207" customFormat="false" ht="17.35" hidden="false" customHeight="false" outlineLevel="0" collapsed="false">
      <c r="A207" s="55"/>
      <c r="B207" s="25"/>
      <c r="C207" s="25"/>
      <c r="D207" s="25"/>
      <c r="E207" s="94"/>
      <c r="F207" s="94"/>
      <c r="G207" s="94"/>
      <c r="H207" s="20"/>
    </row>
    <row r="208" customFormat="false" ht="17.35" hidden="false" customHeight="false" outlineLevel="0" collapsed="false">
      <c r="A208" s="180" t="s">
        <v>98</v>
      </c>
      <c r="B208" s="181" t="s">
        <v>174</v>
      </c>
      <c r="C208" s="181"/>
      <c r="D208" s="181"/>
      <c r="E208" s="181" t="s">
        <v>175</v>
      </c>
      <c r="F208" s="182"/>
      <c r="G208" s="94"/>
      <c r="H208" s="20"/>
    </row>
    <row r="209" customFormat="false" ht="17.35" hidden="false" customHeight="false" outlineLevel="0" collapsed="false">
      <c r="A209" s="169" t="s">
        <v>207</v>
      </c>
      <c r="B209" s="170" t="str">
        <f aca="false">A197</f>
        <v>33</v>
      </c>
      <c r="C209" s="170"/>
      <c r="D209" s="170"/>
      <c r="E209" s="170" t="str">
        <f aca="false">B196</f>
        <v>5000</v>
      </c>
      <c r="F209" s="182"/>
      <c r="G209" s="94"/>
      <c r="H209" s="20"/>
    </row>
    <row r="210" customFormat="false" ht="17.35" hidden="false" customHeight="false" outlineLevel="0" collapsed="false">
      <c r="A210" s="55"/>
      <c r="B210" s="25"/>
      <c r="C210" s="25"/>
      <c r="D210" s="25"/>
      <c r="E210" s="94"/>
      <c r="F210" s="94"/>
      <c r="G210" s="94"/>
      <c r="H210" s="20"/>
    </row>
    <row r="211" customFormat="false" ht="17.35" hidden="false" customHeight="false" outlineLevel="0" collapsed="false">
      <c r="A211" s="180" t="s">
        <v>154</v>
      </c>
      <c r="B211" s="181" t="s">
        <v>155</v>
      </c>
      <c r="C211" s="181"/>
      <c r="D211" s="181"/>
      <c r="E211" s="181" t="s">
        <v>156</v>
      </c>
      <c r="F211" s="94"/>
      <c r="G211" s="94"/>
      <c r="H211" s="20"/>
    </row>
    <row r="212" customFormat="false" ht="17.35" hidden="false" customHeight="false" outlineLevel="0" collapsed="false">
      <c r="A212" s="173" t="n">
        <f aca="false">A167</f>
        <v>1584.81640136705</v>
      </c>
      <c r="B212" s="172" t="n">
        <f aca="false">B167</f>
        <v>22.9125</v>
      </c>
      <c r="C212" s="170"/>
      <c r="D212" s="170"/>
      <c r="E212" s="172" t="n">
        <f aca="false">E167</f>
        <v>1607.72890136705</v>
      </c>
      <c r="F212" s="94"/>
      <c r="G212" s="94"/>
      <c r="H212" s="20"/>
    </row>
    <row r="213" customFormat="false" ht="17.35" hidden="false" customHeight="false" outlineLevel="0" collapsed="false">
      <c r="A213" s="55"/>
      <c r="B213" s="25"/>
      <c r="C213" s="25"/>
      <c r="D213" s="25"/>
      <c r="E213" s="94"/>
      <c r="F213" s="94"/>
      <c r="G213" s="94"/>
      <c r="H213" s="20"/>
    </row>
    <row r="214" customFormat="false" ht="17.35" hidden="false" customHeight="false" outlineLevel="0" collapsed="false">
      <c r="A214" s="55" t="s">
        <v>158</v>
      </c>
      <c r="B214" s="25" t="s">
        <v>159</v>
      </c>
      <c r="C214" s="25"/>
      <c r="D214" s="94"/>
      <c r="E214" s="25" t="s">
        <v>160</v>
      </c>
      <c r="F214" s="94"/>
      <c r="G214" s="94"/>
      <c r="H214" s="20"/>
    </row>
    <row r="215" customFormat="false" ht="17.35" hidden="false" customHeight="false" outlineLevel="0" collapsed="false">
      <c r="A215" s="69" t="n">
        <f aca="false">A173</f>
        <v>48237.5</v>
      </c>
      <c r="B215" s="37" t="n">
        <f aca="false">B173</f>
        <v>9647.5</v>
      </c>
      <c r="C215" s="67"/>
      <c r="D215" s="94"/>
      <c r="E215" s="73" t="n">
        <f aca="false">E173</f>
        <v>640</v>
      </c>
      <c r="F215" s="94"/>
      <c r="G215" s="94"/>
      <c r="H215" s="20"/>
    </row>
    <row r="216" customFormat="false" ht="17.35" hidden="false" customHeight="false" outlineLevel="0" collapsed="false">
      <c r="A216" s="55"/>
      <c r="B216" s="25"/>
      <c r="C216" s="25"/>
      <c r="D216" s="94"/>
      <c r="E216" s="25"/>
      <c r="F216" s="94"/>
      <c r="G216" s="94"/>
      <c r="H216" s="20"/>
    </row>
    <row r="217" customFormat="false" ht="17.35" hidden="false" customHeight="false" outlineLevel="0" collapsed="false">
      <c r="A217" s="55" t="s">
        <v>161</v>
      </c>
      <c r="B217" s="25" t="s">
        <v>108</v>
      </c>
      <c r="C217" s="25"/>
      <c r="D217" s="94"/>
      <c r="E217" s="25" t="s">
        <v>109</v>
      </c>
      <c r="F217" s="94"/>
      <c r="G217" s="94"/>
      <c r="H217" s="20"/>
    </row>
    <row r="218" customFormat="false" ht="17.35" hidden="false" customHeight="false" outlineLevel="0" collapsed="false">
      <c r="A218" s="69" t="n">
        <f aca="false">A176</f>
        <v>58525</v>
      </c>
      <c r="B218" s="37" t="n">
        <f aca="false">B176</f>
        <v>0</v>
      </c>
      <c r="C218" s="37"/>
      <c r="D218" s="94"/>
      <c r="E218" s="37" t="n">
        <f aca="false">E176</f>
        <v>0</v>
      </c>
      <c r="F218" s="94"/>
      <c r="G218" s="94"/>
      <c r="H218" s="177"/>
    </row>
    <row r="219" customFormat="false" ht="17.35" hidden="false" customHeight="false" outlineLevel="0" collapsed="false">
      <c r="A219" s="55"/>
      <c r="B219" s="25"/>
      <c r="C219" s="25"/>
      <c r="D219" s="94"/>
      <c r="E219" s="25"/>
      <c r="F219" s="94"/>
      <c r="G219" s="94"/>
      <c r="H219" s="20"/>
    </row>
    <row r="220" customFormat="false" ht="17.35" hidden="false" customHeight="false" outlineLevel="0" collapsed="false">
      <c r="A220" s="55" t="s">
        <v>110</v>
      </c>
      <c r="B220" s="25" t="s">
        <v>146</v>
      </c>
      <c r="C220" s="25"/>
      <c r="D220" s="94"/>
      <c r="E220" s="25" t="s">
        <v>151</v>
      </c>
      <c r="F220" s="94"/>
      <c r="G220" s="94"/>
      <c r="H220" s="20"/>
    </row>
    <row r="221" customFormat="false" ht="17.35" hidden="false" customHeight="false" outlineLevel="0" collapsed="false">
      <c r="A221" s="70" t="n">
        <f aca="false">A179</f>
        <v>0</v>
      </c>
      <c r="B221" s="37" t="n">
        <f aca="false">B179</f>
        <v>0</v>
      </c>
      <c r="C221" s="37"/>
      <c r="D221" s="94"/>
      <c r="E221" s="37" t="n">
        <f aca="false">E179</f>
        <v>58525</v>
      </c>
      <c r="F221" s="94"/>
      <c r="G221" s="94"/>
      <c r="H221" s="177"/>
    </row>
    <row r="222" customFormat="false" ht="17.35" hidden="false" customHeight="false" outlineLevel="0" collapsed="false">
      <c r="A222" s="55"/>
      <c r="B222" s="25"/>
      <c r="C222" s="25"/>
      <c r="D222" s="94"/>
      <c r="E222" s="25"/>
      <c r="F222" s="94"/>
      <c r="G222" s="94"/>
      <c r="H222" s="20"/>
    </row>
    <row r="223" customFormat="false" ht="17.35" hidden="false" customHeight="false" outlineLevel="0" collapsed="false">
      <c r="A223" s="55" t="s">
        <v>162</v>
      </c>
      <c r="B223" s="25" t="s">
        <v>152</v>
      </c>
      <c r="C223" s="25"/>
      <c r="D223" s="94"/>
      <c r="E223" s="25" t="s">
        <v>163</v>
      </c>
      <c r="F223" s="94"/>
      <c r="G223" s="94"/>
      <c r="H223" s="20"/>
    </row>
    <row r="224" customFormat="false" ht="17.35" hidden="false" customHeight="false" outlineLevel="0" collapsed="false">
      <c r="A224" s="70" t="n">
        <f aca="false">A182</f>
        <v>-1810.8751562543</v>
      </c>
      <c r="B224" s="37" t="str">
        <f aca="false">B182</f>
        <v>239.99</v>
      </c>
      <c r="C224" s="37"/>
      <c r="D224" s="94"/>
      <c r="E224" s="37" t="n">
        <f aca="false">E182</f>
        <v>56964.1148437457</v>
      </c>
      <c r="F224" s="94"/>
      <c r="G224" s="94"/>
      <c r="H224" s="177"/>
    </row>
    <row r="225" customFormat="false" ht="17.35" hidden="false" customHeight="false" outlineLevel="0" collapsed="false">
      <c r="A225" s="55"/>
      <c r="B225" s="25"/>
      <c r="C225" s="25"/>
      <c r="D225" s="94"/>
      <c r="E225" s="25"/>
      <c r="F225" s="94"/>
      <c r="G225" s="94"/>
      <c r="H225" s="20"/>
    </row>
    <row r="226" customFormat="false" ht="17.35" hidden="false" customHeight="false" outlineLevel="0" collapsed="false">
      <c r="A226" s="55" t="s">
        <v>164</v>
      </c>
      <c r="B226" s="25" t="s">
        <v>165</v>
      </c>
      <c r="C226" s="25"/>
      <c r="D226" s="94"/>
      <c r="E226" s="25" t="s">
        <v>177</v>
      </c>
      <c r="F226" s="94"/>
      <c r="G226" s="94"/>
      <c r="H226" s="20"/>
    </row>
    <row r="227" customFormat="false" ht="17.35" hidden="false" customHeight="false" outlineLevel="0" collapsed="false">
      <c r="A227" s="70" t="n">
        <f aca="false">A185</f>
        <v>10</v>
      </c>
      <c r="B227" s="37" t="n">
        <f aca="false">B185</f>
        <v>239.99</v>
      </c>
      <c r="C227" s="37"/>
      <c r="D227" s="94"/>
      <c r="E227" s="37" t="n">
        <f aca="false">B59</f>
        <v>32</v>
      </c>
      <c r="F227" s="94"/>
      <c r="G227" s="94"/>
      <c r="H227" s="177"/>
    </row>
    <row r="228" customFormat="false" ht="17.35" hidden="false" customHeight="false" outlineLevel="0" collapsed="false">
      <c r="A228" s="55"/>
      <c r="B228" s="25"/>
      <c r="C228" s="25"/>
      <c r="D228" s="25"/>
      <c r="E228" s="94"/>
      <c r="F228" s="94"/>
      <c r="G228" s="94"/>
      <c r="H228" s="20"/>
    </row>
    <row r="229" customFormat="false" ht="17.35" hidden="false" customHeight="false" outlineLevel="0" collapsed="false">
      <c r="A229" s="55" t="s">
        <v>154</v>
      </c>
      <c r="B229" s="25" t="s">
        <v>155</v>
      </c>
      <c r="C229" s="25"/>
      <c r="D229" s="25"/>
      <c r="E229" s="25" t="s">
        <v>156</v>
      </c>
      <c r="F229" s="94"/>
      <c r="G229" s="94"/>
      <c r="H229" s="20"/>
    </row>
    <row r="230" customFormat="false" ht="17.35" hidden="false" customHeight="false" outlineLevel="0" collapsed="false">
      <c r="A230" s="70" t="n">
        <f aca="false">A167</f>
        <v>1584.81640136705</v>
      </c>
      <c r="B230" s="37" t="n">
        <f aca="false">B167</f>
        <v>22.9125</v>
      </c>
      <c r="C230" s="67"/>
      <c r="D230" s="67"/>
      <c r="E230" s="37" t="n">
        <f aca="false">E167</f>
        <v>1607.72890136705</v>
      </c>
      <c r="F230" s="94"/>
      <c r="G230" s="94"/>
      <c r="H230" s="20"/>
    </row>
    <row r="231" customFormat="false" ht="17.35" hidden="false" customHeight="false" outlineLevel="0" collapsed="false">
      <c r="A231" s="55"/>
      <c r="B231" s="25"/>
      <c r="C231" s="25"/>
      <c r="D231" s="25"/>
      <c r="E231" s="94"/>
      <c r="F231" s="94"/>
      <c r="G231" s="94"/>
      <c r="H231" s="20"/>
    </row>
    <row r="232" customFormat="false" ht="17.35" hidden="false" customHeight="false" outlineLevel="0" collapsed="false">
      <c r="A232" s="55" t="s">
        <v>157</v>
      </c>
      <c r="B232" s="25" t="s">
        <v>179</v>
      </c>
      <c r="C232" s="25"/>
      <c r="D232" s="25"/>
      <c r="E232" s="25" t="s">
        <v>181</v>
      </c>
      <c r="F232" s="94"/>
      <c r="G232" s="94"/>
      <c r="H232" s="20"/>
    </row>
    <row r="233" customFormat="false" ht="17.35" hidden="false" customHeight="false" outlineLevel="0" collapsed="false">
      <c r="A233" s="70" t="n">
        <f aca="false">E170</f>
        <v>6000</v>
      </c>
      <c r="B233" s="37" t="n">
        <f aca="false">E185</f>
        <v>6010</v>
      </c>
      <c r="C233" s="25"/>
      <c r="D233" s="25"/>
      <c r="E233" s="37" t="n">
        <f aca="false">A188</f>
        <v>13.8924</v>
      </c>
      <c r="F233" s="94"/>
      <c r="G233" s="94"/>
      <c r="H233" s="20"/>
    </row>
    <row r="234" customFormat="false" ht="17.35" hidden="false" customHeight="false" outlineLevel="0" collapsed="false">
      <c r="A234" s="70"/>
      <c r="B234" s="37"/>
      <c r="C234" s="25"/>
      <c r="D234" s="25"/>
      <c r="E234" s="37"/>
      <c r="F234" s="94"/>
      <c r="G234" s="94"/>
      <c r="H234" s="20"/>
    </row>
    <row r="235" customFormat="false" ht="17.35" hidden="false" customHeight="false" outlineLevel="0" collapsed="false">
      <c r="A235" s="78" t="s">
        <v>102</v>
      </c>
      <c r="B235" s="37"/>
      <c r="C235" s="25"/>
      <c r="D235" s="25"/>
      <c r="E235" s="37"/>
      <c r="F235" s="94"/>
      <c r="G235" s="94"/>
      <c r="H235" s="20"/>
    </row>
    <row r="236" customFormat="false" ht="17.35" hidden="false" customHeight="false" outlineLevel="0" collapsed="false">
      <c r="A236" s="70"/>
      <c r="B236" s="37"/>
      <c r="C236" s="25"/>
      <c r="D236" s="25"/>
      <c r="E236" s="37"/>
      <c r="F236" s="94"/>
      <c r="G236" s="94"/>
      <c r="H236" s="20"/>
    </row>
    <row r="237" customFormat="false" ht="17.35" hidden="false" customHeight="false" outlineLevel="0" collapsed="false">
      <c r="A237" s="70"/>
      <c r="B237" s="37"/>
      <c r="C237" s="25"/>
      <c r="D237" s="25"/>
      <c r="E237" s="37"/>
      <c r="F237" s="94"/>
      <c r="G237" s="94"/>
      <c r="H237" s="20"/>
    </row>
    <row r="238" customFormat="false" ht="22.05" hidden="false" customHeight="false" outlineLevel="0" collapsed="false">
      <c r="A238" s="184" t="s">
        <v>183</v>
      </c>
      <c r="B238" s="184"/>
      <c r="C238" s="184"/>
      <c r="D238" s="184"/>
      <c r="E238" s="184"/>
      <c r="F238" s="184"/>
      <c r="G238" s="184"/>
      <c r="H238" s="184"/>
    </row>
    <row r="239" customFormat="false" ht="17.35" hidden="false" customHeight="false" outlineLevel="0" collapsed="false">
      <c r="A239" s="55" t="s">
        <v>184</v>
      </c>
      <c r="B239" s="25" t="s">
        <v>168</v>
      </c>
      <c r="C239" s="25"/>
      <c r="D239" s="25"/>
      <c r="E239" s="38" t="s">
        <v>169</v>
      </c>
      <c r="F239" s="94"/>
      <c r="G239" s="94"/>
      <c r="H239" s="20"/>
    </row>
    <row r="240" customFormat="false" ht="17.35" hidden="false" customHeight="false" outlineLevel="0" collapsed="false">
      <c r="A240" s="70" t="n">
        <f aca="false">H148</f>
        <v>0</v>
      </c>
      <c r="B240" s="37" t="n">
        <f aca="false">B188</f>
        <v>457.2265625</v>
      </c>
      <c r="C240" s="25"/>
      <c r="D240" s="25"/>
      <c r="E240" s="37" t="n">
        <f aca="false">E188</f>
        <v>14.1</v>
      </c>
      <c r="F240" s="94"/>
      <c r="G240" s="94"/>
      <c r="H240" s="20"/>
    </row>
    <row r="241" customFormat="false" ht="17.35" hidden="false" customHeight="false" outlineLevel="0" collapsed="false">
      <c r="A241" s="70"/>
      <c r="B241" s="37"/>
      <c r="C241" s="25"/>
      <c r="D241" s="25"/>
      <c r="E241" s="94"/>
      <c r="F241" s="94"/>
      <c r="G241" s="94"/>
      <c r="H241" s="20"/>
    </row>
    <row r="242" customFormat="false" ht="17.35" hidden="false" customHeight="false" outlineLevel="0" collapsed="false">
      <c r="A242" s="78" t="s">
        <v>170</v>
      </c>
      <c r="B242" s="38" t="s">
        <v>171</v>
      </c>
      <c r="C242" s="25"/>
      <c r="D242" s="25"/>
      <c r="E242" s="38"/>
      <c r="F242" s="94"/>
      <c r="G242" s="94"/>
      <c r="H242" s="20"/>
    </row>
    <row r="243" customFormat="false" ht="17.35" hidden="false" customHeight="false" outlineLevel="0" collapsed="false">
      <c r="A243" s="70" t="n">
        <f aca="false">A191</f>
        <v>99.9916666666667</v>
      </c>
      <c r="B243" s="37" t="n">
        <f aca="false">B240+E240+A243+A240</f>
        <v>571.318229166667</v>
      </c>
      <c r="C243" s="25"/>
      <c r="D243" s="25"/>
      <c r="E243" s="37"/>
      <c r="F243" s="94"/>
      <c r="G243" s="94"/>
      <c r="H243" s="20"/>
    </row>
    <row r="244" customFormat="false" ht="17.35" hidden="false" customHeight="false" outlineLevel="0" collapsed="false">
      <c r="A244" s="55"/>
      <c r="B244" s="25"/>
      <c r="C244" s="25"/>
      <c r="D244" s="25"/>
      <c r="E244" s="94"/>
      <c r="F244" s="94"/>
      <c r="G244" s="94"/>
      <c r="H244" s="20"/>
    </row>
    <row r="245" customFormat="false" ht="17.35" hidden="false" customHeight="false" outlineLevel="0" collapsed="false">
      <c r="A245" s="74"/>
      <c r="B245" s="75"/>
      <c r="C245" s="75"/>
      <c r="D245" s="75"/>
      <c r="E245" s="75"/>
      <c r="F245" s="75"/>
      <c r="G245" s="75"/>
      <c r="H245" s="82"/>
    </row>
    <row r="251" customFormat="false" ht="22.05" hidden="false" customHeight="false" outlineLevel="0" collapsed="false">
      <c r="A251" s="179" t="s">
        <v>185</v>
      </c>
      <c r="B251" s="179"/>
      <c r="C251" s="179"/>
      <c r="D251" s="179"/>
      <c r="E251" s="179"/>
      <c r="F251" s="179"/>
      <c r="G251" s="179"/>
      <c r="H251" s="179"/>
    </row>
    <row r="252" customFormat="false" ht="17.35" hidden="false" customHeight="false" outlineLevel="0" collapsed="false">
      <c r="A252" s="55"/>
      <c r="B252" s="178"/>
      <c r="C252" s="178"/>
      <c r="D252" s="178"/>
      <c r="E252" s="45"/>
      <c r="F252" s="45"/>
      <c r="G252" s="45"/>
      <c r="H252" s="20"/>
    </row>
    <row r="253" customFormat="false" ht="17.35" hidden="false" customHeight="false" outlineLevel="0" collapsed="false">
      <c r="A253" s="180" t="s">
        <v>186</v>
      </c>
      <c r="B253" s="185" t="n">
        <f aca="false">B63</f>
        <v>0.065</v>
      </c>
      <c r="C253" s="186"/>
      <c r="D253" s="187" t="s">
        <v>187</v>
      </c>
      <c r="E253" s="187"/>
      <c r="F253" s="185" t="n">
        <f aca="false">B83</f>
        <v>0.115</v>
      </c>
      <c r="G253" s="45"/>
      <c r="H253" s="20"/>
    </row>
    <row r="254" customFormat="false" ht="17.35" hidden="false" customHeight="false" outlineLevel="0" collapsed="false">
      <c r="A254" s="180" t="s">
        <v>188</v>
      </c>
      <c r="B254" s="188"/>
      <c r="C254" s="186"/>
      <c r="D254" s="187" t="s">
        <v>189</v>
      </c>
      <c r="E254" s="187"/>
      <c r="F254" s="188" t="n">
        <f aca="false">F261+F267+F269+B270+B271</f>
        <v>548.671875</v>
      </c>
      <c r="G254" s="45"/>
      <c r="H254" s="20"/>
    </row>
    <row r="255" customFormat="false" ht="17.35" hidden="false" customHeight="false" outlineLevel="0" collapsed="false">
      <c r="A255" s="180" t="s">
        <v>190</v>
      </c>
      <c r="B255" s="188" t="n">
        <f aca="false">F262+B263</f>
        <v>240.991666666667</v>
      </c>
      <c r="C255" s="186"/>
      <c r="D255" s="187" t="s">
        <v>191</v>
      </c>
      <c r="E255" s="187"/>
      <c r="F255" s="188" t="n">
        <f aca="false">(B254-F254)+B255</f>
        <v>-307.680208333333</v>
      </c>
      <c r="G255" s="45"/>
      <c r="H255" s="20"/>
    </row>
    <row r="256" customFormat="false" ht="17.35" hidden="false" customHeight="false" outlineLevel="0" collapsed="false">
      <c r="A256" s="189"/>
      <c r="B256" s="187"/>
      <c r="C256" s="190"/>
      <c r="D256" s="190"/>
      <c r="E256" s="190"/>
      <c r="F256" s="190"/>
      <c r="G256" s="191"/>
      <c r="H256" s="192"/>
    </row>
    <row r="257" customFormat="false" ht="17.35" hidden="false" customHeight="false" outlineLevel="0" collapsed="false">
      <c r="A257" s="55" t="s">
        <v>186</v>
      </c>
      <c r="B257" s="193" t="n">
        <f aca="false">B253</f>
        <v>0.065</v>
      </c>
      <c r="C257" s="186"/>
      <c r="D257" s="186"/>
      <c r="E257" s="186"/>
      <c r="F257" s="186"/>
      <c r="G257" s="45"/>
      <c r="H257" s="20"/>
    </row>
    <row r="258" customFormat="false" ht="17.35" hidden="false" customHeight="false" outlineLevel="0" collapsed="false">
      <c r="A258" s="194"/>
      <c r="B258" s="195"/>
      <c r="C258" s="196"/>
      <c r="D258" s="196"/>
      <c r="E258" s="191"/>
      <c r="F258" s="191"/>
      <c r="G258" s="191"/>
      <c r="H258" s="192"/>
    </row>
    <row r="259" customFormat="false" ht="17.35" hidden="false" customHeight="false" outlineLevel="0" collapsed="false">
      <c r="A259" s="55" t="s">
        <v>192</v>
      </c>
      <c r="B259" s="193" t="n">
        <f aca="false">B64</f>
        <v>0.05</v>
      </c>
      <c r="C259" s="178"/>
      <c r="D259" s="38" t="s">
        <v>193</v>
      </c>
      <c r="E259" s="38"/>
      <c r="F259" s="193" t="n">
        <v>0</v>
      </c>
      <c r="G259" s="45"/>
      <c r="H259" s="20"/>
    </row>
    <row r="260" customFormat="false" ht="17.35" hidden="false" customHeight="false" outlineLevel="0" collapsed="false">
      <c r="A260" s="123" t="s">
        <v>187</v>
      </c>
      <c r="B260" s="197" t="n">
        <f aca="false">B83</f>
        <v>0.115</v>
      </c>
      <c r="C260" s="198"/>
      <c r="D260" s="38" t="s">
        <v>188</v>
      </c>
      <c r="E260" s="38"/>
      <c r="F260" s="199" t="n">
        <f aca="false">(B89*B59)-(C89*B59)</f>
        <v>0</v>
      </c>
      <c r="G260" s="45"/>
      <c r="H260" s="20"/>
    </row>
    <row r="261" customFormat="false" ht="17.35" hidden="false" customHeight="false" outlineLevel="0" collapsed="false">
      <c r="A261" s="55" t="s">
        <v>194</v>
      </c>
      <c r="B261" s="197" t="n">
        <f aca="false">B67</f>
        <v>0.009375</v>
      </c>
      <c r="C261" s="178"/>
      <c r="D261" s="38" t="s">
        <v>194</v>
      </c>
      <c r="E261" s="38"/>
      <c r="F261" s="152" t="n">
        <f aca="false">B68</f>
        <v>548.671875</v>
      </c>
      <c r="G261" s="45"/>
      <c r="H261" s="20"/>
    </row>
    <row r="262" customFormat="false" ht="17.35" hidden="false" customHeight="false" outlineLevel="0" collapsed="false">
      <c r="A262" s="55" t="s">
        <v>195</v>
      </c>
      <c r="B262" s="193" t="n">
        <f aca="false">A108</f>
        <v>0.3</v>
      </c>
      <c r="C262" s="178"/>
      <c r="D262" s="38" t="s">
        <v>195</v>
      </c>
      <c r="E262" s="38"/>
      <c r="F262" s="199" t="n">
        <f aca="false">E240*10</f>
        <v>141</v>
      </c>
      <c r="G262" s="45"/>
      <c r="H262" s="20"/>
    </row>
    <row r="263" customFormat="false" ht="17.35" hidden="false" customHeight="false" outlineLevel="0" collapsed="false">
      <c r="A263" s="55" t="s">
        <v>196</v>
      </c>
      <c r="B263" s="199" t="n">
        <f aca="false">A243</f>
        <v>99.9916666666667</v>
      </c>
      <c r="C263" s="178"/>
      <c r="D263" s="200" t="s">
        <v>191</v>
      </c>
      <c r="E263" s="200"/>
      <c r="F263" s="199" t="n">
        <f aca="false">(B254-F254)+B255</f>
        <v>-307.680208333333</v>
      </c>
      <c r="G263" s="45"/>
      <c r="H263" s="20"/>
    </row>
    <row r="264" customFormat="false" ht="17.35" hidden="false" customHeight="false" outlineLevel="0" collapsed="false">
      <c r="A264" s="70"/>
      <c r="B264" s="201"/>
      <c r="C264" s="178"/>
      <c r="D264" s="178"/>
      <c r="E264" s="201"/>
      <c r="F264" s="45"/>
      <c r="G264" s="45"/>
      <c r="H264" s="20"/>
    </row>
    <row r="265" customFormat="false" ht="22.05" hidden="false" customHeight="false" outlineLevel="0" collapsed="false">
      <c r="A265" s="184" t="s">
        <v>197</v>
      </c>
      <c r="B265" s="184"/>
      <c r="C265" s="184"/>
      <c r="D265" s="184"/>
      <c r="E265" s="184"/>
      <c r="F265" s="184"/>
      <c r="G265" s="184"/>
      <c r="H265" s="184"/>
    </row>
    <row r="266" customFormat="false" ht="17.35" hidden="false" customHeight="false" outlineLevel="0" collapsed="false">
      <c r="A266" s="55" t="s">
        <v>198</v>
      </c>
      <c r="B266" s="152" t="n">
        <v>0</v>
      </c>
      <c r="C266" s="178"/>
      <c r="D266" s="202" t="s">
        <v>199</v>
      </c>
      <c r="E266" s="202"/>
      <c r="F266" s="152" t="n">
        <v>0</v>
      </c>
      <c r="G266" s="45"/>
      <c r="H266" s="20"/>
    </row>
    <row r="267" customFormat="false" ht="17.35" hidden="false" customHeight="false" outlineLevel="0" collapsed="false">
      <c r="A267" s="70"/>
      <c r="B267" s="199"/>
      <c r="C267" s="178"/>
      <c r="D267" s="38" t="s">
        <v>200</v>
      </c>
      <c r="E267" s="38"/>
      <c r="F267" s="199" t="n">
        <f aca="false">B266+F266*B209</f>
        <v>0</v>
      </c>
      <c r="G267" s="45"/>
      <c r="H267" s="20"/>
    </row>
    <row r="268" customFormat="false" ht="17.35" hidden="false" customHeight="false" outlineLevel="0" collapsed="false">
      <c r="A268" s="78" t="s">
        <v>201</v>
      </c>
      <c r="B268" s="203" t="s">
        <v>4</v>
      </c>
      <c r="C268" s="178"/>
      <c r="D268" s="38" t="s">
        <v>202</v>
      </c>
      <c r="E268" s="38"/>
      <c r="F268" s="203" t="n">
        <f aca="false">B70</f>
        <v>0</v>
      </c>
      <c r="G268" s="45"/>
      <c r="H268" s="20"/>
    </row>
    <row r="269" customFormat="false" ht="17.35" hidden="false" customHeight="false" outlineLevel="0" collapsed="false">
      <c r="A269" s="78"/>
      <c r="B269" s="204"/>
      <c r="C269" s="178"/>
      <c r="D269" s="38" t="s">
        <v>203</v>
      </c>
      <c r="E269" s="38"/>
      <c r="F269" s="199" t="n">
        <f aca="false">B91</f>
        <v>0</v>
      </c>
      <c r="G269" s="45"/>
      <c r="H269" s="20"/>
    </row>
    <row r="270" customFormat="false" ht="17.35" hidden="false" customHeight="false" outlineLevel="0" collapsed="false">
      <c r="A270" s="78" t="s">
        <v>204</v>
      </c>
      <c r="B270" s="152" t="n">
        <v>0</v>
      </c>
      <c r="C270" s="178"/>
      <c r="D270" s="178"/>
      <c r="E270" s="201"/>
      <c r="F270" s="45"/>
      <c r="G270" s="45"/>
      <c r="H270" s="20"/>
    </row>
    <row r="271" customFormat="false" ht="17.35" hidden="false" customHeight="false" outlineLevel="0" collapsed="false">
      <c r="A271" s="55" t="s">
        <v>205</v>
      </c>
      <c r="B271" s="152" t="n">
        <v>0</v>
      </c>
      <c r="C271" s="178"/>
      <c r="D271" s="178"/>
      <c r="E271" s="45"/>
      <c r="F271" s="45"/>
      <c r="G271" s="45"/>
      <c r="H271" s="20"/>
    </row>
    <row r="272" customFormat="false" ht="17.35" hidden="false" customHeight="false" outlineLevel="0" collapsed="false">
      <c r="A272" s="74"/>
      <c r="B272" s="75"/>
      <c r="C272" s="75"/>
      <c r="D272" s="75"/>
      <c r="E272" s="75"/>
      <c r="F272" s="75"/>
      <c r="G272" s="75"/>
      <c r="H272" s="82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operator="between" showDropDown="false" showErrorMessage="true" showInputMessage="false" sqref="B38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true" sqref="B105" type="list">
      <formula1>#ref!</formula1>
      <formula2>0</formula2>
    </dataValidation>
    <dataValidation allowBlank="true" operator="between" showDropDown="false" showErrorMessage="true" showInputMessage="true" sqref="A18:A20" type="list">
      <formula1>#ref!</formula1>
      <formula2>0</formula2>
    </dataValidation>
    <dataValidation allowBlank="true" operator="between" showDropDown="false" showErrorMessage="true" showInputMessage="true" sqref="C108:D108" type="list">
      <formula1>#ref!</formula1>
      <formula2>0</formula2>
    </dataValidation>
    <dataValidation allowBlank="true" operator="between" showDropDown="false" showErrorMessage="true" showInputMessage="true" sqref="A144:A146" type="list">
      <formula1>#ref!</formula1>
      <formula2>0</formula2>
    </dataValidation>
    <dataValidation allowBlank="true" operator="between" showDropDown="false" showErrorMessage="true" showInputMessage="true" sqref="E105" type="list">
      <formula1>"YES,NO"</formula1>
      <formula2>0</formula2>
    </dataValidation>
    <dataValidation allowBlank="true" operator="between" showDropDown="false" showErrorMessage="true" showInputMessage="true" sqref="A111" type="list">
      <formula1>"YES,NO"</formula1>
      <formula2>0</formula2>
    </dataValidation>
    <dataValidation allowBlank="true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1" colorId="64" zoomScale="75" zoomScaleNormal="75" zoomScalePageLayoutView="100" workbookViewId="0">
      <selection pane="topLeft" activeCell="B222" activeCellId="0" sqref="B222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396" t="s">
        <v>324</v>
      </c>
      <c r="B1" s="396"/>
      <c r="C1" s="396"/>
      <c r="D1" s="396"/>
      <c r="E1" s="396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8.75" hidden="false" customHeight="true" outlineLevel="0" collapsed="false">
      <c r="A2" s="261"/>
      <c r="B2" s="474" t="s">
        <v>115</v>
      </c>
      <c r="C2" s="474" t="s">
        <v>116</v>
      </c>
      <c r="D2" s="474" t="s">
        <v>117</v>
      </c>
      <c r="E2" s="399" t="s">
        <v>118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8.75" hidden="false" customHeight="true" outlineLevel="0" collapsed="false">
      <c r="A3" s="209" t="s">
        <v>121</v>
      </c>
      <c r="B3" s="475" t="n">
        <v>46854.17</v>
      </c>
      <c r="C3" s="475" t="n">
        <v>0</v>
      </c>
      <c r="D3" s="475" t="n">
        <v>833.33</v>
      </c>
      <c r="E3" s="476" t="n">
        <v>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8.75" hidden="false" customHeight="true" outlineLevel="0" collapsed="false">
      <c r="A4" s="209" t="s">
        <v>122</v>
      </c>
      <c r="B4" s="493" t="n">
        <v>0</v>
      </c>
      <c r="C4" s="493" t="n">
        <v>0</v>
      </c>
      <c r="D4" s="493" t="n">
        <v>0</v>
      </c>
      <c r="E4" s="260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8.75" hidden="false" customHeight="true" outlineLevel="0" collapsed="false">
      <c r="A5" s="209" t="s">
        <v>123</v>
      </c>
      <c r="B5" s="475" t="n">
        <v>0</v>
      </c>
      <c r="C5" s="475" t="n">
        <v>0</v>
      </c>
      <c r="D5" s="475" t="n">
        <v>0</v>
      </c>
      <c r="E5" s="273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8.75" hidden="false" customHeight="true" outlineLevel="0" collapsed="false">
      <c r="A6" s="209" t="s">
        <v>124</v>
      </c>
      <c r="B6" s="79" t="n">
        <f aca="false">(B3*B4/100)+B5</f>
        <v>0</v>
      </c>
      <c r="C6" s="79" t="n">
        <f aca="false">(C3*C4/100)+C5</f>
        <v>0</v>
      </c>
      <c r="D6" s="79" t="n">
        <f aca="false">(D3*D4/100)+D5</f>
        <v>0</v>
      </c>
      <c r="E6" s="273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8.75" hidden="false" customHeight="true" outlineLevel="0" collapsed="false">
      <c r="A7" s="209" t="s">
        <v>125</v>
      </c>
      <c r="B7" s="79" t="n">
        <f aca="false">B3-B6</f>
        <v>46854.17</v>
      </c>
      <c r="C7" s="79" t="n">
        <f aca="false">C3-C6</f>
        <v>0</v>
      </c>
      <c r="D7" s="79" t="n">
        <f aca="false">D3-D6</f>
        <v>833.33</v>
      </c>
      <c r="E7" s="273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8.75" hidden="false" customHeight="true" outlineLevel="0" collapsed="false">
      <c r="A8" s="209"/>
      <c r="B8" s="207"/>
      <c r="C8" s="207"/>
      <c r="D8" s="207"/>
      <c r="E8" s="210"/>
      <c r="F8" s="19"/>
      <c r="G8" s="19"/>
      <c r="H8" s="19"/>
      <c r="I8" s="26" t="s">
        <v>3</v>
      </c>
      <c r="J8" s="27" t="n">
        <f aca="false">E13+E14</f>
        <v>640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8.75" hidden="false" customHeight="true" outlineLevel="0" collapsed="false">
      <c r="A9" s="402" t="s">
        <v>133</v>
      </c>
      <c r="B9" s="402"/>
      <c r="C9" s="402"/>
      <c r="D9" s="402"/>
      <c r="E9" s="494" t="n">
        <f aca="false">B7+C7+D7+E3</f>
        <v>47687.5</v>
      </c>
      <c r="F9" s="19"/>
      <c r="G9" s="19"/>
      <c r="H9" s="19"/>
      <c r="I9" s="27"/>
      <c r="J9" s="27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8.75" hidden="false" customHeight="true" outlineLevel="0" collapsed="false">
      <c r="A10" s="404" t="s">
        <v>134</v>
      </c>
      <c r="B10" s="404"/>
      <c r="C10" s="404"/>
      <c r="D10" s="404"/>
      <c r="E10" s="476" t="n">
        <v>550</v>
      </c>
      <c r="F10" s="19"/>
      <c r="G10" s="19"/>
      <c r="H10" s="19"/>
      <c r="I10" s="32" t="s">
        <v>1</v>
      </c>
      <c r="J10" s="27" t="n">
        <f aca="false">E15-E11-J8</f>
        <v>48237.5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8.75" hidden="false" customHeight="true" outlineLevel="0" collapsed="false">
      <c r="A11" s="404" t="s">
        <v>135</v>
      </c>
      <c r="B11" s="404"/>
      <c r="C11" s="404"/>
      <c r="D11" s="404"/>
      <c r="E11" s="273" t="n">
        <f aca="false">(E9+E10)*20%</f>
        <v>9647.5</v>
      </c>
      <c r="F11" s="19"/>
      <c r="G11" s="19"/>
      <c r="H11" s="19"/>
      <c r="I11" s="27"/>
      <c r="J11" s="27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8.75" hidden="false" customHeight="true" outlineLevel="0" collapsed="false">
      <c r="A12" s="404" t="s">
        <v>136</v>
      </c>
      <c r="B12" s="404"/>
      <c r="C12" s="404"/>
      <c r="D12" s="404"/>
      <c r="E12" s="476" t="n"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8.75" hidden="false" customHeight="true" outlineLevel="0" collapsed="false">
      <c r="A13" s="404" t="s">
        <v>137</v>
      </c>
      <c r="B13" s="404"/>
      <c r="C13" s="404"/>
      <c r="D13" s="404"/>
      <c r="E13" s="476" t="n">
        <v>585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8.75" hidden="false" customHeight="true" outlineLevel="0" collapsed="false">
      <c r="A14" s="404" t="s">
        <v>138</v>
      </c>
      <c r="B14" s="404"/>
      <c r="C14" s="404"/>
      <c r="D14" s="404"/>
      <c r="E14" s="476" t="n">
        <v>55</v>
      </c>
      <c r="F14" s="19"/>
      <c r="G14" s="19" t="s">
        <v>13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8.75" hidden="false" customHeight="true" outlineLevel="0" collapsed="false">
      <c r="A15" s="404" t="s">
        <v>139</v>
      </c>
      <c r="B15" s="404"/>
      <c r="C15" s="404"/>
      <c r="D15" s="404"/>
      <c r="E15" s="495" t="n">
        <f aca="false">(E9+E10+E13+E14+E11)-E12</f>
        <v>58525</v>
      </c>
      <c r="F15" s="19"/>
      <c r="G15" s="205" t="n">
        <f aca="false">E15</f>
        <v>58525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8.75" hidden="false" customHeight="true" outlineLevel="0" collapsed="false">
      <c r="A16" s="404" t="s">
        <v>140</v>
      </c>
      <c r="B16" s="404"/>
      <c r="C16" s="404"/>
      <c r="D16" s="404"/>
      <c r="E16" s="476" t="n">
        <v>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6" t="s">
        <v>15</v>
      </c>
      <c r="Z16" s="19"/>
    </row>
    <row r="17" customFormat="false" ht="18.75" hidden="false" customHeight="true" outlineLevel="0" collapsed="false">
      <c r="A17" s="349" t="s">
        <v>141</v>
      </c>
      <c r="B17" s="349"/>
      <c r="C17" s="349"/>
      <c r="D17" s="349"/>
      <c r="E17" s="210"/>
      <c r="F17" s="19"/>
      <c r="G17" s="19" t="s">
        <v>16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6" t="s">
        <v>17</v>
      </c>
      <c r="Z17" s="19"/>
    </row>
    <row r="18" customFormat="false" ht="18.75" hidden="false" customHeight="true" outlineLevel="0" collapsed="false">
      <c r="A18" s="405" t="s">
        <v>15</v>
      </c>
      <c r="B18" s="406" t="s">
        <v>142</v>
      </c>
      <c r="C18" s="406"/>
      <c r="D18" s="406"/>
      <c r="E18" s="479" t="n">
        <v>0</v>
      </c>
      <c r="F18" s="19"/>
      <c r="G18" s="205" t="n">
        <f aca="false">(B3+C3+D3+E3+E10)*1.2</f>
        <v>57885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6" t="s">
        <v>18</v>
      </c>
      <c r="Z18" s="19"/>
    </row>
    <row r="19" customFormat="false" ht="18.75" hidden="false" customHeight="true" outlineLevel="0" collapsed="false">
      <c r="A19" s="405" t="s">
        <v>17</v>
      </c>
      <c r="B19" s="406" t="s">
        <v>142</v>
      </c>
      <c r="C19" s="406"/>
      <c r="D19" s="406"/>
      <c r="E19" s="479" t="n"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 t="s">
        <v>9</v>
      </c>
    </row>
    <row r="20" customFormat="false" ht="18.75" hidden="false" customHeight="true" outlineLevel="0" collapsed="false">
      <c r="A20" s="405" t="s">
        <v>18</v>
      </c>
      <c r="B20" s="406" t="s">
        <v>142</v>
      </c>
      <c r="C20" s="406"/>
      <c r="D20" s="406"/>
      <c r="E20" s="479" t="n"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 t="s">
        <v>10</v>
      </c>
    </row>
    <row r="21" customFormat="false" ht="18.75" hidden="false" customHeight="true" outlineLevel="0" collapsed="false">
      <c r="A21" s="407" t="s">
        <v>143</v>
      </c>
      <c r="B21" s="407"/>
      <c r="C21" s="407"/>
      <c r="D21" s="407"/>
      <c r="E21" s="480" t="n">
        <f aca="false">E15-((E18*1.2)+(E19*1.2)+(E20*1.2)+(E16*1.2))</f>
        <v>58525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8.75" hidden="false" customHeight="true" outlineLevel="0" collapsed="false">
      <c r="A22" s="207"/>
      <c r="B22" s="207"/>
      <c r="C22" s="207"/>
      <c r="D22" s="207"/>
      <c r="E22" s="207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7.35" hidden="false" customHeight="false" outlineLevel="0" collapsed="false">
      <c r="A23" s="207"/>
      <c r="B23" s="207"/>
      <c r="C23" s="207"/>
      <c r="D23" s="207"/>
      <c r="E23" s="207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56.7" hidden="false" customHeight="true" outlineLevel="0" collapsed="false">
      <c r="A24" s="208" t="s">
        <v>208</v>
      </c>
      <c r="B24" s="208"/>
      <c r="C24" s="208"/>
      <c r="D24" s="208"/>
      <c r="E24" s="20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8.75" hidden="false" customHeight="true" outlineLevel="0" collapsed="false">
      <c r="A25" s="209"/>
      <c r="B25" s="207"/>
      <c r="C25" s="207"/>
      <c r="D25" s="207"/>
      <c r="E25" s="21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8.75" hidden="false" customHeight="true" outlineLevel="0" collapsed="false">
      <c r="A26" s="211" t="s">
        <v>209</v>
      </c>
      <c r="B26" s="211"/>
      <c r="C26" s="211"/>
      <c r="D26" s="211"/>
      <c r="E26" s="211"/>
      <c r="F26" s="19"/>
      <c r="G26" s="212"/>
      <c r="H26" s="212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8.75" hidden="false" customHeight="true" outlineLevel="0" collapsed="false">
      <c r="A27" s="209"/>
      <c r="B27" s="207"/>
      <c r="C27" s="207"/>
      <c r="D27" s="207"/>
      <c r="E27" s="210"/>
      <c r="F27" s="19"/>
      <c r="G27" s="213" t="s">
        <v>46</v>
      </c>
      <c r="H27" s="213" t="n">
        <f aca="false">IF(A32=Y103,1,IF(A32=Y104,1,IF(A32=Y105,3,IF(A32=Y106,6,IF(A32=Y107,9,IF(A32=Y108,12,IF(A32=Y109,3,IF(A32=Y110,6,IF(A32=Y111,9,0)))))))))</f>
        <v>0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8.75" hidden="false" customHeight="true" outlineLevel="0" collapsed="false">
      <c r="A28" s="214" t="s">
        <v>210</v>
      </c>
      <c r="B28" s="215" t="s">
        <v>211</v>
      </c>
      <c r="C28" s="207"/>
      <c r="D28" s="215" t="s">
        <v>212</v>
      </c>
      <c r="E28" s="210"/>
      <c r="F28" s="19"/>
      <c r="G28" s="213" t="s">
        <v>60</v>
      </c>
      <c r="H28" s="213" t="n">
        <f aca="false">IF(A32=Y103,H29-H37,IF(A32=Y104,H29-H37,IF(A32=Y105,H29-1,IF(A32=Y106,H29-1,IF(A32=Y107,H29-1,IF(A32=Y108,H29-1,IF(A32=Y109,H29-H37,IF(A32=Y110,H29-H37,IF(A32=Y111,H29-H37,0)))))))))</f>
        <v>0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8.75" hidden="false" customHeight="true" outlineLevel="0" collapsed="false">
      <c r="A29" s="216" t="s">
        <v>213</v>
      </c>
      <c r="B29" s="217" t="n">
        <v>12345</v>
      </c>
      <c r="C29" s="217"/>
      <c r="D29" s="218" t="n">
        <f aca="true">TODAY()+1</f>
        <v>45008</v>
      </c>
      <c r="E29" s="218"/>
      <c r="F29" s="19"/>
      <c r="G29" s="212" t="s">
        <v>214</v>
      </c>
      <c r="H29" s="212" t="n">
        <f aca="false">B35</f>
        <v>12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8.75" hidden="false" customHeight="true" outlineLevel="0" collapsed="false">
      <c r="A30" s="209"/>
      <c r="B30" s="21"/>
      <c r="C30" s="21"/>
      <c r="D30" s="207"/>
      <c r="E30" s="210"/>
      <c r="F30" s="19"/>
      <c r="G30" s="212" t="s">
        <v>31</v>
      </c>
      <c r="H30" s="212" t="n">
        <f aca="false">D35</f>
        <v>5000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8.75" hidden="false" customHeight="true" outlineLevel="0" collapsed="false">
      <c r="A31" s="214" t="s">
        <v>23</v>
      </c>
      <c r="B31" s="215" t="s">
        <v>215</v>
      </c>
      <c r="C31" s="207"/>
      <c r="D31" s="215" t="s">
        <v>216</v>
      </c>
      <c r="E31" s="210"/>
      <c r="F31" s="19"/>
      <c r="G31" s="212" t="s">
        <v>217</v>
      </c>
      <c r="H31" s="219" t="str">
        <f aca="false">D38</f>
        <v>500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8.75" hidden="false" customHeight="true" outlineLevel="0" collapsed="false">
      <c r="A32" s="216" t="s">
        <v>100</v>
      </c>
      <c r="B32" s="220" t="str">
        <f aca="false">IF(A32=Z103,D38,IF(A32=Z104,D38,IF(A32=Z105,(D38*3),IF(A32=Z106,(D38*6),IF(A32=Z107,(D38*9),IF(A32=Z108,(D38*12),IF(A32=Z109,D38,IF(A32=Z110,D38,IF(A32=Z111,D38,0)))))))))</f>
        <v>500</v>
      </c>
      <c r="C32" s="220"/>
      <c r="D32" s="220" t="str">
        <f aca="false">IF(A32=Z103,A41,IF(A32=Z104,A41,IF(A32=Z105,(A41*3),IF(A32=Z106,(A41*6),IF(A32=Z107,(A41*9),IF(A32=Z108,(A41*12),IF(A32=Z109,A41,IF(A32=Z110,A41,IF(A32=Z111,A41,0)))))))))</f>
        <v>5.28</v>
      </c>
      <c r="E32" s="220"/>
      <c r="F32" s="19"/>
      <c r="G32" s="221" t="s">
        <v>218</v>
      </c>
      <c r="H32" s="219" t="str">
        <f aca="false">A41</f>
        <v>5.28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18.75" hidden="false" customHeight="true" outlineLevel="0" collapsed="false">
      <c r="A33" s="222"/>
      <c r="B33" s="174"/>
      <c r="C33" s="223"/>
      <c r="D33" s="176"/>
      <c r="E33" s="210"/>
      <c r="F33" s="19"/>
      <c r="G33" s="221" t="s">
        <v>219</v>
      </c>
      <c r="H33" s="219" t="n">
        <f aca="false">D41</f>
        <v>6000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8.75" hidden="false" customHeight="true" outlineLevel="0" collapsed="false">
      <c r="A34" s="222" t="s">
        <v>220</v>
      </c>
      <c r="B34" s="224" t="s">
        <v>221</v>
      </c>
      <c r="C34" s="223"/>
      <c r="D34" s="64" t="s">
        <v>175</v>
      </c>
      <c r="E34" s="210"/>
      <c r="F34" s="19"/>
      <c r="G34" s="221" t="s">
        <v>222</v>
      </c>
      <c r="H34" s="219" t="str">
        <f aca="false">A44</f>
        <v>12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8.75" hidden="false" customHeight="true" outlineLevel="0" collapsed="false">
      <c r="A35" s="220" t="n">
        <f aca="false">B32+D32</f>
        <v>505.28</v>
      </c>
      <c r="B35" s="217" t="n">
        <v>12</v>
      </c>
      <c r="C35" s="217"/>
      <c r="D35" s="217" t="n">
        <v>5000</v>
      </c>
      <c r="E35" s="217"/>
      <c r="F35" s="19"/>
      <c r="G35" s="225"/>
      <c r="H35" s="226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8.75" hidden="false" customHeight="true" outlineLevel="0" collapsed="false">
      <c r="A36" s="209"/>
      <c r="B36" s="207"/>
      <c r="C36" s="207"/>
      <c r="D36" s="207"/>
      <c r="E36" s="210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8.75" hidden="false" customHeight="true" outlineLevel="0" collapsed="false">
      <c r="A37" s="214" t="s">
        <v>223</v>
      </c>
      <c r="B37" s="215" t="s">
        <v>224</v>
      </c>
      <c r="C37" s="207"/>
      <c r="D37" s="215" t="s">
        <v>225</v>
      </c>
      <c r="E37" s="210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8.75" hidden="false" customHeight="true" outlineLevel="0" collapsed="false">
      <c r="A38" s="227" t="n">
        <f aca="false">(B35/12)*D35</f>
        <v>5000</v>
      </c>
      <c r="B38" s="217" t="s">
        <v>9</v>
      </c>
      <c r="C38" s="217"/>
      <c r="D38" s="60" t="s">
        <v>226</v>
      </c>
      <c r="E38" s="60"/>
      <c r="F38" s="19"/>
      <c r="G38" s="19"/>
      <c r="H38" s="19"/>
      <c r="I38" s="22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8.75" hidden="false" customHeight="true" outlineLevel="0" collapsed="false">
      <c r="A39" s="229"/>
      <c r="B39" s="223"/>
      <c r="C39" s="223"/>
      <c r="D39" s="207"/>
      <c r="E39" s="210"/>
      <c r="F39" s="19"/>
      <c r="G39" s="19"/>
      <c r="H39" s="228"/>
      <c r="I39" s="228"/>
      <c r="J39" s="22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8.75" hidden="false" customHeight="true" outlineLevel="0" collapsed="false">
      <c r="A40" s="230" t="s">
        <v>227</v>
      </c>
      <c r="B40" s="231" t="s">
        <v>93</v>
      </c>
      <c r="C40" s="223"/>
      <c r="D40" s="232" t="s">
        <v>228</v>
      </c>
      <c r="E40" s="210"/>
      <c r="F40" s="19"/>
      <c r="G40" s="19"/>
      <c r="H40" s="228"/>
      <c r="I40" s="228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8.75" hidden="false" customHeight="true" outlineLevel="0" collapsed="false">
      <c r="A41" s="60" t="s">
        <v>370</v>
      </c>
      <c r="B41" s="233" t="n">
        <f aca="false">IF(B38="YES", D38+A41, D38)</f>
        <v>505.28</v>
      </c>
      <c r="C41" s="233"/>
      <c r="D41" s="234" t="n">
        <v>6000</v>
      </c>
      <c r="E41" s="234"/>
      <c r="F41" s="19"/>
      <c r="G41" s="19"/>
      <c r="H41" s="235"/>
      <c r="I41" s="22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8.75" hidden="false" customHeight="true" outlineLevel="0" collapsed="false">
      <c r="A42" s="229"/>
      <c r="B42" s="223"/>
      <c r="C42" s="223"/>
      <c r="D42" s="223"/>
      <c r="E42" s="236"/>
      <c r="F42" s="19"/>
      <c r="G42" s="237" t="s">
        <v>42</v>
      </c>
      <c r="H42" s="237"/>
      <c r="I42" s="22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8.75" hidden="false" customHeight="true" outlineLevel="0" collapsed="false">
      <c r="A43" s="230" t="s">
        <v>111</v>
      </c>
      <c r="B43" s="231" t="s">
        <v>229</v>
      </c>
      <c r="C43" s="223"/>
      <c r="D43" s="231" t="s">
        <v>230</v>
      </c>
      <c r="E43" s="236"/>
      <c r="F43" s="19"/>
      <c r="G43" s="19" t="s">
        <v>231</v>
      </c>
      <c r="H43" s="228" t="n">
        <f aca="false">((((D38*(B35-1))+B32)/B35) + (A44/B35))</f>
        <v>501</v>
      </c>
      <c r="I43" s="22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8.75" hidden="false" customHeight="true" outlineLevel="0" collapsed="false">
      <c r="A44" s="60" t="s">
        <v>232</v>
      </c>
      <c r="B44" s="234" t="n">
        <v>0</v>
      </c>
      <c r="C44" s="234"/>
      <c r="D44" s="234" t="n">
        <v>0</v>
      </c>
      <c r="E44" s="234"/>
      <c r="F44" s="19"/>
      <c r="G44" s="19" t="s">
        <v>233</v>
      </c>
      <c r="H44" s="228" t="str">
        <f aca="false">H32</f>
        <v>5.28</v>
      </c>
      <c r="I44" s="238" t="n">
        <f aca="false">((A41*(B35-1))+D32)/B35</f>
        <v>5.28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8.75" hidden="false" customHeight="true" outlineLevel="0" collapsed="false">
      <c r="A45" s="229"/>
      <c r="B45" s="223"/>
      <c r="C45" s="223"/>
      <c r="D45" s="223"/>
      <c r="E45" s="236"/>
      <c r="F45" s="19"/>
      <c r="G45" s="19" t="s">
        <v>234</v>
      </c>
      <c r="H45" s="239" t="n">
        <f aca="false">H43+H44</f>
        <v>506.28</v>
      </c>
      <c r="I45" s="22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8.75" hidden="false" customHeight="true" outlineLevel="0" collapsed="false">
      <c r="A46" s="230" t="s">
        <v>235</v>
      </c>
      <c r="B46" s="231" t="s">
        <v>236</v>
      </c>
      <c r="C46" s="223"/>
      <c r="D46" s="231" t="s">
        <v>237</v>
      </c>
      <c r="E46" s="236"/>
      <c r="F46" s="19"/>
      <c r="G46" s="19" t="s">
        <v>238</v>
      </c>
      <c r="H46" s="228" t="n">
        <f aca="false">H43</f>
        <v>501</v>
      </c>
      <c r="I46" s="22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8.75" hidden="false" customHeight="true" outlineLevel="0" collapsed="false">
      <c r="A47" s="240" t="n">
        <v>0</v>
      </c>
      <c r="B47" s="241" t="n">
        <v>0</v>
      </c>
      <c r="C47" s="241"/>
      <c r="D47" s="234" t="n">
        <v>0</v>
      </c>
      <c r="E47" s="234"/>
      <c r="F47" s="19"/>
      <c r="G47" s="19"/>
      <c r="H47" s="228"/>
      <c r="I47" s="22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8.75" hidden="false" customHeight="true" outlineLevel="0" collapsed="false">
      <c r="A48" s="229"/>
      <c r="B48" s="223"/>
      <c r="C48" s="223"/>
      <c r="D48" s="223"/>
      <c r="E48" s="236"/>
      <c r="F48" s="19"/>
      <c r="G48" s="19"/>
      <c r="H48" s="228"/>
      <c r="I48" s="22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8.75" hidden="false" customHeight="true" outlineLevel="0" collapsed="false">
      <c r="A49" s="229"/>
      <c r="B49" s="223"/>
      <c r="C49" s="223"/>
      <c r="D49" s="223"/>
      <c r="E49" s="236"/>
      <c r="F49" s="19"/>
      <c r="G49" s="19"/>
      <c r="H49" s="228"/>
      <c r="I49" s="22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8.75" hidden="false" customHeight="true" outlineLevel="0" collapsed="false">
      <c r="B50" s="223"/>
      <c r="C50" s="223"/>
      <c r="D50" s="223"/>
      <c r="E50" s="236"/>
      <c r="F50" s="19"/>
      <c r="G50" s="19"/>
      <c r="H50" s="228"/>
      <c r="I50" s="22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8.75" hidden="false" customHeight="true" outlineLevel="0" collapsed="false">
      <c r="A51" s="229"/>
      <c r="B51" s="223"/>
      <c r="C51" s="223"/>
      <c r="D51" s="223"/>
      <c r="E51" s="236"/>
      <c r="F51" s="19"/>
      <c r="G51" s="19"/>
      <c r="H51" s="228"/>
      <c r="I51" s="22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8.75" hidden="false" customHeight="true" outlineLevel="0" collapsed="false">
      <c r="A52" s="242" t="s">
        <v>239</v>
      </c>
      <c r="B52" s="223"/>
      <c r="C52" s="223"/>
      <c r="D52" s="223"/>
      <c r="E52" s="236"/>
      <c r="F52" s="19"/>
      <c r="G52" s="19"/>
      <c r="H52" s="228"/>
      <c r="I52" s="22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8.75" hidden="false" customHeight="true" outlineLevel="0" collapsed="false">
      <c r="A53" s="229"/>
      <c r="B53" s="223"/>
      <c r="C53" s="223"/>
      <c r="D53" s="223"/>
      <c r="E53" s="236"/>
      <c r="F53" s="19"/>
      <c r="G53" s="19"/>
      <c r="H53" s="228"/>
      <c r="I53" s="22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8.75" hidden="false" customHeight="true" outlineLevel="0" collapsed="false">
      <c r="A54" s="243" t="s">
        <v>239</v>
      </c>
      <c r="B54" s="207"/>
      <c r="C54" s="207"/>
      <c r="D54" s="244"/>
      <c r="E54" s="245"/>
      <c r="F54" s="19"/>
      <c r="G54" s="19"/>
      <c r="H54" s="228"/>
      <c r="I54" s="22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8.75" hidden="false" customHeight="true" outlineLevel="0" collapsed="false">
      <c r="A55" s="209"/>
      <c r="B55" s="246"/>
      <c r="C55" s="246"/>
      <c r="D55" s="207"/>
      <c r="E55" s="210"/>
      <c r="F55" s="19"/>
      <c r="G55" s="19"/>
      <c r="H55" s="247"/>
      <c r="I55" s="22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8.75" hidden="false" customHeight="true" outlineLevel="0" collapsed="false">
      <c r="A56" s="248" t="s">
        <v>28</v>
      </c>
      <c r="B56" s="249" t="s">
        <v>33</v>
      </c>
      <c r="C56" s="249"/>
      <c r="D56" s="207"/>
      <c r="E56" s="210"/>
      <c r="F56" s="19"/>
      <c r="G56" s="19"/>
      <c r="H56" s="19"/>
      <c r="I56" s="22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8.75" hidden="false" customHeight="true" outlineLevel="0" collapsed="false">
      <c r="A57" s="248"/>
      <c r="B57" s="250" t="n">
        <f aca="false">H30</f>
        <v>5000</v>
      </c>
      <c r="C57" s="250"/>
      <c r="D57" s="207"/>
      <c r="E57" s="210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8.75" hidden="false" customHeight="true" outlineLevel="0" collapsed="false">
      <c r="A58" s="251" t="n">
        <f aca="false">H29</f>
        <v>12</v>
      </c>
      <c r="B58" s="92" t="n">
        <f aca="false">H45</f>
        <v>506.28</v>
      </c>
      <c r="C58" s="92"/>
      <c r="D58" s="207"/>
      <c r="E58" s="210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8.75" hidden="false" customHeight="true" outlineLevel="0" collapsed="false">
      <c r="A59" s="209"/>
      <c r="B59" s="207"/>
      <c r="C59" s="207"/>
      <c r="D59" s="207"/>
      <c r="E59" s="210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8.75" hidden="false" customHeight="true" outlineLevel="0" collapsed="false">
      <c r="A60" s="252"/>
      <c r="B60" s="253"/>
      <c r="C60" s="253"/>
      <c r="D60" s="253"/>
      <c r="E60" s="254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8.75" hidden="false" customHeight="true" outlineLevel="0" collapsed="false">
      <c r="A61" s="207"/>
      <c r="B61" s="207"/>
      <c r="C61" s="207"/>
      <c r="D61" s="207"/>
      <c r="E61" s="207"/>
      <c r="F61" s="19"/>
      <c r="G61" s="207"/>
      <c r="H61" s="207"/>
      <c r="I61" s="207"/>
      <c r="J61" s="207"/>
      <c r="K61" s="207"/>
      <c r="L61" s="19"/>
      <c r="M61" s="207"/>
      <c r="N61" s="207"/>
      <c r="O61" s="207"/>
      <c r="P61" s="207"/>
      <c r="Q61" s="207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8.75" hidden="false" customHeight="true" outlineLevel="0" collapsed="false">
      <c r="A62" s="255"/>
      <c r="B62" s="256"/>
      <c r="C62" s="256"/>
      <c r="D62" s="256"/>
      <c r="E62" s="257"/>
      <c r="F62" s="19"/>
      <c r="G62" s="255"/>
      <c r="H62" s="256"/>
      <c r="I62" s="256"/>
      <c r="J62" s="256"/>
      <c r="K62" s="257"/>
      <c r="L62" s="19"/>
      <c r="M62" s="255"/>
      <c r="N62" s="256"/>
      <c r="O62" s="256"/>
      <c r="P62" s="256"/>
      <c r="Q62" s="257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8.75" hidden="false" customHeight="true" outlineLevel="0" collapsed="false">
      <c r="A63" s="209" t="s">
        <v>46</v>
      </c>
      <c r="B63" s="207" t="n">
        <f aca="false">IF(B105=Z103,1,IF(B105=Z104,1,IF(B105=Z105,3,IF(B105=Z106,6,IF(B105=Z107,9,IF(B105=Z108,12,IF(B105=Z109,3,IF(B105=Z110,6,IF(B105=Z111,9,0)))))))))</f>
        <v>9</v>
      </c>
      <c r="C63" s="207"/>
      <c r="D63" s="207"/>
      <c r="E63" s="210"/>
      <c r="F63" s="19"/>
      <c r="G63" s="209" t="s">
        <v>46</v>
      </c>
      <c r="H63" s="207" t="n">
        <f aca="false">IF(H105=Y103,1,IF(H105=Y104,1,IF(H105=Y105,3,IF(H105=Y106,6,IF(H105=Y107,9,IF(H105=Y108,12,IF(H105=Y109,3,IF(H105=Y110,6,IF(H105=Y111,9,0)))))))))</f>
        <v>0</v>
      </c>
      <c r="I63" s="207"/>
      <c r="J63" s="207"/>
      <c r="K63" s="210"/>
      <c r="L63" s="19"/>
      <c r="M63" s="209" t="s">
        <v>46</v>
      </c>
      <c r="N63" s="207" t="n">
        <f aca="false">IF(N105=Y103,1,IF(N105=Y104,1,IF(N105=Y105,3,IF(N105=Y106,6,IF(N105=Y107,9,IF(N105=Y108,12,IF(N105=Y109,3,IF(N105=Y110,6,IF(N105=Y111,9,0)))))))))</f>
        <v>0</v>
      </c>
      <c r="O63" s="207"/>
      <c r="P63" s="207"/>
      <c r="Q63" s="210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8.75" hidden="false" customHeight="true" outlineLevel="0" collapsed="false">
      <c r="A64" s="209" t="s">
        <v>60</v>
      </c>
      <c r="B64" s="207" t="n">
        <f aca="false">IF(B105=Z103,H29-B63,IF(B105=Z104,H29-B63,IF(B105=Z105,H29-1,IF(B105=Z106,H29-1,IF(B105=Z107,H29-1,IF(B105=Z108,H29-1,IF(B105=Z109,H29-B63,IF(B105=Z110,H29-B63,IF(B105=Z111,H29-B63,0)))))))))</f>
        <v>3</v>
      </c>
      <c r="C64" s="207"/>
      <c r="D64" s="207"/>
      <c r="E64" s="210"/>
      <c r="F64" s="19"/>
      <c r="G64" s="209" t="s">
        <v>60</v>
      </c>
      <c r="H64" s="207" t="n">
        <f aca="false">IF(H105=Y103,H29-H63,IF(H105=Y104,H29-H63,IF(H105=Y105,H29-1,IF(H105=Y106,H29-1,IF(H105=Y107,H29-1,IF(H105=Y108,H29-1,IF(H105=Y109,H29-H63,IF(H105=Y110,H29-H63,IF(H105=Y111,H29-H63,0)))))))))</f>
        <v>0</v>
      </c>
      <c r="I64" s="207"/>
      <c r="J64" s="207"/>
      <c r="K64" s="210"/>
      <c r="L64" s="19"/>
      <c r="M64" s="209" t="s">
        <v>60</v>
      </c>
      <c r="N64" s="207" t="n">
        <f aca="false">IF(N105=Y103,H29-N63,IF(N105=Y104,H29-N63,IF(N105=Y105,H29-1,IF(N105=Y106,H29-1,IF(N105=Y107,H29-1,IF(N105=Y108,H29-1,IF(N105=Y109,H29-N63,IF(N105=Y110,H29-N63,IF(N105=Y111,H29-N63,0)))))))))</f>
        <v>0</v>
      </c>
      <c r="O64" s="207"/>
      <c r="P64" s="207"/>
      <c r="Q64" s="210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8.75" hidden="false" customHeight="true" outlineLevel="0" collapsed="false">
      <c r="A65" s="209"/>
      <c r="B65" s="207"/>
      <c r="C65" s="207"/>
      <c r="D65" s="207"/>
      <c r="E65" s="210"/>
      <c r="F65" s="19"/>
      <c r="G65" s="209"/>
      <c r="H65" s="207"/>
      <c r="I65" s="207"/>
      <c r="J65" s="207"/>
      <c r="K65" s="210"/>
      <c r="L65" s="19"/>
      <c r="M65" s="209"/>
      <c r="N65" s="207"/>
      <c r="O65" s="207"/>
      <c r="P65" s="207"/>
      <c r="Q65" s="210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8.75" hidden="false" customHeight="true" outlineLevel="0" collapsed="false">
      <c r="A66" s="209"/>
      <c r="B66" s="207"/>
      <c r="C66" s="207"/>
      <c r="D66" s="207"/>
      <c r="E66" s="210"/>
      <c r="F66" s="19"/>
      <c r="G66" s="209"/>
      <c r="H66" s="207"/>
      <c r="I66" s="207"/>
      <c r="J66" s="207"/>
      <c r="K66" s="210"/>
      <c r="L66" s="19"/>
      <c r="M66" s="209"/>
      <c r="N66" s="207"/>
      <c r="O66" s="207"/>
      <c r="P66" s="207"/>
      <c r="Q66" s="210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8.75" hidden="false" customHeight="true" outlineLevel="0" collapsed="false">
      <c r="A67" s="209" t="s">
        <v>16</v>
      </c>
      <c r="B67" s="79" t="n">
        <f aca="false">G18</f>
        <v>57885</v>
      </c>
      <c r="C67" s="207"/>
      <c r="D67" s="207"/>
      <c r="E67" s="210"/>
      <c r="F67" s="19"/>
      <c r="G67" s="209" t="s">
        <v>16</v>
      </c>
      <c r="H67" s="79" t="n">
        <f aca="false">G18</f>
        <v>57885</v>
      </c>
      <c r="I67" s="207"/>
      <c r="J67" s="207"/>
      <c r="K67" s="210"/>
      <c r="L67" s="19"/>
      <c r="M67" s="209" t="s">
        <v>16</v>
      </c>
      <c r="N67" s="79" t="n">
        <f aca="false">G18</f>
        <v>57885</v>
      </c>
      <c r="O67" s="207"/>
      <c r="P67" s="207"/>
      <c r="Q67" s="210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8.75" hidden="false" customHeight="true" outlineLevel="0" collapsed="false">
      <c r="A68" s="258" t="s">
        <v>241</v>
      </c>
      <c r="B68" s="259" t="n">
        <v>0.07</v>
      </c>
      <c r="C68" s="207"/>
      <c r="D68" s="207"/>
      <c r="E68" s="210"/>
      <c r="F68" s="19"/>
      <c r="G68" s="258" t="s">
        <v>241</v>
      </c>
      <c r="H68" s="259" t="n">
        <v>0.07</v>
      </c>
      <c r="I68" s="207"/>
      <c r="J68" s="207"/>
      <c r="K68" s="210"/>
      <c r="L68" s="19"/>
      <c r="M68" s="258" t="s">
        <v>241</v>
      </c>
      <c r="N68" s="259" t="n">
        <v>0.07</v>
      </c>
      <c r="O68" s="207"/>
      <c r="P68" s="207"/>
      <c r="Q68" s="210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8.75" hidden="false" customHeight="true" outlineLevel="0" collapsed="false">
      <c r="A69" s="209" t="s">
        <v>242</v>
      </c>
      <c r="B69" s="260" t="n">
        <f aca="false">B68+(B68*0.25*(H29/12-1))</f>
        <v>0.07</v>
      </c>
      <c r="C69" s="207"/>
      <c r="D69" s="207"/>
      <c r="E69" s="210"/>
      <c r="F69" s="19"/>
      <c r="G69" s="209" t="s">
        <v>242</v>
      </c>
      <c r="H69" s="260" t="n">
        <f aca="false">H68+(H68*0.25*(H29/12-1))</f>
        <v>0.07</v>
      </c>
      <c r="I69" s="207"/>
      <c r="J69" s="207"/>
      <c r="K69" s="210"/>
      <c r="L69" s="19"/>
      <c r="M69" s="209" t="s">
        <v>242</v>
      </c>
      <c r="N69" s="260" t="n">
        <f aca="false">N68+(N68*0.25*(H29/12-1))</f>
        <v>0.07</v>
      </c>
      <c r="O69" s="207"/>
      <c r="P69" s="207"/>
      <c r="Q69" s="210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18.75" hidden="false" customHeight="true" outlineLevel="0" collapsed="false">
      <c r="A70" s="252" t="s">
        <v>65</v>
      </c>
      <c r="B70" s="139" t="n">
        <f aca="false">B67*B69</f>
        <v>4051.95</v>
      </c>
      <c r="C70" s="207" t="n">
        <v>10000</v>
      </c>
      <c r="D70" s="79" t="n">
        <f aca="false">B70-A149</f>
        <v>4051.95</v>
      </c>
      <c r="E70" s="210" t="n">
        <f aca="false">D70/12</f>
        <v>337.6625</v>
      </c>
      <c r="F70" s="19"/>
      <c r="G70" s="252" t="s">
        <v>65</v>
      </c>
      <c r="H70" s="139" t="n">
        <f aca="false">H67*H69</f>
        <v>4051.95</v>
      </c>
      <c r="I70" s="207"/>
      <c r="J70" s="79" t="n">
        <f aca="false">H70-G151</f>
        <v>4051.95</v>
      </c>
      <c r="K70" s="210"/>
      <c r="L70" s="19"/>
      <c r="M70" s="252" t="s">
        <v>65</v>
      </c>
      <c r="N70" s="139" t="n">
        <f aca="false">N67*N69</f>
        <v>4051.95</v>
      </c>
      <c r="O70" s="207"/>
      <c r="P70" s="79" t="n">
        <f aca="false">N70-M151</f>
        <v>4051.95</v>
      </c>
      <c r="Q70" s="210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18.75" hidden="false" customHeight="true" outlineLevel="0" collapsed="false">
      <c r="A71" s="258" t="s">
        <v>66</v>
      </c>
      <c r="B71" s="259" t="n">
        <v>0.01</v>
      </c>
      <c r="C71" s="207"/>
      <c r="D71" s="207"/>
      <c r="E71" s="210"/>
      <c r="F71" s="19"/>
      <c r="G71" s="258" t="s">
        <v>66</v>
      </c>
      <c r="H71" s="259" t="n">
        <v>0.005</v>
      </c>
      <c r="I71" s="207"/>
      <c r="J71" s="207"/>
      <c r="K71" s="210"/>
      <c r="L71" s="19"/>
      <c r="M71" s="258" t="s">
        <v>66</v>
      </c>
      <c r="N71" s="259" t="n">
        <v>0.005</v>
      </c>
      <c r="O71" s="207"/>
      <c r="P71" s="207"/>
      <c r="Q71" s="210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8.75" hidden="false" customHeight="true" outlineLevel="0" collapsed="false">
      <c r="A72" s="209" t="s">
        <v>67</v>
      </c>
      <c r="B72" s="260" t="n">
        <f aca="false">B71+(B71*0.5*(H29/12-1))</f>
        <v>0.01</v>
      </c>
      <c r="C72" s="207"/>
      <c r="D72" s="207"/>
      <c r="E72" s="210"/>
      <c r="F72" s="19"/>
      <c r="G72" s="209" t="s">
        <v>67</v>
      </c>
      <c r="H72" s="260" t="n">
        <f aca="false">H71+(H71*0.5*(H29/12-1))</f>
        <v>0.005</v>
      </c>
      <c r="I72" s="207"/>
      <c r="J72" s="207"/>
      <c r="K72" s="210"/>
      <c r="L72" s="19"/>
      <c r="M72" s="209" t="s">
        <v>67</v>
      </c>
      <c r="N72" s="260" t="n">
        <f aca="false">N71+(N71*0.5*(H29/12-1))</f>
        <v>0.005</v>
      </c>
      <c r="O72" s="207"/>
      <c r="P72" s="207"/>
      <c r="Q72" s="210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8.75" hidden="false" customHeight="true" outlineLevel="0" collapsed="false">
      <c r="A73" s="252" t="s">
        <v>68</v>
      </c>
      <c r="B73" s="139" t="n">
        <f aca="false">B67*B72</f>
        <v>578.85</v>
      </c>
      <c r="C73" s="207"/>
      <c r="D73" s="79"/>
      <c r="E73" s="210"/>
      <c r="F73" s="19"/>
      <c r="G73" s="252" t="s">
        <v>68</v>
      </c>
      <c r="H73" s="139" t="n">
        <f aca="false">H67*H72</f>
        <v>289.425</v>
      </c>
      <c r="I73" s="207"/>
      <c r="J73" s="79"/>
      <c r="K73" s="210"/>
      <c r="L73" s="19"/>
      <c r="M73" s="252" t="s">
        <v>68</v>
      </c>
      <c r="N73" s="139" t="n">
        <f aca="false">N67*N72</f>
        <v>289.425</v>
      </c>
      <c r="O73" s="207"/>
      <c r="P73" s="79"/>
      <c r="Q73" s="210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8.75" hidden="false" customHeight="true" outlineLevel="0" collapsed="false">
      <c r="A74" s="258" t="s">
        <v>69</v>
      </c>
      <c r="B74" s="259" t="n">
        <v>0.0075</v>
      </c>
      <c r="C74" s="207"/>
      <c r="D74" s="207"/>
      <c r="E74" s="210"/>
      <c r="F74" s="19"/>
      <c r="G74" s="258" t="s">
        <v>69</v>
      </c>
      <c r="H74" s="259" t="n">
        <v>0.0075</v>
      </c>
      <c r="I74" s="207"/>
      <c r="J74" s="207"/>
      <c r="K74" s="210"/>
      <c r="L74" s="19"/>
      <c r="M74" s="258" t="s">
        <v>69</v>
      </c>
      <c r="N74" s="259" t="n">
        <v>0.0075</v>
      </c>
      <c r="O74" s="207"/>
      <c r="P74" s="207"/>
      <c r="Q74" s="210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8.75" hidden="false" customHeight="true" outlineLevel="0" collapsed="false">
      <c r="A75" s="261" t="s">
        <v>70</v>
      </c>
      <c r="B75" s="262" t="n">
        <v>0.12</v>
      </c>
      <c r="C75" s="207"/>
      <c r="D75" s="207"/>
      <c r="E75" s="210"/>
      <c r="F75" s="19"/>
      <c r="G75" s="261" t="s">
        <v>70</v>
      </c>
      <c r="H75" s="262" t="n">
        <v>0.12</v>
      </c>
      <c r="I75" s="207"/>
      <c r="J75" s="207"/>
      <c r="K75" s="210"/>
      <c r="L75" s="19"/>
      <c r="M75" s="261" t="s">
        <v>70</v>
      </c>
      <c r="N75" s="262" t="n">
        <v>0.12</v>
      </c>
      <c r="O75" s="207"/>
      <c r="P75" s="207"/>
      <c r="Q75" s="210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8.75" hidden="false" customHeight="true" outlineLevel="0" collapsed="false">
      <c r="A76" s="252" t="s">
        <v>71</v>
      </c>
      <c r="B76" s="263" t="n">
        <f aca="false">B74*(1+B75)</f>
        <v>0.0084</v>
      </c>
      <c r="C76" s="207"/>
      <c r="D76" s="207"/>
      <c r="E76" s="210"/>
      <c r="F76" s="19"/>
      <c r="G76" s="252" t="s">
        <v>71</v>
      </c>
      <c r="H76" s="263" t="n">
        <f aca="false">H74*(1+H75)</f>
        <v>0.0084</v>
      </c>
      <c r="I76" s="207"/>
      <c r="J76" s="207"/>
      <c r="K76" s="210"/>
      <c r="L76" s="19"/>
      <c r="M76" s="252" t="s">
        <v>71</v>
      </c>
      <c r="N76" s="263" t="n">
        <f aca="false">N74*(1+N75)</f>
        <v>0.0084</v>
      </c>
      <c r="O76" s="207"/>
      <c r="P76" s="207"/>
      <c r="Q76" s="210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8.75" hidden="false" customHeight="true" outlineLevel="0" collapsed="false">
      <c r="A77" s="258" t="s">
        <v>72</v>
      </c>
      <c r="B77" s="264" t="n">
        <v>200</v>
      </c>
      <c r="C77" s="207"/>
      <c r="D77" s="207"/>
      <c r="E77" s="210"/>
      <c r="F77" s="19"/>
      <c r="G77" s="258" t="s">
        <v>72</v>
      </c>
      <c r="H77" s="264" t="n">
        <v>160</v>
      </c>
      <c r="I77" s="207"/>
      <c r="J77" s="207"/>
      <c r="K77" s="210"/>
      <c r="L77" s="19"/>
      <c r="M77" s="258" t="s">
        <v>72</v>
      </c>
      <c r="N77" s="264" t="n">
        <v>160</v>
      </c>
      <c r="O77" s="207"/>
      <c r="P77" s="207"/>
      <c r="Q77" s="210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8.75" hidden="false" customHeight="true" outlineLevel="0" collapsed="false">
      <c r="A78" s="261" t="s">
        <v>73</v>
      </c>
      <c r="B78" s="265" t="n">
        <v>5</v>
      </c>
      <c r="C78" s="207"/>
      <c r="D78" s="207"/>
      <c r="E78" s="210"/>
      <c r="F78" s="19"/>
      <c r="G78" s="261" t="s">
        <v>73</v>
      </c>
      <c r="H78" s="265" t="n">
        <v>4.5</v>
      </c>
      <c r="I78" s="207"/>
      <c r="J78" s="207"/>
      <c r="K78" s="210"/>
      <c r="L78" s="19"/>
      <c r="M78" s="261" t="s">
        <v>73</v>
      </c>
      <c r="N78" s="265" t="n">
        <v>4.5</v>
      </c>
      <c r="O78" s="207"/>
      <c r="P78" s="207"/>
      <c r="Q78" s="210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8.75" hidden="false" customHeight="true" outlineLevel="0" collapsed="false">
      <c r="A79" s="252" t="s">
        <v>74</v>
      </c>
      <c r="B79" s="139" t="n">
        <f aca="false">B78*H29</f>
        <v>60</v>
      </c>
      <c r="C79" s="207"/>
      <c r="D79" s="79" t="n">
        <f aca="false">B79+B77</f>
        <v>260</v>
      </c>
      <c r="E79" s="266" t="n">
        <f aca="false">D79+D85+D86</f>
        <v>660</v>
      </c>
      <c r="F79" s="19"/>
      <c r="G79" s="252" t="s">
        <v>74</v>
      </c>
      <c r="H79" s="139" t="n">
        <f aca="false">H78*H29</f>
        <v>54</v>
      </c>
      <c r="I79" s="207"/>
      <c r="J79" s="79" t="n">
        <f aca="false">H79+H77</f>
        <v>214</v>
      </c>
      <c r="K79" s="210"/>
      <c r="L79" s="19"/>
      <c r="M79" s="252" t="s">
        <v>74</v>
      </c>
      <c r="N79" s="139" t="n">
        <f aca="false">N78*H29</f>
        <v>54</v>
      </c>
      <c r="O79" s="207"/>
      <c r="P79" s="79" t="n">
        <f aca="false">N79+N77</f>
        <v>214</v>
      </c>
      <c r="Q79" s="210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8.75" hidden="false" customHeight="true" outlineLevel="0" collapsed="false">
      <c r="A80" s="267" t="s">
        <v>243</v>
      </c>
      <c r="B80" s="268" t="n">
        <v>0</v>
      </c>
      <c r="C80" s="207"/>
      <c r="D80" s="207"/>
      <c r="E80" s="266" t="n">
        <f aca="false">E79+D82</f>
        <v>660</v>
      </c>
      <c r="F80" s="19"/>
      <c r="G80" s="258" t="s">
        <v>243</v>
      </c>
      <c r="H80" s="264" t="n">
        <v>150</v>
      </c>
      <c r="I80" s="207"/>
      <c r="J80" s="207"/>
      <c r="K80" s="210"/>
      <c r="L80" s="19"/>
      <c r="M80" s="267" t="s">
        <v>243</v>
      </c>
      <c r="N80" s="268" t="n">
        <v>0</v>
      </c>
      <c r="O80" s="207"/>
      <c r="P80" s="207"/>
      <c r="Q80" s="210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18.75" hidden="false" customHeight="true" outlineLevel="0" collapsed="false">
      <c r="A81" s="269" t="s">
        <v>244</v>
      </c>
      <c r="B81" s="270" t="n">
        <v>0</v>
      </c>
      <c r="C81" s="207"/>
      <c r="D81" s="207"/>
      <c r="E81" s="210" t="n">
        <f aca="false">E80/12</f>
        <v>55</v>
      </c>
      <c r="F81" s="19"/>
      <c r="G81" s="261" t="s">
        <v>244</v>
      </c>
      <c r="H81" s="265" t="n">
        <f aca="false">IF(G18&gt;40000, 325, 0)</f>
        <v>325</v>
      </c>
      <c r="I81" s="207"/>
      <c r="J81" s="207"/>
      <c r="K81" s="210"/>
      <c r="L81" s="19"/>
      <c r="M81" s="269" t="s">
        <v>244</v>
      </c>
      <c r="N81" s="270" t="n">
        <v>0</v>
      </c>
      <c r="O81" s="207"/>
      <c r="P81" s="207"/>
      <c r="Q81" s="210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18.75" hidden="false" customHeight="true" outlineLevel="0" collapsed="false">
      <c r="A82" s="252" t="s">
        <v>245</v>
      </c>
      <c r="B82" s="139" t="n">
        <f aca="false">((B80+B81)/12)*(H29-11)</f>
        <v>0</v>
      </c>
      <c r="C82" s="207"/>
      <c r="D82" s="79" t="n">
        <f aca="false">IF(A50="YES", 0, B82)</f>
        <v>0</v>
      </c>
      <c r="E82" s="210"/>
      <c r="F82" s="19"/>
      <c r="G82" s="252" t="s">
        <v>245</v>
      </c>
      <c r="H82" s="139" t="n">
        <f aca="false">((H80+H81)/12)*(H29-11)</f>
        <v>39.5833333333333</v>
      </c>
      <c r="I82" s="207"/>
      <c r="J82" s="79" t="n">
        <f aca="false">IF(A50="YES", 0, H82)</f>
        <v>39.5833333333333</v>
      </c>
      <c r="K82" s="210"/>
      <c r="L82" s="19"/>
      <c r="M82" s="271" t="s">
        <v>245</v>
      </c>
      <c r="N82" s="272" t="n">
        <f aca="false">((N80+N81)/12)*(H29-11)</f>
        <v>0</v>
      </c>
      <c r="O82" s="207"/>
      <c r="P82" s="79" t="n">
        <f aca="false">IF(A50="YES", 0, N82)</f>
        <v>0</v>
      </c>
      <c r="Q82" s="210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8.75" hidden="false" customHeight="true" outlineLevel="0" collapsed="false">
      <c r="A83" s="258" t="s">
        <v>246</v>
      </c>
      <c r="B83" s="264" t="n">
        <f aca="false">B108/(1-0.1)</f>
        <v>444.444444444444</v>
      </c>
      <c r="C83" s="207"/>
      <c r="D83" s="79" t="n">
        <f aca="false">B83</f>
        <v>444.444444444444</v>
      </c>
      <c r="E83" s="210" t="n">
        <f aca="false">D83/12</f>
        <v>37.037037037037</v>
      </c>
      <c r="F83" s="19"/>
      <c r="G83" s="258" t="s">
        <v>246</v>
      </c>
      <c r="H83" s="264" t="n">
        <f aca="false">H108</f>
        <v>1200</v>
      </c>
      <c r="I83" s="207"/>
      <c r="J83" s="79" t="n">
        <f aca="false">H83</f>
        <v>1200</v>
      </c>
      <c r="K83" s="210"/>
      <c r="L83" s="19"/>
      <c r="M83" s="258" t="s">
        <v>246</v>
      </c>
      <c r="N83" s="264" t="n">
        <f aca="false">N108</f>
        <v>1200</v>
      </c>
      <c r="O83" s="207"/>
      <c r="P83" s="79" t="n">
        <f aca="false">N83</f>
        <v>1200</v>
      </c>
      <c r="Q83" s="210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18.75" hidden="false" customHeight="true" outlineLevel="0" collapsed="false">
      <c r="A84" s="209" t="s">
        <v>247</v>
      </c>
      <c r="B84" s="273" t="n">
        <f aca="false">D108/(1-0.1)</f>
        <v>222.222222222222</v>
      </c>
      <c r="C84" s="207"/>
      <c r="D84" s="79" t="n">
        <f aca="false">B84</f>
        <v>222.222222222222</v>
      </c>
      <c r="E84" s="210"/>
      <c r="F84" s="19"/>
      <c r="G84" s="209" t="s">
        <v>248</v>
      </c>
      <c r="H84" s="273" t="n">
        <f aca="false">J108</f>
        <v>1500</v>
      </c>
      <c r="I84" s="207"/>
      <c r="J84" s="79" t="n">
        <f aca="false">H84</f>
        <v>1500</v>
      </c>
      <c r="K84" s="210"/>
      <c r="L84" s="19"/>
      <c r="M84" s="209" t="s">
        <v>248</v>
      </c>
      <c r="N84" s="273" t="n">
        <f aca="false">P108</f>
        <v>1500</v>
      </c>
      <c r="O84" s="207"/>
      <c r="P84" s="79" t="n">
        <f aca="false">N84</f>
        <v>1500</v>
      </c>
      <c r="Q84" s="210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8.75" hidden="false" customHeight="true" outlineLevel="0" collapsed="false">
      <c r="A85" s="261" t="s">
        <v>75</v>
      </c>
      <c r="B85" s="265" t="n">
        <v>200</v>
      </c>
      <c r="C85" s="207"/>
      <c r="D85" s="79" t="n">
        <f aca="false">B85</f>
        <v>200</v>
      </c>
      <c r="E85" s="210"/>
      <c r="F85" s="19"/>
      <c r="G85" s="261" t="s">
        <v>75</v>
      </c>
      <c r="H85" s="265" t="n">
        <v>100</v>
      </c>
      <c r="I85" s="207"/>
      <c r="J85" s="79" t="n">
        <f aca="false">H85</f>
        <v>100</v>
      </c>
      <c r="K85" s="210"/>
      <c r="L85" s="19"/>
      <c r="M85" s="261" t="s">
        <v>75</v>
      </c>
      <c r="N85" s="265" t="n">
        <v>100</v>
      </c>
      <c r="O85" s="207"/>
      <c r="P85" s="79" t="n">
        <f aca="false">N85</f>
        <v>100</v>
      </c>
      <c r="Q85" s="210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8.75" hidden="false" customHeight="true" outlineLevel="0" collapsed="false">
      <c r="A86" s="274" t="s">
        <v>76</v>
      </c>
      <c r="B86" s="275" t="n">
        <v>200</v>
      </c>
      <c r="C86" s="207"/>
      <c r="D86" s="79" t="n">
        <f aca="false">B86</f>
        <v>200</v>
      </c>
      <c r="E86" s="210"/>
      <c r="F86" s="19"/>
      <c r="G86" s="274" t="s">
        <v>76</v>
      </c>
      <c r="H86" s="275" t="n">
        <v>100</v>
      </c>
      <c r="I86" s="207"/>
      <c r="J86" s="79" t="n">
        <f aca="false">H86</f>
        <v>100</v>
      </c>
      <c r="K86" s="210"/>
      <c r="L86" s="19"/>
      <c r="M86" s="274" t="s">
        <v>76</v>
      </c>
      <c r="N86" s="275" t="n">
        <v>100</v>
      </c>
      <c r="O86" s="207"/>
      <c r="P86" s="79" t="n">
        <f aca="false">N86</f>
        <v>100</v>
      </c>
      <c r="Q86" s="210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8.75" hidden="false" customHeight="true" outlineLevel="0" collapsed="false">
      <c r="A87" s="276" t="s">
        <v>77</v>
      </c>
      <c r="B87" s="277" t="n">
        <f aca="false">SUM(D70:D86)</f>
        <v>5378.61666666667</v>
      </c>
      <c r="C87" s="207"/>
      <c r="D87" s="207"/>
      <c r="E87" s="210"/>
      <c r="F87" s="19"/>
      <c r="G87" s="276" t="s">
        <v>77</v>
      </c>
      <c r="H87" s="277" t="n">
        <f aca="false">SUM(J70:J86)</f>
        <v>7205.53333333333</v>
      </c>
      <c r="I87" s="207"/>
      <c r="J87" s="207"/>
      <c r="K87" s="210"/>
      <c r="L87" s="19"/>
      <c r="M87" s="276" t="s">
        <v>77</v>
      </c>
      <c r="N87" s="277" t="n">
        <f aca="false">SUM(P70:P86)</f>
        <v>7165.95</v>
      </c>
      <c r="O87" s="207"/>
      <c r="P87" s="207"/>
      <c r="Q87" s="210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8.75" hidden="false" customHeight="true" outlineLevel="0" collapsed="false">
      <c r="A88" s="209" t="s">
        <v>78</v>
      </c>
      <c r="B88" s="273" t="n">
        <f aca="false">B87/H29</f>
        <v>448.218055555556</v>
      </c>
      <c r="C88" s="207"/>
      <c r="D88" s="207"/>
      <c r="E88" s="210"/>
      <c r="F88" s="19"/>
      <c r="G88" s="209" t="s">
        <v>78</v>
      </c>
      <c r="H88" s="273" t="n">
        <f aca="false">H87/H29</f>
        <v>600.461111111111</v>
      </c>
      <c r="I88" s="207"/>
      <c r="J88" s="207"/>
      <c r="K88" s="210"/>
      <c r="L88" s="19"/>
      <c r="M88" s="209" t="s">
        <v>78</v>
      </c>
      <c r="N88" s="273" t="n">
        <f aca="false">N87/H29</f>
        <v>597.1625</v>
      </c>
      <c r="O88" s="207"/>
      <c r="P88" s="207"/>
      <c r="Q88" s="210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8.75" hidden="false" customHeight="true" outlineLevel="0" collapsed="false">
      <c r="A89" s="278" t="s">
        <v>79</v>
      </c>
      <c r="B89" s="279" t="n">
        <f aca="false">H46</f>
        <v>501</v>
      </c>
      <c r="C89" s="207"/>
      <c r="D89" s="207"/>
      <c r="E89" s="210"/>
      <c r="F89" s="19"/>
      <c r="G89" s="278" t="s">
        <v>79</v>
      </c>
      <c r="H89" s="279" t="n">
        <f aca="false">H46</f>
        <v>501</v>
      </c>
      <c r="I89" s="207"/>
      <c r="J89" s="207"/>
      <c r="K89" s="210"/>
      <c r="L89" s="19"/>
      <c r="M89" s="278" t="s">
        <v>79</v>
      </c>
      <c r="N89" s="279" t="n">
        <f aca="false">H46</f>
        <v>501</v>
      </c>
      <c r="O89" s="207"/>
      <c r="P89" s="207"/>
      <c r="Q89" s="210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8.75" hidden="false" customHeight="true" outlineLevel="0" collapsed="false">
      <c r="A90" s="209"/>
      <c r="B90" s="79"/>
      <c r="C90" s="207"/>
      <c r="D90" s="207"/>
      <c r="E90" s="210"/>
      <c r="F90" s="19"/>
      <c r="G90" s="209"/>
      <c r="H90" s="79"/>
      <c r="I90" s="207"/>
      <c r="J90" s="207"/>
      <c r="K90" s="210"/>
      <c r="L90" s="19"/>
      <c r="M90" s="209"/>
      <c r="N90" s="79"/>
      <c r="O90" s="207"/>
      <c r="P90" s="207"/>
      <c r="Q90" s="210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8.75" hidden="false" customHeight="true" outlineLevel="0" collapsed="false">
      <c r="A91" s="255" t="s">
        <v>88</v>
      </c>
      <c r="B91" s="137" t="n">
        <f aca="false">((B89*H29)+B87)</f>
        <v>11390.6166666667</v>
      </c>
      <c r="C91" s="207"/>
      <c r="D91" s="207"/>
      <c r="E91" s="210"/>
      <c r="F91" s="19"/>
      <c r="G91" s="255" t="s">
        <v>88</v>
      </c>
      <c r="H91" s="137" t="n">
        <f aca="false">((H89*H29)+H87)*1.2</f>
        <v>15861.04</v>
      </c>
      <c r="I91" s="207"/>
      <c r="J91" s="207"/>
      <c r="K91" s="210"/>
      <c r="L91" s="19"/>
      <c r="M91" s="255" t="s">
        <v>88</v>
      </c>
      <c r="N91" s="137" t="n">
        <f aca="false">((N89*H29)+N87)</f>
        <v>13177.95</v>
      </c>
      <c r="O91" s="207"/>
      <c r="P91" s="207"/>
      <c r="Q91" s="210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8.75" hidden="false" customHeight="true" outlineLevel="0" collapsed="false">
      <c r="A92" s="209" t="s">
        <v>89</v>
      </c>
      <c r="B92" s="273" t="n">
        <f aca="false">(((B89*H29)+B87)/(1-B76))*B76</f>
        <v>96.4917103670835</v>
      </c>
      <c r="C92" s="207"/>
      <c r="D92" s="207"/>
      <c r="E92" s="280"/>
      <c r="F92" s="19"/>
      <c r="G92" s="209" t="s">
        <v>89</v>
      </c>
      <c r="H92" s="273" t="n">
        <f aca="false">(((H89*H29)+H87)/(1-H76))*H76</f>
        <v>111.967809600645</v>
      </c>
      <c r="I92" s="207"/>
      <c r="J92" s="207"/>
      <c r="K92" s="210"/>
      <c r="L92" s="19"/>
      <c r="M92" s="209" t="s">
        <v>89</v>
      </c>
      <c r="N92" s="273" t="n">
        <f aca="false">(N91/(1-N76))*N76</f>
        <v>111.632492940702</v>
      </c>
      <c r="O92" s="207"/>
      <c r="P92" s="207"/>
      <c r="Q92" s="210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8.75" hidden="false" customHeight="true" outlineLevel="0" collapsed="false">
      <c r="A93" s="252" t="s">
        <v>90</v>
      </c>
      <c r="B93" s="139" t="n">
        <f aca="false">IF(B116="YES",((B91+B92)-E120),(B91+B92))</f>
        <v>7487.10837703375</v>
      </c>
      <c r="C93" s="207"/>
      <c r="D93" s="207"/>
      <c r="E93" s="210"/>
      <c r="F93" s="19"/>
      <c r="G93" s="252" t="s">
        <v>90</v>
      </c>
      <c r="H93" s="139" t="n">
        <f aca="false">IF(H116="YES",((H91+H92)-K120),(H91+H92))</f>
        <v>17973.0078096006</v>
      </c>
      <c r="I93" s="207"/>
      <c r="J93" s="207"/>
      <c r="K93" s="210"/>
      <c r="L93" s="19"/>
      <c r="M93" s="252" t="s">
        <v>90</v>
      </c>
      <c r="N93" s="139" t="n">
        <f aca="false">IF(N116="YES",((N91+N92)-K120),(N91+N92))</f>
        <v>15289.5824929407</v>
      </c>
      <c r="O93" s="207"/>
      <c r="P93" s="207"/>
      <c r="Q93" s="210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18.75" hidden="false" customHeight="true" outlineLevel="0" collapsed="false">
      <c r="A94" s="209"/>
      <c r="B94" s="79"/>
      <c r="C94" s="207"/>
      <c r="D94" s="207"/>
      <c r="E94" s="210"/>
      <c r="F94" s="19"/>
      <c r="G94" s="209"/>
      <c r="H94" s="79"/>
      <c r="I94" s="207"/>
      <c r="J94" s="207"/>
      <c r="K94" s="210"/>
      <c r="L94" s="19"/>
      <c r="M94" s="209"/>
      <c r="N94" s="79"/>
      <c r="O94" s="207"/>
      <c r="P94" s="207"/>
      <c r="Q94" s="210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8.75" hidden="false" customHeight="true" outlineLevel="0" collapsed="false">
      <c r="A95" s="276" t="s">
        <v>91</v>
      </c>
      <c r="B95" s="277" t="n">
        <f aca="false">IF(B105=Z104,(((H44*B35)+(H44*B35)*(B111/100))/(B64)),(((H44*B35)+(H44*B35)*(B111/100))/(B63+B64)))</f>
        <v>6.864</v>
      </c>
      <c r="C95" s="207"/>
      <c r="D95" s="207"/>
      <c r="E95" s="210"/>
      <c r="F95" s="19"/>
      <c r="G95" s="276" t="s">
        <v>91</v>
      </c>
      <c r="H95" s="277" t="e">
        <f aca="false">(((H44*B35)+((H44*B35)*H111))/(H63+H64))*1.2</f>
        <v>#DIV/0!</v>
      </c>
      <c r="I95" s="207"/>
      <c r="J95" s="207"/>
      <c r="K95" s="210"/>
      <c r="L95" s="19"/>
      <c r="M95" s="276" t="s">
        <v>91</v>
      </c>
      <c r="N95" s="277" t="e">
        <f aca="false">((H44*B35)+((H44*B35)*N111))/(N63+N64)</f>
        <v>#DIV/0!</v>
      </c>
      <c r="O95" s="207"/>
      <c r="P95" s="207"/>
      <c r="Q95" s="210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8.75" hidden="false" customHeight="true" outlineLevel="0" collapsed="false">
      <c r="A96" s="281" t="s">
        <v>92</v>
      </c>
      <c r="B96" s="282" t="n">
        <f aca="false">IF(B105=Z104, (B93-D111)/(B64), B93/(B63+B64))</f>
        <v>623.925698086146</v>
      </c>
      <c r="C96" s="207"/>
      <c r="D96" s="207"/>
      <c r="E96" s="210"/>
      <c r="F96" s="19"/>
      <c r="G96" s="281" t="s">
        <v>92</v>
      </c>
      <c r="H96" s="282" t="e">
        <f aca="false">IF(H105=Y104, (H93-J111)/(H64), H93/(H63+H64))</f>
        <v>#DIV/0!</v>
      </c>
      <c r="I96" s="207"/>
      <c r="J96" s="207"/>
      <c r="K96" s="210"/>
      <c r="L96" s="19"/>
      <c r="M96" s="281" t="s">
        <v>92</v>
      </c>
      <c r="N96" s="282" t="e">
        <f aca="false">IF(N105=Y104, (N93-P111)/(N64), N93/(N63+N64))</f>
        <v>#DIV/0!</v>
      </c>
      <c r="O96" s="207"/>
      <c r="P96" s="207"/>
      <c r="Q96" s="210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8.75" hidden="false" customHeight="true" outlineLevel="0" collapsed="false">
      <c r="A97" s="283" t="s">
        <v>93</v>
      </c>
      <c r="B97" s="284" t="n">
        <f aca="false">IF(A111="YES", B96+B95, B96)</f>
        <v>630.789698086146</v>
      </c>
      <c r="C97" s="207"/>
      <c r="D97" s="285"/>
      <c r="E97" s="210"/>
      <c r="F97" s="19"/>
      <c r="G97" s="283" t="s">
        <v>93</v>
      </c>
      <c r="H97" s="284" t="e">
        <f aca="false">IF(G111="YES", H96+H95, H96)</f>
        <v>#DIV/0!</v>
      </c>
      <c r="I97" s="207"/>
      <c r="J97" s="207"/>
      <c r="K97" s="210"/>
      <c r="L97" s="19"/>
      <c r="M97" s="283" t="s">
        <v>93</v>
      </c>
      <c r="N97" s="284" t="e">
        <f aca="false">IF(M111="YES", N96+N95, N96)</f>
        <v>#DIV/0!</v>
      </c>
      <c r="O97" s="207"/>
      <c r="P97" s="207"/>
      <c r="Q97" s="210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18.75" hidden="false" customHeight="true" outlineLevel="0" collapsed="false">
      <c r="A98" s="252"/>
      <c r="B98" s="253"/>
      <c r="C98" s="253"/>
      <c r="D98" s="253"/>
      <c r="E98" s="254"/>
      <c r="F98" s="19"/>
      <c r="G98" s="252"/>
      <c r="H98" s="253"/>
      <c r="I98" s="253"/>
      <c r="J98" s="253"/>
      <c r="K98" s="254"/>
      <c r="L98" s="19"/>
      <c r="M98" s="252"/>
      <c r="N98" s="253"/>
      <c r="O98" s="253"/>
      <c r="P98" s="253"/>
      <c r="Q98" s="254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18.75" hidden="false" customHeight="true" outlineLevel="0" collapsed="false">
      <c r="A99" s="207"/>
      <c r="B99" s="207"/>
      <c r="C99" s="207"/>
      <c r="D99" s="207"/>
      <c r="E99" s="207"/>
      <c r="F99" s="19"/>
      <c r="G99" s="207"/>
      <c r="H99" s="207"/>
      <c r="I99" s="207"/>
      <c r="J99" s="207"/>
      <c r="K99" s="207"/>
      <c r="L99" s="19"/>
      <c r="M99" s="207"/>
      <c r="N99" s="207"/>
      <c r="O99" s="207"/>
      <c r="P99" s="207"/>
      <c r="Q99" s="207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48.75" hidden="false" customHeight="true" outlineLevel="0" collapsed="false">
      <c r="A100" s="208" t="s">
        <v>251</v>
      </c>
      <c r="B100" s="208"/>
      <c r="C100" s="208"/>
      <c r="D100" s="208"/>
      <c r="E100" s="208"/>
      <c r="F100" s="19"/>
      <c r="G100" s="208" t="s">
        <v>250</v>
      </c>
      <c r="H100" s="208"/>
      <c r="I100" s="208"/>
      <c r="J100" s="208"/>
      <c r="K100" s="208"/>
      <c r="L100" s="19"/>
      <c r="M100" s="208" t="s">
        <v>251</v>
      </c>
      <c r="N100" s="208"/>
      <c r="O100" s="208"/>
      <c r="P100" s="208"/>
      <c r="Q100" s="208"/>
      <c r="R100" s="19"/>
      <c r="S100" s="19"/>
      <c r="T100" s="19"/>
      <c r="U100" s="19"/>
      <c r="V100" s="19"/>
      <c r="W100" s="19"/>
      <c r="X100" s="19"/>
      <c r="Y100" s="19"/>
      <c r="Z100" s="19"/>
    </row>
    <row r="101" customFormat="false" ht="18.75" hidden="false" customHeight="true" outlineLevel="0" collapsed="false">
      <c r="A101" s="209"/>
      <c r="B101" s="207"/>
      <c r="C101" s="207"/>
      <c r="D101" s="207"/>
      <c r="E101" s="210"/>
      <c r="F101" s="19"/>
      <c r="G101" s="209"/>
      <c r="H101" s="207"/>
      <c r="I101" s="207"/>
      <c r="J101" s="207"/>
      <c r="K101" s="210"/>
      <c r="L101" s="19"/>
      <c r="M101" s="209"/>
      <c r="N101" s="207"/>
      <c r="O101" s="207"/>
      <c r="P101" s="207"/>
      <c r="Q101" s="210"/>
      <c r="R101" s="19"/>
      <c r="S101" s="19"/>
      <c r="T101" s="19"/>
      <c r="U101" s="19"/>
      <c r="V101" s="19"/>
      <c r="W101" s="19"/>
      <c r="X101" s="19"/>
      <c r="Y101" s="19"/>
      <c r="Z101" s="19"/>
    </row>
    <row r="102" customFormat="false" ht="18.75" hidden="false" customHeight="true" outlineLevel="0" collapsed="false">
      <c r="A102" s="211" t="s">
        <v>26</v>
      </c>
      <c r="B102" s="211"/>
      <c r="C102" s="211"/>
      <c r="D102" s="211"/>
      <c r="E102" s="211"/>
      <c r="F102" s="19"/>
      <c r="G102" s="211" t="s">
        <v>26</v>
      </c>
      <c r="H102" s="211"/>
      <c r="I102" s="211"/>
      <c r="J102" s="211"/>
      <c r="K102" s="211"/>
      <c r="L102" s="19"/>
      <c r="M102" s="211" t="s">
        <v>26</v>
      </c>
      <c r="N102" s="211"/>
      <c r="O102" s="211"/>
      <c r="P102" s="211"/>
      <c r="Q102" s="211"/>
      <c r="R102" s="19"/>
      <c r="S102" s="19"/>
      <c r="T102" s="19"/>
      <c r="U102" s="19"/>
      <c r="V102" s="19"/>
      <c r="W102" s="19"/>
      <c r="X102" s="19"/>
      <c r="Y102" s="19"/>
      <c r="Z102" s="19"/>
    </row>
    <row r="103" customFormat="false" ht="18.75" hidden="false" customHeight="true" outlineLevel="0" collapsed="false">
      <c r="A103" s="209"/>
      <c r="B103" s="207"/>
      <c r="C103" s="207"/>
      <c r="D103" s="207"/>
      <c r="E103" s="210"/>
      <c r="F103" s="19"/>
      <c r="G103" s="209"/>
      <c r="H103" s="207"/>
      <c r="I103" s="207"/>
      <c r="J103" s="207"/>
      <c r="K103" s="210"/>
      <c r="L103" s="19"/>
      <c r="M103" s="209"/>
      <c r="N103" s="207"/>
      <c r="O103" s="207"/>
      <c r="P103" s="207"/>
      <c r="Q103" s="210"/>
      <c r="R103" s="19"/>
      <c r="S103" s="19"/>
      <c r="T103" s="19"/>
      <c r="U103" s="19"/>
      <c r="V103" s="19"/>
      <c r="W103" s="19"/>
      <c r="X103" s="19"/>
      <c r="Y103" s="19"/>
      <c r="Z103" s="19" t="s">
        <v>100</v>
      </c>
    </row>
    <row r="104" customFormat="false" ht="18.75" hidden="false" customHeight="true" outlineLevel="0" collapsed="false">
      <c r="A104" s="209" t="s">
        <v>98</v>
      </c>
      <c r="B104" s="207" t="s">
        <v>23</v>
      </c>
      <c r="C104" s="207"/>
      <c r="D104" s="207" t="s">
        <v>252</v>
      </c>
      <c r="E104" s="210"/>
      <c r="F104" s="19"/>
      <c r="G104" s="209" t="s">
        <v>98</v>
      </c>
      <c r="H104" s="207" t="s">
        <v>23</v>
      </c>
      <c r="I104" s="207"/>
      <c r="J104" s="207" t="s">
        <v>252</v>
      </c>
      <c r="K104" s="210"/>
      <c r="L104" s="19"/>
      <c r="M104" s="209" t="s">
        <v>98</v>
      </c>
      <c r="N104" s="207" t="s">
        <v>23</v>
      </c>
      <c r="O104" s="207"/>
      <c r="P104" s="207" t="s">
        <v>252</v>
      </c>
      <c r="Q104" s="210"/>
      <c r="R104" s="19"/>
      <c r="S104" s="19"/>
      <c r="T104" s="19"/>
      <c r="U104" s="19"/>
      <c r="V104" s="19"/>
      <c r="W104" s="19"/>
      <c r="X104" s="19"/>
      <c r="Y104" s="19"/>
      <c r="Z104" s="19" t="s">
        <v>253</v>
      </c>
    </row>
    <row r="105" customFormat="false" ht="18.75" hidden="false" customHeight="true" outlineLevel="0" collapsed="false">
      <c r="A105" s="214"/>
      <c r="B105" s="286" t="s">
        <v>315</v>
      </c>
      <c r="C105" s="286"/>
      <c r="D105" s="287" t="n">
        <v>1000</v>
      </c>
      <c r="E105" s="287"/>
      <c r="F105" s="19"/>
      <c r="G105" s="214" t="s">
        <v>254</v>
      </c>
      <c r="H105" s="286" t="s">
        <v>255</v>
      </c>
      <c r="I105" s="286"/>
      <c r="J105" s="287" t="n">
        <v>5000</v>
      </c>
      <c r="K105" s="287"/>
      <c r="L105" s="19"/>
      <c r="M105" s="214" t="s">
        <v>254</v>
      </c>
      <c r="N105" s="286" t="s">
        <v>256</v>
      </c>
      <c r="O105" s="286"/>
      <c r="P105" s="287" t="n">
        <v>0</v>
      </c>
      <c r="Q105" s="287"/>
      <c r="R105" s="19"/>
      <c r="S105" s="19"/>
      <c r="T105" s="19"/>
      <c r="U105" s="19"/>
      <c r="V105" s="19"/>
      <c r="W105" s="19"/>
      <c r="X105" s="19"/>
      <c r="Y105" s="19"/>
      <c r="Z105" s="19" t="s">
        <v>257</v>
      </c>
    </row>
    <row r="106" customFormat="false" ht="18.75" hidden="false" customHeight="true" outlineLevel="0" collapsed="false">
      <c r="A106" s="209"/>
      <c r="B106" s="207"/>
      <c r="C106" s="207"/>
      <c r="D106" s="207"/>
      <c r="E106" s="210"/>
      <c r="F106" s="19"/>
      <c r="G106" s="209"/>
      <c r="H106" s="207"/>
      <c r="I106" s="207"/>
      <c r="J106" s="207"/>
      <c r="K106" s="210"/>
      <c r="L106" s="19"/>
      <c r="M106" s="209"/>
      <c r="N106" s="207"/>
      <c r="O106" s="207"/>
      <c r="P106" s="207"/>
      <c r="Q106" s="210"/>
      <c r="R106" s="19"/>
      <c r="S106" s="19"/>
      <c r="T106" s="19"/>
      <c r="U106" s="19"/>
      <c r="V106" s="19"/>
      <c r="W106" s="19"/>
      <c r="X106" s="19"/>
      <c r="Y106" s="19"/>
      <c r="Z106" s="19" t="s">
        <v>258</v>
      </c>
    </row>
    <row r="107" customFormat="false" ht="18.75" hidden="false" customHeight="true" outlineLevel="0" collapsed="false">
      <c r="A107" s="209" t="s">
        <v>259</v>
      </c>
      <c r="B107" s="207" t="s">
        <v>260</v>
      </c>
      <c r="C107" s="207"/>
      <c r="D107" s="207" t="s">
        <v>261</v>
      </c>
      <c r="E107" s="210"/>
      <c r="F107" s="19"/>
      <c r="G107" s="209" t="s">
        <v>259</v>
      </c>
      <c r="H107" s="207" t="s">
        <v>260</v>
      </c>
      <c r="I107" s="207"/>
      <c r="J107" s="207" t="s">
        <v>261</v>
      </c>
      <c r="K107" s="210"/>
      <c r="L107" s="19"/>
      <c r="M107" s="209" t="s">
        <v>259</v>
      </c>
      <c r="N107" s="207" t="s">
        <v>260</v>
      </c>
      <c r="O107" s="207"/>
      <c r="P107" s="207" t="s">
        <v>261</v>
      </c>
      <c r="Q107" s="210"/>
      <c r="R107" s="19"/>
      <c r="S107" s="19"/>
      <c r="T107" s="19"/>
      <c r="U107" s="19"/>
      <c r="V107" s="19"/>
      <c r="W107" s="19"/>
      <c r="X107" s="19"/>
      <c r="Y107" s="19"/>
      <c r="Z107" s="19" t="s">
        <v>262</v>
      </c>
    </row>
    <row r="108" customFormat="false" ht="18.75" hidden="false" customHeight="true" outlineLevel="0" collapsed="false">
      <c r="A108" s="288" t="n">
        <v>199.99</v>
      </c>
      <c r="B108" s="72" t="n">
        <v>400</v>
      </c>
      <c r="C108" s="72"/>
      <c r="D108" s="72" t="n">
        <v>200</v>
      </c>
      <c r="E108" s="72"/>
      <c r="F108" s="19"/>
      <c r="G108" s="288" t="n">
        <f aca="false">199.99*1.2</f>
        <v>239.988</v>
      </c>
      <c r="H108" s="72" t="n">
        <v>1200</v>
      </c>
      <c r="I108" s="72"/>
      <c r="J108" s="72" t="n">
        <v>1500</v>
      </c>
      <c r="K108" s="72"/>
      <c r="L108" s="19"/>
      <c r="M108" s="288" t="n">
        <v>199.99</v>
      </c>
      <c r="N108" s="72" t="n">
        <v>1200</v>
      </c>
      <c r="O108" s="72"/>
      <c r="P108" s="72" t="n">
        <v>1500</v>
      </c>
      <c r="Q108" s="72"/>
      <c r="R108" s="19"/>
      <c r="S108" s="19"/>
      <c r="T108" s="19"/>
      <c r="U108" s="19"/>
      <c r="V108" s="19"/>
      <c r="W108" s="19"/>
      <c r="X108" s="19"/>
      <c r="Y108" s="19"/>
      <c r="Z108" s="19" t="s">
        <v>256</v>
      </c>
    </row>
    <row r="109" customFormat="false" ht="18.75" hidden="false" customHeight="true" outlineLevel="0" collapsed="false">
      <c r="A109" s="209"/>
      <c r="B109" s="207"/>
      <c r="C109" s="207"/>
      <c r="D109" s="207"/>
      <c r="E109" s="210"/>
      <c r="F109" s="19"/>
      <c r="G109" s="209"/>
      <c r="H109" s="207"/>
      <c r="I109" s="207"/>
      <c r="J109" s="207"/>
      <c r="K109" s="210"/>
      <c r="L109" s="19"/>
      <c r="M109" s="209"/>
      <c r="N109" s="207"/>
      <c r="O109" s="207"/>
      <c r="P109" s="207"/>
      <c r="Q109" s="210"/>
      <c r="R109" s="19"/>
      <c r="S109" s="19"/>
      <c r="T109" s="19"/>
      <c r="U109" s="19"/>
      <c r="V109" s="19"/>
      <c r="W109" s="19"/>
      <c r="X109" s="19"/>
      <c r="Y109" s="19"/>
      <c r="Z109" s="19" t="s">
        <v>255</v>
      </c>
    </row>
    <row r="110" customFormat="false" ht="18.75" hidden="false" customHeight="true" outlineLevel="0" collapsed="false">
      <c r="A110" s="214" t="s">
        <v>22</v>
      </c>
      <c r="B110" s="19" t="s">
        <v>101</v>
      </c>
      <c r="C110" s="207"/>
      <c r="D110" s="207" t="s">
        <v>112</v>
      </c>
      <c r="E110" s="210"/>
      <c r="F110" s="19"/>
      <c r="G110" s="214" t="s">
        <v>22</v>
      </c>
      <c r="H110" s="19" t="s">
        <v>101</v>
      </c>
      <c r="I110" s="207"/>
      <c r="J110" s="207" t="s">
        <v>112</v>
      </c>
      <c r="K110" s="210"/>
      <c r="L110" s="19"/>
      <c r="M110" s="214" t="s">
        <v>22</v>
      </c>
      <c r="N110" s="19" t="s">
        <v>101</v>
      </c>
      <c r="O110" s="207"/>
      <c r="P110" s="207" t="s">
        <v>112</v>
      </c>
      <c r="Q110" s="210"/>
      <c r="R110" s="19"/>
      <c r="S110" s="19"/>
      <c r="T110" s="19"/>
      <c r="U110" s="19"/>
      <c r="V110" s="19"/>
      <c r="W110" s="19"/>
      <c r="X110" s="19"/>
      <c r="Y110" s="19"/>
      <c r="Z110" s="19" t="s">
        <v>263</v>
      </c>
    </row>
    <row r="111" customFormat="false" ht="18.75" hidden="false" customHeight="true" outlineLevel="0" collapsed="false">
      <c r="A111" s="216" t="s">
        <v>9</v>
      </c>
      <c r="B111" s="286" t="n">
        <v>30</v>
      </c>
      <c r="C111" s="286"/>
      <c r="D111" s="72" t="s">
        <v>264</v>
      </c>
      <c r="E111" s="72"/>
      <c r="F111" s="19"/>
      <c r="G111" s="216" t="s">
        <v>9</v>
      </c>
      <c r="H111" s="289" t="n">
        <v>0.2</v>
      </c>
      <c r="I111" s="289"/>
      <c r="J111" s="72" t="n">
        <v>5000</v>
      </c>
      <c r="K111" s="72"/>
      <c r="L111" s="19"/>
      <c r="M111" s="216" t="s">
        <v>9</v>
      </c>
      <c r="N111" s="289" t="n">
        <v>0.2</v>
      </c>
      <c r="O111" s="289"/>
      <c r="P111" s="72" t="n">
        <v>5000</v>
      </c>
      <c r="Q111" s="72"/>
      <c r="R111" s="19"/>
      <c r="S111" s="19"/>
      <c r="T111" s="19"/>
      <c r="U111" s="19"/>
      <c r="V111" s="19"/>
      <c r="W111" s="19"/>
      <c r="X111" s="19"/>
      <c r="Y111" s="19"/>
      <c r="Z111" s="19" t="s">
        <v>265</v>
      </c>
    </row>
    <row r="112" customFormat="false" ht="18.75" hidden="false" customHeight="true" outlineLevel="0" collapsed="false">
      <c r="A112" s="209"/>
      <c r="B112" s="207"/>
      <c r="C112" s="207"/>
      <c r="D112" s="207" t="s">
        <v>4</v>
      </c>
      <c r="E112" s="210"/>
      <c r="F112" s="19"/>
      <c r="G112" s="209"/>
      <c r="H112" s="207"/>
      <c r="I112" s="207"/>
      <c r="J112" s="207"/>
      <c r="K112" s="210"/>
      <c r="L112" s="19"/>
      <c r="M112" s="209"/>
      <c r="N112" s="207"/>
      <c r="O112" s="207"/>
      <c r="P112" s="207"/>
      <c r="Q112" s="210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8.75" hidden="false" customHeight="true" outlineLevel="0" collapsed="false">
      <c r="A113" s="209"/>
      <c r="B113" s="207"/>
      <c r="C113" s="207"/>
      <c r="D113" s="207"/>
      <c r="E113" s="210"/>
      <c r="F113" s="19"/>
      <c r="G113" s="209"/>
      <c r="H113" s="207"/>
      <c r="I113" s="207"/>
      <c r="J113" s="207"/>
      <c r="K113" s="210"/>
      <c r="L113" s="19"/>
      <c r="M113" s="209"/>
      <c r="N113" s="207" t="s">
        <v>266</v>
      </c>
      <c r="O113" s="216" t="s">
        <v>9</v>
      </c>
      <c r="P113" s="207"/>
      <c r="Q113" s="210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8.75" hidden="false" customHeight="true" outlineLevel="0" collapsed="false">
      <c r="A114" s="211" t="s">
        <v>267</v>
      </c>
      <c r="B114" s="211"/>
      <c r="C114" s="211"/>
      <c r="D114" s="211"/>
      <c r="E114" s="211"/>
      <c r="F114" s="19"/>
      <c r="G114" s="211" t="s">
        <v>267</v>
      </c>
      <c r="H114" s="211"/>
      <c r="I114" s="211"/>
      <c r="J114" s="211"/>
      <c r="K114" s="211"/>
      <c r="L114" s="19"/>
      <c r="M114" s="211" t="s">
        <v>267</v>
      </c>
      <c r="N114" s="211"/>
      <c r="O114" s="211"/>
      <c r="P114" s="211"/>
      <c r="Q114" s="211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8.75" hidden="false" customHeight="true" outlineLevel="0" collapsed="false">
      <c r="A115" s="209"/>
      <c r="B115" s="207"/>
      <c r="C115" s="207"/>
      <c r="D115" s="207"/>
      <c r="E115" s="210"/>
      <c r="F115" s="19"/>
      <c r="G115" s="209"/>
      <c r="H115" s="207"/>
      <c r="I115" s="207"/>
      <c r="J115" s="207"/>
      <c r="K115" s="210"/>
      <c r="L115" s="19"/>
      <c r="M115" s="209"/>
      <c r="N115" s="207"/>
      <c r="O115" s="207"/>
      <c r="P115" s="207"/>
      <c r="Q115" s="210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8.75" hidden="false" customHeight="true" outlineLevel="0" collapsed="false">
      <c r="A116" s="209" t="s">
        <v>268</v>
      </c>
      <c r="B116" s="216" t="s">
        <v>9</v>
      </c>
      <c r="C116" s="207"/>
      <c r="D116" s="207"/>
      <c r="E116" s="210"/>
      <c r="F116" s="19"/>
      <c r="G116" s="209" t="s">
        <v>268</v>
      </c>
      <c r="H116" s="216" t="s">
        <v>9</v>
      </c>
      <c r="I116" s="207"/>
      <c r="J116" s="207"/>
      <c r="K116" s="210"/>
      <c r="L116" s="19"/>
      <c r="M116" s="209" t="s">
        <v>268</v>
      </c>
      <c r="N116" s="216" t="s">
        <v>9</v>
      </c>
      <c r="O116" s="207"/>
      <c r="P116" s="207"/>
      <c r="Q116" s="210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8.75" hidden="false" customHeight="true" outlineLevel="0" collapsed="false">
      <c r="A117" s="209"/>
      <c r="B117" s="207"/>
      <c r="C117" s="207"/>
      <c r="D117" s="207"/>
      <c r="E117" s="210"/>
      <c r="F117" s="19"/>
      <c r="G117" s="209"/>
      <c r="H117" s="207"/>
      <c r="I117" s="207"/>
      <c r="J117" s="207"/>
      <c r="K117" s="210"/>
      <c r="L117" s="19"/>
      <c r="M117" s="209"/>
      <c r="N117" s="207"/>
      <c r="O117" s="207"/>
      <c r="P117" s="207"/>
      <c r="Q117" s="210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8.75" hidden="false" customHeight="true" outlineLevel="0" collapsed="false">
      <c r="A118" s="209" t="s">
        <v>146</v>
      </c>
      <c r="B118" s="207"/>
      <c r="C118" s="207"/>
      <c r="D118" s="288" t="n">
        <v>10000</v>
      </c>
      <c r="E118" s="72" t="n">
        <v>6000</v>
      </c>
      <c r="F118" s="19"/>
      <c r="G118" s="209" t="s">
        <v>146</v>
      </c>
      <c r="H118" s="207"/>
      <c r="I118" s="207"/>
      <c r="J118" s="288" t="n">
        <v>10000</v>
      </c>
      <c r="K118" s="72" t="n">
        <v>5000</v>
      </c>
      <c r="L118" s="19"/>
      <c r="M118" s="209" t="s">
        <v>146</v>
      </c>
      <c r="N118" s="207"/>
      <c r="O118" s="207"/>
      <c r="P118" s="288" t="n">
        <v>10000</v>
      </c>
      <c r="Q118" s="72" t="n">
        <v>5000</v>
      </c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8.75" hidden="false" customHeight="true" outlineLevel="0" collapsed="false">
      <c r="A119" s="209" t="s">
        <v>147</v>
      </c>
      <c r="B119" s="207"/>
      <c r="C119" s="207"/>
      <c r="D119" s="38" t="n">
        <f aca="false">E119</f>
        <v>2000</v>
      </c>
      <c r="E119" s="72" t="n">
        <v>2000</v>
      </c>
      <c r="F119" s="19"/>
      <c r="G119" s="209" t="s">
        <v>147</v>
      </c>
      <c r="H119" s="207"/>
      <c r="I119" s="207"/>
      <c r="J119" s="38" t="n">
        <f aca="false">K119</f>
        <v>7000</v>
      </c>
      <c r="K119" s="72" t="n">
        <v>7000</v>
      </c>
      <c r="L119" s="19"/>
      <c r="M119" s="209" t="s">
        <v>147</v>
      </c>
      <c r="N119" s="207"/>
      <c r="O119" s="207"/>
      <c r="P119" s="38" t="n">
        <f aca="false">Q119</f>
        <v>7000</v>
      </c>
      <c r="Q119" s="72" t="n">
        <v>7000</v>
      </c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8.75" hidden="false" customHeight="true" outlineLevel="0" collapsed="false">
      <c r="A120" s="209" t="s">
        <v>148</v>
      </c>
      <c r="B120" s="207"/>
      <c r="C120" s="207"/>
      <c r="D120" s="38" t="n">
        <f aca="false">D118-D119</f>
        <v>8000</v>
      </c>
      <c r="E120" s="163" t="n">
        <f aca="false">E118-E119</f>
        <v>4000</v>
      </c>
      <c r="F120" s="19"/>
      <c r="G120" s="209" t="s">
        <v>148</v>
      </c>
      <c r="H120" s="207"/>
      <c r="I120" s="207"/>
      <c r="J120" s="38" t="n">
        <f aca="false">J118-J119</f>
        <v>3000</v>
      </c>
      <c r="K120" s="163" t="n">
        <f aca="false">K118-K119</f>
        <v>-2000</v>
      </c>
      <c r="L120" s="19"/>
      <c r="M120" s="209" t="s">
        <v>148</v>
      </c>
      <c r="N120" s="207"/>
      <c r="O120" s="207"/>
      <c r="P120" s="38" t="n">
        <f aca="false">P118-P119</f>
        <v>3000</v>
      </c>
      <c r="Q120" s="163" t="n">
        <f aca="false">Q118-Q119</f>
        <v>-2000</v>
      </c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8.75" hidden="false" customHeight="true" outlineLevel="0" collapsed="false">
      <c r="A121" s="209" t="s">
        <v>149</v>
      </c>
      <c r="B121" s="207"/>
      <c r="C121" s="207"/>
      <c r="D121" s="38" t="n">
        <f aca="false">D120-E120</f>
        <v>4000</v>
      </c>
      <c r="E121" s="210"/>
      <c r="F121" s="19"/>
      <c r="G121" s="209" t="s">
        <v>149</v>
      </c>
      <c r="H121" s="207"/>
      <c r="I121" s="207"/>
      <c r="J121" s="38" t="n">
        <f aca="false">J120-K120</f>
        <v>5000</v>
      </c>
      <c r="K121" s="210"/>
      <c r="L121" s="19"/>
      <c r="M121" s="209" t="s">
        <v>149</v>
      </c>
      <c r="N121" s="207"/>
      <c r="O121" s="207"/>
      <c r="P121" s="38" t="n">
        <f aca="false">P120-Q120</f>
        <v>5000</v>
      </c>
      <c r="Q121" s="210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8.75" hidden="false" customHeight="true" outlineLevel="0" collapsed="false">
      <c r="A122" s="209"/>
      <c r="B122" s="207"/>
      <c r="C122" s="207"/>
      <c r="D122" s="207"/>
      <c r="E122" s="210"/>
      <c r="F122" s="19"/>
      <c r="G122" s="209"/>
      <c r="H122" s="207"/>
      <c r="I122" s="207"/>
      <c r="J122" s="207"/>
      <c r="K122" s="210"/>
      <c r="L122" s="19"/>
      <c r="M122" s="209"/>
      <c r="N122" s="207"/>
      <c r="O122" s="207"/>
      <c r="P122" s="207"/>
      <c r="Q122" s="210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8.75" hidden="false" customHeight="true" outlineLevel="0" collapsed="false">
      <c r="A123" s="255" t="s">
        <v>108</v>
      </c>
      <c r="B123" s="256"/>
      <c r="C123" s="256"/>
      <c r="D123" s="256"/>
      <c r="E123" s="137" t="n">
        <f aca="false">D105</f>
        <v>1000</v>
      </c>
      <c r="F123" s="19"/>
      <c r="G123" s="255" t="s">
        <v>108</v>
      </c>
      <c r="H123" s="256"/>
      <c r="I123" s="256"/>
      <c r="J123" s="256"/>
      <c r="K123" s="137" t="n">
        <f aca="false">J105</f>
        <v>5000</v>
      </c>
      <c r="L123" s="19"/>
      <c r="M123" s="255" t="s">
        <v>108</v>
      </c>
      <c r="N123" s="256"/>
      <c r="O123" s="256"/>
      <c r="P123" s="256"/>
      <c r="Q123" s="137" t="n">
        <f aca="false">P105</f>
        <v>0</v>
      </c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8.75" hidden="false" customHeight="true" outlineLevel="0" collapsed="false">
      <c r="A124" s="209" t="s">
        <v>152</v>
      </c>
      <c r="B124" s="207"/>
      <c r="C124" s="207"/>
      <c r="D124" s="207"/>
      <c r="E124" s="273" t="n">
        <f aca="false">A108</f>
        <v>199.99</v>
      </c>
      <c r="F124" s="19"/>
      <c r="G124" s="209" t="s">
        <v>152</v>
      </c>
      <c r="H124" s="207"/>
      <c r="I124" s="207"/>
      <c r="J124" s="207"/>
      <c r="K124" s="273" t="n">
        <f aca="false">G108</f>
        <v>239.988</v>
      </c>
      <c r="L124" s="19"/>
      <c r="M124" s="209" t="s">
        <v>152</v>
      </c>
      <c r="N124" s="207"/>
      <c r="O124" s="207"/>
      <c r="P124" s="207"/>
      <c r="Q124" s="273" t="n">
        <f aca="false">M108</f>
        <v>199.99</v>
      </c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8.75" hidden="false" customHeight="true" outlineLevel="0" collapsed="false">
      <c r="A125" s="290" t="s">
        <v>269</v>
      </c>
      <c r="B125" s="253"/>
      <c r="C125" s="253"/>
      <c r="D125" s="253"/>
      <c r="E125" s="139" t="n">
        <f aca="false">(E124+E123)-E120</f>
        <v>-2800.01</v>
      </c>
      <c r="F125" s="19"/>
      <c r="G125" s="290" t="s">
        <v>269</v>
      </c>
      <c r="H125" s="253"/>
      <c r="I125" s="253"/>
      <c r="J125" s="253"/>
      <c r="K125" s="139" t="n">
        <f aca="false">(K124+K123)-K120</f>
        <v>7239.988</v>
      </c>
      <c r="L125" s="19"/>
      <c r="M125" s="290" t="s">
        <v>269</v>
      </c>
      <c r="N125" s="253"/>
      <c r="O125" s="253"/>
      <c r="P125" s="253"/>
      <c r="Q125" s="139" t="n">
        <f aca="false">(Q124+Q123)-Q120</f>
        <v>2199.99</v>
      </c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8.75" hidden="false" customHeight="true" outlineLevel="0" collapsed="false">
      <c r="A126" s="209"/>
      <c r="B126" s="207"/>
      <c r="C126" s="207"/>
      <c r="D126" s="207"/>
      <c r="E126" s="210"/>
      <c r="F126" s="19"/>
      <c r="G126" s="209"/>
      <c r="H126" s="207"/>
      <c r="I126" s="207"/>
      <c r="J126" s="207"/>
      <c r="K126" s="210"/>
      <c r="L126" s="19"/>
      <c r="M126" s="209"/>
      <c r="N126" s="207"/>
      <c r="O126" s="207"/>
      <c r="P126" s="207"/>
      <c r="Q126" s="210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8.75" hidden="false" customHeight="true" outlineLevel="0" collapsed="false">
      <c r="A127" s="209"/>
      <c r="B127" s="207"/>
      <c r="C127" s="207"/>
      <c r="D127" s="207"/>
      <c r="E127" s="210"/>
      <c r="F127" s="19"/>
      <c r="G127" s="209"/>
      <c r="H127" s="207"/>
      <c r="I127" s="207"/>
      <c r="J127" s="207"/>
      <c r="K127" s="210"/>
      <c r="L127" s="19"/>
      <c r="M127" s="209"/>
      <c r="N127" s="207"/>
      <c r="O127" s="207"/>
      <c r="P127" s="207"/>
      <c r="Q127" s="210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8.75" hidden="false" customHeight="true" outlineLevel="0" collapsed="false">
      <c r="A128" s="211" t="s">
        <v>270</v>
      </c>
      <c r="B128" s="211"/>
      <c r="C128" s="211"/>
      <c r="D128" s="211"/>
      <c r="E128" s="211"/>
      <c r="F128" s="19"/>
      <c r="G128" s="211" t="s">
        <v>270</v>
      </c>
      <c r="H128" s="211"/>
      <c r="I128" s="211"/>
      <c r="J128" s="211"/>
      <c r="K128" s="211"/>
      <c r="L128" s="19"/>
      <c r="M128" s="211" t="s">
        <v>270</v>
      </c>
      <c r="N128" s="211"/>
      <c r="O128" s="211"/>
      <c r="P128" s="211"/>
      <c r="Q128" s="211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8.75" hidden="false" customHeight="true" outlineLevel="0" collapsed="false">
      <c r="A129" s="291"/>
      <c r="B129" s="292"/>
      <c r="C129" s="292"/>
      <c r="D129" s="292"/>
      <c r="E129" s="293"/>
      <c r="F129" s="19"/>
      <c r="G129" s="209"/>
      <c r="H129" s="207"/>
      <c r="I129" s="207"/>
      <c r="J129" s="207"/>
      <c r="K129" s="210"/>
      <c r="L129" s="19"/>
      <c r="M129" s="209"/>
      <c r="N129" s="207"/>
      <c r="O129" s="207"/>
      <c r="P129" s="207"/>
      <c r="Q129" s="210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8.75" hidden="false" customHeight="true" outlineLevel="0" collapsed="false">
      <c r="A130" s="294" t="s">
        <v>98</v>
      </c>
      <c r="B130" s="295" t="n">
        <v>0</v>
      </c>
      <c r="C130" s="296"/>
      <c r="D130" s="295" t="s">
        <v>33</v>
      </c>
      <c r="E130" s="297"/>
      <c r="F130" s="19"/>
      <c r="G130" s="209" t="s">
        <v>29</v>
      </c>
      <c r="H130" s="168" t="n">
        <v>0</v>
      </c>
      <c r="I130" s="168"/>
      <c r="J130" s="207"/>
      <c r="K130" s="210"/>
      <c r="L130" s="19"/>
      <c r="M130" s="209" t="s">
        <v>29</v>
      </c>
      <c r="N130" s="168" t="n">
        <v>0</v>
      </c>
      <c r="O130" s="168"/>
      <c r="P130" s="207"/>
      <c r="Q130" s="210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8.75" hidden="false" customHeight="true" outlineLevel="0" collapsed="false">
      <c r="A131" s="298" t="s">
        <v>254</v>
      </c>
      <c r="B131" s="299" t="n">
        <f aca="false">A167</f>
        <v>12</v>
      </c>
      <c r="C131" s="300"/>
      <c r="D131" s="299" t="n">
        <f aca="false">B166</f>
        <v>5000</v>
      </c>
      <c r="E131" s="297"/>
      <c r="F131" s="19"/>
      <c r="G131" s="209"/>
      <c r="H131" s="207"/>
      <c r="I131" s="207"/>
      <c r="J131" s="207"/>
      <c r="K131" s="210"/>
      <c r="L131" s="19"/>
      <c r="M131" s="209"/>
      <c r="N131" s="207"/>
      <c r="O131" s="207"/>
      <c r="P131" s="207"/>
      <c r="Q131" s="210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8.75" hidden="false" customHeight="true" outlineLevel="0" collapsed="false">
      <c r="A132" s="294"/>
      <c r="B132" s="295"/>
      <c r="C132" s="295"/>
      <c r="D132" s="295"/>
      <c r="E132" s="297"/>
      <c r="F132" s="19"/>
      <c r="G132" s="209" t="s">
        <v>28</v>
      </c>
      <c r="H132" s="207" t="s">
        <v>33</v>
      </c>
      <c r="I132" s="207"/>
      <c r="J132" s="207" t="s">
        <v>60</v>
      </c>
      <c r="K132" s="210"/>
      <c r="L132" s="19"/>
      <c r="M132" s="209" t="s">
        <v>28</v>
      </c>
      <c r="N132" s="207" t="s">
        <v>33</v>
      </c>
      <c r="O132" s="207"/>
      <c r="P132" s="207" t="s">
        <v>60</v>
      </c>
      <c r="Q132" s="210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8.75" hidden="false" customHeight="true" outlineLevel="0" collapsed="false">
      <c r="A133" s="294" t="s">
        <v>92</v>
      </c>
      <c r="B133" s="295" t="s">
        <v>271</v>
      </c>
      <c r="C133" s="296"/>
      <c r="D133" s="295" t="s">
        <v>272</v>
      </c>
      <c r="E133" s="297"/>
      <c r="F133" s="19"/>
      <c r="G133" s="222" t="n">
        <f aca="false">G158</f>
        <v>12</v>
      </c>
      <c r="H133" s="174" t="n">
        <f aca="false">B157</f>
        <v>0</v>
      </c>
      <c r="I133" s="223"/>
      <c r="J133" s="174" t="n">
        <f aca="false">B64</f>
        <v>3</v>
      </c>
      <c r="K133" s="210"/>
      <c r="L133" s="19"/>
      <c r="M133" s="222" t="n">
        <f aca="false">M161</f>
        <v>12</v>
      </c>
      <c r="N133" s="174" t="n">
        <f aca="false">B157</f>
        <v>0</v>
      </c>
      <c r="O133" s="223"/>
      <c r="P133" s="174" t="n">
        <f aca="false">B64</f>
        <v>3</v>
      </c>
      <c r="Q133" s="210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8.75" hidden="false" customHeight="true" outlineLevel="0" collapsed="false">
      <c r="A134" s="298" t="n">
        <f aca="false">B96</f>
        <v>623.925698086146</v>
      </c>
      <c r="B134" s="296" t="n">
        <f aca="false">IF(A111="YES", B95, 0)</f>
        <v>6.864</v>
      </c>
      <c r="C134" s="301"/>
      <c r="D134" s="296" t="n">
        <f aca="false">B97</f>
        <v>630.789698086146</v>
      </c>
      <c r="E134" s="297"/>
      <c r="F134" s="19"/>
      <c r="G134" s="209"/>
      <c r="H134" s="207"/>
      <c r="I134" s="207"/>
      <c r="J134" s="207"/>
      <c r="K134" s="210"/>
      <c r="L134" s="19"/>
      <c r="M134" s="209"/>
      <c r="N134" s="207"/>
      <c r="O134" s="207"/>
      <c r="P134" s="207"/>
      <c r="Q134" s="210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8.75" hidden="false" customHeight="true" outlineLevel="0" collapsed="false">
      <c r="A135" s="291"/>
      <c r="B135" s="292"/>
      <c r="C135" s="292"/>
      <c r="D135" s="292"/>
      <c r="E135" s="293"/>
      <c r="F135" s="19"/>
      <c r="G135" s="302" t="s">
        <v>273</v>
      </c>
      <c r="H135" s="303" t="s">
        <v>274</v>
      </c>
      <c r="I135" s="303"/>
      <c r="J135" s="303" t="s">
        <v>275</v>
      </c>
      <c r="K135" s="210"/>
      <c r="L135" s="19"/>
      <c r="M135" s="302" t="s">
        <v>276</v>
      </c>
      <c r="N135" s="303" t="s">
        <v>227</v>
      </c>
      <c r="O135" s="303"/>
      <c r="P135" s="303" t="s">
        <v>93</v>
      </c>
      <c r="Q135" s="210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8.75" hidden="false" customHeight="true" outlineLevel="0" collapsed="false">
      <c r="A136" s="304" t="s">
        <v>23</v>
      </c>
      <c r="B136" s="305" t="s">
        <v>277</v>
      </c>
      <c r="C136" s="306"/>
      <c r="D136" s="305" t="s">
        <v>278</v>
      </c>
      <c r="E136" s="293"/>
      <c r="F136" s="19"/>
      <c r="G136" s="307" t="e">
        <f aca="false">H96</f>
        <v>#DIV/0!</v>
      </c>
      <c r="H136" s="172" t="e">
        <f aca="false">IF(G111="YES", H95*H63, 0)</f>
        <v>#DIV/0!</v>
      </c>
      <c r="I136" s="172"/>
      <c r="J136" s="308" t="e">
        <f aca="false">H97</f>
        <v>#DIV/0!</v>
      </c>
      <c r="K136" s="210"/>
      <c r="L136" s="19"/>
      <c r="M136" s="307" t="e">
        <f aca="false">N96</f>
        <v>#DIV/0!</v>
      </c>
      <c r="N136" s="172" t="e">
        <f aca="false">IF(M111="YES", N95*N63, 0)</f>
        <v>#DIV/0!</v>
      </c>
      <c r="O136" s="172"/>
      <c r="P136" s="172" t="e">
        <f aca="false">N97</f>
        <v>#DIV/0!</v>
      </c>
      <c r="Q136" s="210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8.75" hidden="false" customHeight="true" outlineLevel="0" collapsed="false">
      <c r="A137" s="309" t="str">
        <f aca="false">B105</f>
        <v>Terminal pause with 9 down</v>
      </c>
      <c r="B137" s="201" t="n">
        <f aca="false">B96*B63</f>
        <v>5615.33128277531</v>
      </c>
      <c r="C137" s="292"/>
      <c r="D137" s="201" t="n">
        <f aca="false">IF(A111="YES", B95*B63, 0)</f>
        <v>61.776</v>
      </c>
      <c r="E137" s="293"/>
      <c r="F137" s="19"/>
      <c r="G137" s="209"/>
      <c r="H137" s="207"/>
      <c r="I137" s="207"/>
      <c r="J137" s="207"/>
      <c r="K137" s="210"/>
      <c r="L137" s="19"/>
      <c r="M137" s="209"/>
      <c r="N137" s="207"/>
      <c r="O137" s="207"/>
      <c r="P137" s="207"/>
      <c r="Q137" s="210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8.75" hidden="false" customHeight="true" outlineLevel="0" collapsed="false">
      <c r="A138" s="291"/>
      <c r="B138" s="292"/>
      <c r="C138" s="292"/>
      <c r="D138" s="292"/>
      <c r="E138" s="293"/>
      <c r="F138" s="19"/>
      <c r="G138" s="209" t="s">
        <v>279</v>
      </c>
      <c r="H138" s="207" t="s">
        <v>280</v>
      </c>
      <c r="I138" s="207"/>
      <c r="J138" s="207" t="s">
        <v>281</v>
      </c>
      <c r="K138" s="210"/>
      <c r="L138" s="19"/>
      <c r="M138" s="209" t="s">
        <v>282</v>
      </c>
      <c r="N138" s="207" t="s">
        <v>216</v>
      </c>
      <c r="O138" s="207"/>
      <c r="P138" s="207" t="s">
        <v>220</v>
      </c>
      <c r="Q138" s="210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8.75" hidden="false" customHeight="true" outlineLevel="0" collapsed="false">
      <c r="A139" s="123" t="s">
        <v>283</v>
      </c>
      <c r="B139" s="200" t="s">
        <v>284</v>
      </c>
      <c r="C139" s="310"/>
      <c r="D139" s="240" t="s">
        <v>177</v>
      </c>
      <c r="E139" s="293"/>
      <c r="F139" s="19"/>
      <c r="G139" s="69" t="e">
        <f aca="false">H96*H63</f>
        <v>#DIV/0!</v>
      </c>
      <c r="H139" s="37" t="e">
        <f aca="false">IF(G111="YES", H95*H63, 0)</f>
        <v>#DIV/0!</v>
      </c>
      <c r="I139" s="215"/>
      <c r="J139" s="37" t="e">
        <f aca="false">H97*H63</f>
        <v>#DIV/0!</v>
      </c>
      <c r="K139" s="210"/>
      <c r="L139" s="19"/>
      <c r="M139" s="69" t="e">
        <f aca="false">N96*N63</f>
        <v>#DIV/0!</v>
      </c>
      <c r="N139" s="37" t="e">
        <f aca="false">IF(M111="YES", N95*N63, 0)</f>
        <v>#DIV/0!</v>
      </c>
      <c r="O139" s="215"/>
      <c r="P139" s="232" t="e">
        <f aca="false">N97*N63</f>
        <v>#DIV/0!</v>
      </c>
      <c r="Q139" s="210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8.75" hidden="false" customHeight="true" outlineLevel="0" collapsed="false">
      <c r="A140" s="70" t="n">
        <f aca="false">B97*B63</f>
        <v>5677.10728277531</v>
      </c>
      <c r="B140" s="201" t="n">
        <f aca="false">E120</f>
        <v>4000</v>
      </c>
      <c r="C140" s="292"/>
      <c r="D140" s="311" t="n">
        <f aca="false">B64</f>
        <v>3</v>
      </c>
      <c r="E140" s="293"/>
      <c r="F140" s="19"/>
      <c r="G140" s="209"/>
      <c r="H140" s="207"/>
      <c r="I140" s="207"/>
      <c r="J140" s="207"/>
      <c r="K140" s="210"/>
      <c r="L140" s="19"/>
      <c r="M140" s="209"/>
      <c r="N140" s="207"/>
      <c r="O140" s="207"/>
      <c r="P140" s="207"/>
      <c r="Q140" s="210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8.75" hidden="false" customHeight="true" outlineLevel="0" collapsed="false">
      <c r="A141" s="70"/>
      <c r="B141" s="312"/>
      <c r="C141" s="292"/>
      <c r="D141" s="292"/>
      <c r="E141" s="293"/>
      <c r="F141" s="19"/>
      <c r="G141" s="209" t="s">
        <v>285</v>
      </c>
      <c r="H141" s="207" t="s">
        <v>286</v>
      </c>
      <c r="I141" s="207"/>
      <c r="J141" s="207" t="s">
        <v>287</v>
      </c>
      <c r="K141" s="210"/>
      <c r="L141" s="19"/>
      <c r="M141" s="209" t="s">
        <v>229</v>
      </c>
      <c r="N141" s="207" t="s">
        <v>230</v>
      </c>
      <c r="O141" s="207"/>
      <c r="P141" s="207" t="s">
        <v>235</v>
      </c>
      <c r="Q141" s="210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8.75" hidden="false" customHeight="true" outlineLevel="0" collapsed="false">
      <c r="A142" s="78" t="s">
        <v>92</v>
      </c>
      <c r="B142" s="313" t="s">
        <v>271</v>
      </c>
      <c r="C142" s="292"/>
      <c r="D142" s="292" t="s">
        <v>272</v>
      </c>
      <c r="E142" s="293"/>
      <c r="F142" s="19"/>
      <c r="G142" s="70" t="n">
        <f aca="false">E15*0.000006</f>
        <v>0.35115</v>
      </c>
      <c r="H142" s="37" t="n">
        <f aca="false">IF(G111="YES", E15*0.000002, 0)</f>
        <v>0.11705</v>
      </c>
      <c r="I142" s="37"/>
      <c r="J142" s="37" t="n">
        <f aca="false">G142+H142</f>
        <v>0.4682</v>
      </c>
      <c r="K142" s="177"/>
      <c r="L142" s="19"/>
      <c r="M142" s="70" t="n">
        <f aca="false">E15*0.000006</f>
        <v>0.35115</v>
      </c>
      <c r="N142" s="37" t="n">
        <f aca="false">IF(M111="YES", E15*0.000002, 0)</f>
        <v>0.11705</v>
      </c>
      <c r="O142" s="37"/>
      <c r="P142" s="37" t="n">
        <f aca="false">M142+N142</f>
        <v>0.4682</v>
      </c>
      <c r="Q142" s="177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8.75" hidden="false" customHeight="true" outlineLevel="0" collapsed="false">
      <c r="A143" s="70" t="n">
        <f aca="false">B96</f>
        <v>623.925698086146</v>
      </c>
      <c r="B143" s="201" t="n">
        <f aca="false">IF(A111="YES", B95, 0)</f>
        <v>6.864</v>
      </c>
      <c r="C143" s="292"/>
      <c r="D143" s="201" t="n">
        <f aca="false">B97</f>
        <v>630.789698086146</v>
      </c>
      <c r="E143" s="293"/>
      <c r="F143" s="19"/>
      <c r="G143" s="209"/>
      <c r="H143" s="207"/>
      <c r="I143" s="207"/>
      <c r="J143" s="207"/>
      <c r="K143" s="210"/>
      <c r="L143" s="19"/>
      <c r="M143" s="209"/>
      <c r="N143" s="207"/>
      <c r="O143" s="207"/>
      <c r="P143" s="207"/>
      <c r="Q143" s="210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8.75" hidden="false" customHeight="true" outlineLevel="0" collapsed="false">
      <c r="A144" s="291"/>
      <c r="B144" s="292"/>
      <c r="C144" s="292"/>
      <c r="D144" s="292"/>
      <c r="E144" s="293"/>
      <c r="F144" s="19"/>
      <c r="G144" s="209" t="s">
        <v>288</v>
      </c>
      <c r="H144" s="207" t="s">
        <v>289</v>
      </c>
      <c r="I144" s="207"/>
      <c r="J144" s="207" t="s">
        <v>290</v>
      </c>
      <c r="K144" s="210"/>
      <c r="L144" s="19"/>
      <c r="M144" s="209" t="s">
        <v>111</v>
      </c>
      <c r="N144" s="207" t="s">
        <v>289</v>
      </c>
      <c r="O144" s="207"/>
      <c r="P144" s="207" t="s">
        <v>290</v>
      </c>
      <c r="Q144" s="210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8.75" hidden="false" customHeight="true" outlineLevel="0" collapsed="false">
      <c r="A145" s="314" t="s">
        <v>180</v>
      </c>
      <c r="B145" s="315" t="s">
        <v>291</v>
      </c>
      <c r="C145" s="201"/>
      <c r="D145" s="315" t="s">
        <v>182</v>
      </c>
      <c r="E145" s="177"/>
      <c r="F145" s="19"/>
      <c r="G145" s="70" t="n">
        <f aca="false">G108</f>
        <v>239.988</v>
      </c>
      <c r="H145" s="37" t="n">
        <f aca="false">H73/1.2</f>
        <v>241.1875</v>
      </c>
      <c r="I145" s="37"/>
      <c r="J145" s="37" t="n">
        <f aca="false">H108*0.9</f>
        <v>1080</v>
      </c>
      <c r="K145" s="177"/>
      <c r="L145" s="19"/>
      <c r="M145" s="70" t="n">
        <f aca="false">M108</f>
        <v>199.99</v>
      </c>
      <c r="N145" s="37" t="n">
        <f aca="false">N73/1.2</f>
        <v>241.1875</v>
      </c>
      <c r="O145" s="37"/>
      <c r="P145" s="37" t="n">
        <f aca="false">N108*0.9</f>
        <v>1080</v>
      </c>
      <c r="Q145" s="177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8.75" hidden="false" customHeight="true" outlineLevel="0" collapsed="false">
      <c r="A146" s="316" t="n">
        <f aca="false">(G18*0.000006)*1.2*100</f>
        <v>41.6772</v>
      </c>
      <c r="B146" s="317" t="n">
        <f aca="false">G18*0.000002 *1.2*100</f>
        <v>13.8924</v>
      </c>
      <c r="C146" s="292"/>
      <c r="D146" s="317" t="n">
        <f aca="false">A146+B146</f>
        <v>55.5696</v>
      </c>
      <c r="E146" s="293"/>
      <c r="F146" s="19"/>
      <c r="G146" s="209"/>
      <c r="H146" s="207"/>
      <c r="I146" s="207"/>
      <c r="J146" s="207"/>
      <c r="K146" s="210"/>
      <c r="L146" s="19"/>
      <c r="M146" s="209"/>
      <c r="N146" s="207"/>
      <c r="O146" s="207"/>
      <c r="P146" s="207"/>
      <c r="Q146" s="210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8.75" hidden="false" customHeight="true" outlineLevel="0" collapsed="false">
      <c r="A147" s="316"/>
      <c r="B147" s="317"/>
      <c r="C147" s="292"/>
      <c r="D147" s="317"/>
      <c r="E147" s="293"/>
      <c r="F147" s="19"/>
      <c r="G147" s="209" t="s">
        <v>292</v>
      </c>
      <c r="H147" s="207" t="s">
        <v>293</v>
      </c>
      <c r="I147" s="207"/>
      <c r="J147" s="207" t="s">
        <v>294</v>
      </c>
      <c r="K147" s="210"/>
      <c r="L147" s="19"/>
      <c r="M147" s="209" t="s">
        <v>292</v>
      </c>
      <c r="N147" s="207" t="s">
        <v>293</v>
      </c>
      <c r="O147" s="207"/>
      <c r="P147" s="207" t="s">
        <v>294</v>
      </c>
      <c r="Q147" s="210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8.75" hidden="false" customHeight="true" outlineLevel="0" collapsed="false">
      <c r="A148" s="314" t="s">
        <v>295</v>
      </c>
      <c r="B148" s="315" t="s">
        <v>152</v>
      </c>
      <c r="C148" s="201"/>
      <c r="D148" s="315" t="s">
        <v>246</v>
      </c>
      <c r="E148" s="293"/>
      <c r="F148" s="19"/>
      <c r="G148" s="70" t="n">
        <f aca="false">IF(G111="YES", ((A41*H111)*0.1)*(G133), 0)</f>
        <v>1.2672</v>
      </c>
      <c r="H148" s="37" t="n">
        <f aca="false">G108-100</f>
        <v>139.988</v>
      </c>
      <c r="I148" s="37"/>
      <c r="J148" s="37" t="n">
        <f aca="false">(H145+J145+G148+H148)-H151</f>
        <v>1462.4427</v>
      </c>
      <c r="K148" s="177"/>
      <c r="L148" s="19"/>
      <c r="M148" s="70" t="n">
        <f aca="false">IF(M111="YES", ((A41*N111)*0.1)*(M133), 0)</f>
        <v>1.2672</v>
      </c>
      <c r="N148" s="37" t="n">
        <f aca="false">M108-100</f>
        <v>99.99</v>
      </c>
      <c r="O148" s="37"/>
      <c r="P148" s="37" t="n">
        <f aca="false">(N145+P145+M148+N148)-N151</f>
        <v>1422.4447</v>
      </c>
      <c r="Q148" s="177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8.75" hidden="false" customHeight="true" outlineLevel="0" collapsed="false">
      <c r="A149" s="70" t="n">
        <v>0</v>
      </c>
      <c r="B149" s="201" t="n">
        <f aca="false">E124</f>
        <v>199.99</v>
      </c>
      <c r="C149" s="292"/>
      <c r="D149" s="152" t="n">
        <f aca="false">B108</f>
        <v>400</v>
      </c>
      <c r="E149" s="293"/>
      <c r="F149" s="19"/>
      <c r="G149" s="209"/>
      <c r="H149" s="207"/>
      <c r="I149" s="207"/>
      <c r="J149" s="207"/>
      <c r="K149" s="210"/>
      <c r="L149" s="19"/>
      <c r="M149" s="209"/>
      <c r="N149" s="207"/>
      <c r="O149" s="207"/>
      <c r="P149" s="207"/>
      <c r="Q149" s="210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8.75" hidden="false" customHeight="true" outlineLevel="0" collapsed="false">
      <c r="A150" s="70"/>
      <c r="B150" s="201"/>
      <c r="C150" s="292"/>
      <c r="D150" s="201"/>
      <c r="E150" s="293"/>
      <c r="F150" s="19"/>
      <c r="G150" s="209" t="s">
        <v>296</v>
      </c>
      <c r="H150" s="207" t="s">
        <v>297</v>
      </c>
      <c r="I150" s="207"/>
      <c r="J150" s="207"/>
      <c r="K150" s="210"/>
      <c r="L150" s="19"/>
      <c r="M150" s="209" t="s">
        <v>296</v>
      </c>
      <c r="N150" s="207" t="s">
        <v>297</v>
      </c>
      <c r="O150" s="207"/>
      <c r="P150" s="207"/>
      <c r="Q150" s="210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8.75" hidden="false" customHeight="true" outlineLevel="0" collapsed="false">
      <c r="A151" s="318" t="s">
        <v>298</v>
      </c>
      <c r="B151" s="319"/>
      <c r="C151" s="320"/>
      <c r="D151" s="319"/>
      <c r="E151" s="321"/>
      <c r="F151" s="19"/>
      <c r="G151" s="70" t="n">
        <f aca="false">IF((1200-H108) &lt;= 0, 0, (1200-H108))</f>
        <v>0</v>
      </c>
      <c r="H151" s="37" t="n">
        <f aca="false">(H145+J145+G148+H148)*(G151/H70)</f>
        <v>0</v>
      </c>
      <c r="I151" s="207"/>
      <c r="J151" s="207"/>
      <c r="K151" s="210"/>
      <c r="L151" s="19"/>
      <c r="M151" s="70" t="n">
        <f aca="false">IF((1200-N108) &lt;= 0, 0, (1200-N108))</f>
        <v>0</v>
      </c>
      <c r="N151" s="37" t="n">
        <f aca="false">(N145+P145+M148+N148)*(M151/N70)</f>
        <v>0</v>
      </c>
      <c r="O151" s="207"/>
      <c r="P151" s="207"/>
      <c r="Q151" s="210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8.75" hidden="false" customHeight="true" outlineLevel="0" collapsed="false">
      <c r="A152" s="316"/>
      <c r="B152" s="317"/>
      <c r="C152" s="292"/>
      <c r="D152" s="317"/>
      <c r="E152" s="293"/>
      <c r="F152" s="19"/>
      <c r="G152" s="209"/>
      <c r="H152" s="207"/>
      <c r="I152" s="207"/>
      <c r="J152" s="207"/>
      <c r="K152" s="210"/>
      <c r="L152" s="19"/>
      <c r="M152" s="70"/>
      <c r="N152" s="37"/>
      <c r="O152" s="207"/>
      <c r="P152" s="207"/>
      <c r="Q152" s="210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8.75" hidden="false" customHeight="true" outlineLevel="0" collapsed="false">
      <c r="A153" s="291" t="s">
        <v>299</v>
      </c>
      <c r="B153" s="292" t="s">
        <v>300</v>
      </c>
      <c r="C153" s="292"/>
      <c r="D153" s="292" t="s">
        <v>301</v>
      </c>
      <c r="E153" s="293"/>
      <c r="F153" s="19"/>
      <c r="G153" s="209"/>
      <c r="H153" s="207"/>
      <c r="I153" s="207"/>
      <c r="J153" s="207"/>
      <c r="K153" s="210"/>
      <c r="L153" s="19"/>
      <c r="M153" s="78" t="s">
        <v>302</v>
      </c>
      <c r="N153" s="38" t="s">
        <v>303</v>
      </c>
      <c r="O153" s="207"/>
      <c r="P153" s="207"/>
      <c r="Q153" s="210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8.75" hidden="false" customHeight="true" outlineLevel="0" collapsed="false">
      <c r="A154" s="70" t="n">
        <f aca="false">B73</f>
        <v>578.85</v>
      </c>
      <c r="B154" s="201" t="n">
        <f aca="false">B108</f>
        <v>400</v>
      </c>
      <c r="C154" s="201"/>
      <c r="D154" s="201" t="n">
        <f aca="false">IF(A111="YES", (A41/100*B111)*B131, 0)*0.1</f>
        <v>1.9008</v>
      </c>
      <c r="E154" s="177"/>
      <c r="F154" s="19"/>
      <c r="G154" s="243" t="s">
        <v>304</v>
      </c>
      <c r="H154" s="207"/>
      <c r="I154" s="207"/>
      <c r="J154" s="244"/>
      <c r="K154" s="245"/>
      <c r="L154" s="19"/>
      <c r="M154" s="322" t="n">
        <f aca="false">H40</f>
        <v>0</v>
      </c>
      <c r="N154" s="323" t="n">
        <v>0.99</v>
      </c>
      <c r="O154" s="323"/>
      <c r="P154" s="207"/>
      <c r="Q154" s="210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8.75" hidden="false" customHeight="true" outlineLevel="0" collapsed="false">
      <c r="A155" s="291"/>
      <c r="B155" s="292"/>
      <c r="C155" s="292"/>
      <c r="D155" s="292"/>
      <c r="E155" s="293"/>
      <c r="F155" s="19"/>
      <c r="G155" s="209"/>
      <c r="H155" s="246"/>
      <c r="I155" s="246"/>
      <c r="J155" s="207"/>
      <c r="K155" s="210"/>
      <c r="L155" s="19"/>
      <c r="M155" s="209"/>
      <c r="N155" s="207"/>
      <c r="O155" s="207"/>
      <c r="P155" s="207"/>
      <c r="Q155" s="210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8.75" hidden="false" customHeight="true" outlineLevel="0" collapsed="false">
      <c r="A156" s="291" t="s">
        <v>305</v>
      </c>
      <c r="B156" s="292" t="s">
        <v>297</v>
      </c>
      <c r="C156" s="292"/>
      <c r="D156" s="292" t="s">
        <v>294</v>
      </c>
      <c r="E156" s="293"/>
      <c r="F156" s="19"/>
      <c r="G156" s="248" t="s">
        <v>28</v>
      </c>
      <c r="H156" s="249" t="s">
        <v>33</v>
      </c>
      <c r="I156" s="249"/>
      <c r="J156" s="207"/>
      <c r="K156" s="210"/>
      <c r="L156" s="19"/>
      <c r="M156" s="209"/>
      <c r="N156" s="207"/>
      <c r="O156" s="207"/>
      <c r="P156" s="207"/>
      <c r="Q156" s="210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8.75" hidden="false" customHeight="true" outlineLevel="0" collapsed="false">
      <c r="A157" s="70" t="n">
        <f aca="false">E124-100</f>
        <v>99.99</v>
      </c>
      <c r="B157" s="201" t="n">
        <f aca="false">(A154+B154+D154+A157)*(A149/B70)</f>
        <v>0</v>
      </c>
      <c r="C157" s="201"/>
      <c r="D157" s="201" t="n">
        <f aca="false">(A154+B154+D154+A157)-B157</f>
        <v>1080.7408</v>
      </c>
      <c r="E157" s="177"/>
      <c r="F157" s="19"/>
      <c r="G157" s="248"/>
      <c r="H157" s="250" t="n">
        <f aca="false">B57</f>
        <v>5000</v>
      </c>
      <c r="I157" s="250"/>
      <c r="J157" s="207"/>
      <c r="K157" s="210"/>
      <c r="L157" s="19"/>
      <c r="M157" s="243" t="s">
        <v>304</v>
      </c>
      <c r="N157" s="207"/>
      <c r="O157" s="207"/>
      <c r="P157" s="244"/>
      <c r="Q157" s="245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8.75" hidden="false" customHeight="true" outlineLevel="0" collapsed="false">
      <c r="A158" s="291"/>
      <c r="B158" s="292"/>
      <c r="C158" s="292"/>
      <c r="D158" s="292"/>
      <c r="E158" s="293"/>
      <c r="F158" s="19"/>
      <c r="G158" s="251" t="n">
        <f aca="false">A58</f>
        <v>12</v>
      </c>
      <c r="H158" s="92" t="e">
        <f aca="false">H97</f>
        <v>#DIV/0!</v>
      </c>
      <c r="I158" s="92"/>
      <c r="J158" s="207"/>
      <c r="K158" s="210"/>
      <c r="L158" s="19"/>
      <c r="M158" s="209"/>
      <c r="N158" s="246"/>
      <c r="O158" s="246"/>
      <c r="P158" s="207"/>
      <c r="Q158" s="210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8.75" hidden="false" customHeight="true" outlineLevel="0" collapsed="false">
      <c r="A159" s="291" t="s">
        <v>306</v>
      </c>
      <c r="B159" s="292"/>
      <c r="C159" s="292"/>
      <c r="D159" s="292"/>
      <c r="E159" s="293"/>
      <c r="F159" s="19"/>
      <c r="G159" s="209"/>
      <c r="H159" s="207"/>
      <c r="I159" s="207"/>
      <c r="J159" s="207"/>
      <c r="K159" s="210"/>
      <c r="L159" s="19"/>
      <c r="M159" s="248" t="s">
        <v>28</v>
      </c>
      <c r="N159" s="249" t="s">
        <v>33</v>
      </c>
      <c r="O159" s="249"/>
      <c r="P159" s="207"/>
      <c r="Q159" s="210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8.75" hidden="false" customHeight="true" outlineLevel="0" collapsed="false">
      <c r="A160" s="70" t="n">
        <f aca="false">D108</f>
        <v>200</v>
      </c>
      <c r="B160" s="201"/>
      <c r="C160" s="292"/>
      <c r="D160" s="292"/>
      <c r="E160" s="293"/>
      <c r="F160" s="19"/>
      <c r="G160" s="209"/>
      <c r="H160" s="207"/>
      <c r="I160" s="207"/>
      <c r="J160" s="207"/>
      <c r="K160" s="210"/>
      <c r="L160" s="19"/>
      <c r="M160" s="248"/>
      <c r="N160" s="250" t="n">
        <f aca="false">B57</f>
        <v>5000</v>
      </c>
      <c r="O160" s="250"/>
      <c r="P160" s="207"/>
      <c r="Q160" s="210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8.75" hidden="false" customHeight="true" outlineLevel="0" collapsed="false">
      <c r="A161" s="291"/>
      <c r="B161" s="292"/>
      <c r="C161" s="292"/>
      <c r="D161" s="292"/>
      <c r="E161" s="293"/>
      <c r="F161" s="19"/>
      <c r="G161" s="209"/>
      <c r="H161" s="207"/>
      <c r="I161" s="207"/>
      <c r="J161" s="207"/>
      <c r="K161" s="210"/>
      <c r="L161" s="19"/>
      <c r="M161" s="251" t="n">
        <f aca="false">A58</f>
        <v>12</v>
      </c>
      <c r="N161" s="92" t="e">
        <f aca="false">N97</f>
        <v>#DIV/0!</v>
      </c>
      <c r="O161" s="92"/>
      <c r="P161" s="207"/>
      <c r="Q161" s="210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8.75" hidden="false" customHeight="true" outlineLevel="0" collapsed="false">
      <c r="A162" s="291"/>
      <c r="B162" s="292"/>
      <c r="C162" s="292"/>
      <c r="D162" s="292"/>
      <c r="E162" s="293"/>
      <c r="F162" s="19"/>
      <c r="G162" s="209"/>
      <c r="H162" s="207"/>
      <c r="I162" s="207"/>
      <c r="J162" s="207"/>
      <c r="K162" s="210"/>
      <c r="L162" s="19"/>
      <c r="M162" s="209"/>
      <c r="N162" s="207"/>
      <c r="O162" s="207"/>
      <c r="P162" s="207"/>
      <c r="Q162" s="210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8.75" hidden="false" customHeight="true" outlineLevel="0" collapsed="false">
      <c r="A163" s="324" t="s">
        <v>304</v>
      </c>
      <c r="B163" s="292"/>
      <c r="C163" s="292"/>
      <c r="D163" s="325"/>
      <c r="E163" s="326"/>
      <c r="F163" s="19"/>
      <c r="G163" s="252"/>
      <c r="H163" s="253"/>
      <c r="I163" s="253"/>
      <c r="J163" s="253"/>
      <c r="K163" s="254"/>
      <c r="L163" s="19"/>
      <c r="M163" s="209"/>
      <c r="N163" s="207"/>
      <c r="O163" s="207"/>
      <c r="P163" s="207"/>
      <c r="Q163" s="210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8.75" hidden="false" customHeight="true" outlineLevel="0" collapsed="false">
      <c r="A164" s="291"/>
      <c r="B164" s="327"/>
      <c r="C164" s="327"/>
      <c r="D164" s="292"/>
      <c r="E164" s="293"/>
      <c r="F164" s="19"/>
      <c r="G164" s="19"/>
      <c r="H164" s="19"/>
      <c r="I164" s="19"/>
      <c r="J164" s="19"/>
      <c r="K164" s="19"/>
      <c r="L164" s="19"/>
      <c r="M164" s="209"/>
      <c r="N164" s="207"/>
      <c r="O164" s="207"/>
      <c r="P164" s="207"/>
      <c r="Q164" s="210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8.75" hidden="false" customHeight="true" outlineLevel="0" collapsed="false">
      <c r="A165" s="248" t="s">
        <v>28</v>
      </c>
      <c r="B165" s="249" t="s">
        <v>33</v>
      </c>
      <c r="C165" s="249"/>
      <c r="D165" s="292"/>
      <c r="E165" s="293"/>
      <c r="F165" s="19"/>
      <c r="G165" s="19"/>
      <c r="H165" s="19"/>
      <c r="I165" s="19"/>
      <c r="J165" s="19"/>
      <c r="K165" s="19"/>
      <c r="L165" s="19"/>
      <c r="M165" s="209"/>
      <c r="N165" s="207"/>
      <c r="O165" s="207"/>
      <c r="P165" s="207"/>
      <c r="Q165" s="210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8.75" hidden="false" customHeight="true" outlineLevel="0" collapsed="false">
      <c r="A166" s="248"/>
      <c r="B166" s="250" t="n">
        <f aca="false">B57</f>
        <v>5000</v>
      </c>
      <c r="C166" s="250"/>
      <c r="D166" s="292"/>
      <c r="E166" s="293"/>
      <c r="F166" s="19"/>
      <c r="G166" s="19"/>
      <c r="H166" s="19"/>
      <c r="I166" s="19"/>
      <c r="J166" s="19"/>
      <c r="K166" s="19"/>
      <c r="L166" s="19"/>
      <c r="M166" s="209"/>
      <c r="N166" s="207"/>
      <c r="O166" s="207"/>
      <c r="P166" s="207"/>
      <c r="Q166" s="210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8.75" hidden="false" customHeight="true" outlineLevel="0" collapsed="false">
      <c r="A167" s="251" t="n">
        <f aca="false">A58</f>
        <v>12</v>
      </c>
      <c r="B167" s="92" t="n">
        <f aca="false">B97</f>
        <v>630.789698086146</v>
      </c>
      <c r="C167" s="92"/>
      <c r="D167" s="292"/>
      <c r="E167" s="293"/>
      <c r="F167" s="19"/>
      <c r="G167" s="19"/>
      <c r="H167" s="19"/>
      <c r="I167" s="19"/>
      <c r="J167" s="19"/>
      <c r="K167" s="19"/>
      <c r="L167" s="19"/>
      <c r="M167" s="209"/>
      <c r="N167" s="207"/>
      <c r="O167" s="207"/>
      <c r="P167" s="207"/>
      <c r="Q167" s="210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8.75" hidden="false" customHeight="true" outlineLevel="0" collapsed="false">
      <c r="A168" s="291"/>
      <c r="B168" s="292"/>
      <c r="C168" s="292"/>
      <c r="D168" s="292"/>
      <c r="E168" s="293"/>
      <c r="F168" s="19"/>
      <c r="G168" s="19"/>
      <c r="H168" s="19"/>
      <c r="I168" s="19"/>
      <c r="J168" s="19"/>
      <c r="K168" s="19"/>
      <c r="L168" s="19"/>
      <c r="M168" s="252"/>
      <c r="N168" s="253"/>
      <c r="O168" s="253"/>
      <c r="P168" s="253"/>
      <c r="Q168" s="254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8.75" hidden="false" customHeight="true" outlineLevel="0" collapsed="false">
      <c r="A169" s="291"/>
      <c r="B169" s="292"/>
      <c r="C169" s="292"/>
      <c r="D169" s="292"/>
      <c r="E169" s="293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8.75" hidden="false" customHeight="true" outlineLevel="0" collapsed="false">
      <c r="A170" s="291"/>
      <c r="B170" s="292"/>
      <c r="C170" s="292"/>
      <c r="D170" s="292"/>
      <c r="E170" s="293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8.75" hidden="false" customHeight="true" outlineLevel="0" collapsed="false">
      <c r="A171" s="328" t="s">
        <v>270</v>
      </c>
      <c r="B171" s="328"/>
      <c r="C171" s="328"/>
      <c r="D171" s="328"/>
      <c r="E171" s="328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8.75" hidden="false" customHeight="true" outlineLevel="0" collapsed="false">
      <c r="A172" s="291"/>
      <c r="B172" s="329"/>
      <c r="C172" s="329"/>
      <c r="D172" s="329"/>
      <c r="E172" s="293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8.75" hidden="false" customHeight="true" outlineLevel="0" collapsed="false">
      <c r="A173" s="294" t="s">
        <v>98</v>
      </c>
      <c r="B173" s="330" t="s">
        <v>174</v>
      </c>
      <c r="C173" s="331"/>
      <c r="D173" s="330" t="s">
        <v>33</v>
      </c>
      <c r="E173" s="297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8.75" hidden="false" customHeight="true" outlineLevel="0" collapsed="false">
      <c r="A174" s="298" t="s">
        <v>254</v>
      </c>
      <c r="B174" s="332" t="n">
        <f aca="false">A167</f>
        <v>12</v>
      </c>
      <c r="C174" s="333"/>
      <c r="D174" s="331" t="n">
        <f aca="false">B166</f>
        <v>5000</v>
      </c>
      <c r="E174" s="297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8.75" hidden="false" customHeight="true" outlineLevel="0" collapsed="false">
      <c r="A175" s="294"/>
      <c r="B175" s="330"/>
      <c r="C175" s="330"/>
      <c r="D175" s="330"/>
      <c r="E175" s="297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8.75" hidden="false" customHeight="true" outlineLevel="0" collapsed="false">
      <c r="A176" s="294" t="s">
        <v>92</v>
      </c>
      <c r="B176" s="330" t="s">
        <v>271</v>
      </c>
      <c r="C176" s="331"/>
      <c r="D176" s="330" t="s">
        <v>272</v>
      </c>
      <c r="E176" s="297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8.75" hidden="false" customHeight="true" outlineLevel="0" collapsed="false">
      <c r="A177" s="298" t="n">
        <f aca="false">B96</f>
        <v>623.925698086146</v>
      </c>
      <c r="B177" s="331" t="n">
        <f aca="false">IF(A111="YES", B95, 0)</f>
        <v>6.864</v>
      </c>
      <c r="C177" s="334"/>
      <c r="D177" s="331" t="n">
        <f aca="false">B91</f>
        <v>11390.6166666667</v>
      </c>
      <c r="E177" s="297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8.75" hidden="false" customHeight="true" outlineLevel="0" collapsed="false">
      <c r="A178" s="291"/>
      <c r="B178" s="329"/>
      <c r="C178" s="329"/>
      <c r="D178" s="329"/>
      <c r="E178" s="293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8.75" hidden="false" customHeight="true" outlineLevel="0" collapsed="false">
      <c r="A179" s="304" t="s">
        <v>23</v>
      </c>
      <c r="B179" s="335" t="s">
        <v>277</v>
      </c>
      <c r="C179" s="223"/>
      <c r="D179" s="335" t="s">
        <v>278</v>
      </c>
      <c r="E179" s="293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8.75" hidden="false" customHeight="true" outlineLevel="0" collapsed="false">
      <c r="A180" s="309" t="str">
        <f aca="false">B105</f>
        <v>Terminal pause with 9 down</v>
      </c>
      <c r="B180" s="37" t="n">
        <f aca="false">B96*B63</f>
        <v>5615.33128277531</v>
      </c>
      <c r="C180" s="329"/>
      <c r="D180" s="37" t="n">
        <f aca="false">IF(A111="YES", B95*B63, 0)</f>
        <v>61.776</v>
      </c>
      <c r="E180" s="293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8.75" hidden="false" customHeight="true" outlineLevel="0" collapsed="false">
      <c r="A181" s="291"/>
      <c r="B181" s="329"/>
      <c r="C181" s="329"/>
      <c r="D181" s="329"/>
      <c r="E181" s="293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8.75" hidden="false" customHeight="true" outlineLevel="0" collapsed="false">
      <c r="A182" s="123" t="s">
        <v>283</v>
      </c>
      <c r="B182" s="38" t="s">
        <v>284</v>
      </c>
      <c r="C182" s="336"/>
      <c r="D182" s="233" t="s">
        <v>177</v>
      </c>
      <c r="E182" s="293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8.75" hidden="false" customHeight="true" outlineLevel="0" collapsed="false">
      <c r="A183" s="70" t="n">
        <f aca="false">B97*B63</f>
        <v>5677.10728277531</v>
      </c>
      <c r="B183" s="37" t="n">
        <f aca="false">E120</f>
        <v>4000</v>
      </c>
      <c r="C183" s="329"/>
      <c r="D183" s="337" t="n">
        <f aca="false">B64</f>
        <v>3</v>
      </c>
      <c r="E183" s="293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8.75" hidden="false" customHeight="true" outlineLevel="0" collapsed="false">
      <c r="A184" s="70"/>
      <c r="B184" s="338"/>
      <c r="C184" s="329"/>
      <c r="D184" s="329"/>
      <c r="E184" s="293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8.75" hidden="false" customHeight="true" outlineLevel="0" collapsed="false">
      <c r="A185" s="78" t="s">
        <v>92</v>
      </c>
      <c r="B185" s="339" t="s">
        <v>271</v>
      </c>
      <c r="C185" s="329"/>
      <c r="D185" s="329" t="s">
        <v>272</v>
      </c>
      <c r="E185" s="293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8.75" hidden="false" customHeight="true" outlineLevel="0" collapsed="false">
      <c r="A186" s="70" t="n">
        <f aca="false">B96</f>
        <v>623.925698086146</v>
      </c>
      <c r="B186" s="37" t="n">
        <f aca="false">IF(A111="YES", B95, 0)</f>
        <v>6.864</v>
      </c>
      <c r="C186" s="329"/>
      <c r="D186" s="37" t="n">
        <f aca="false">B97</f>
        <v>630.789698086146</v>
      </c>
      <c r="E186" s="293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8.75" hidden="false" customHeight="true" outlineLevel="0" collapsed="false">
      <c r="A187" s="291"/>
      <c r="B187" s="329"/>
      <c r="C187" s="329"/>
      <c r="D187" s="329"/>
      <c r="E187" s="293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8.75" hidden="false" customHeight="true" outlineLevel="0" collapsed="false">
      <c r="A188" s="314" t="s">
        <v>180</v>
      </c>
      <c r="B188" s="340" t="s">
        <v>291</v>
      </c>
      <c r="C188" s="37"/>
      <c r="D188" s="340" t="s">
        <v>182</v>
      </c>
      <c r="E188" s="177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8.75" hidden="false" customHeight="true" outlineLevel="0" collapsed="false">
      <c r="A189" s="316" t="n">
        <f aca="false">(G18*0.000006)*1.2*100</f>
        <v>41.6772</v>
      </c>
      <c r="B189" s="341" t="n">
        <f aca="false">G18*0.000002 *1.2*100</f>
        <v>13.8924</v>
      </c>
      <c r="C189" s="329"/>
      <c r="D189" s="341" t="n">
        <f aca="false">A189+B189</f>
        <v>55.5696</v>
      </c>
      <c r="E189" s="293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8.75" hidden="false" customHeight="true" outlineLevel="0" collapsed="false">
      <c r="A190" s="316"/>
      <c r="B190" s="341"/>
      <c r="C190" s="329"/>
      <c r="D190" s="341"/>
      <c r="E190" s="293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8.75" hidden="false" customHeight="true" outlineLevel="0" collapsed="false">
      <c r="A191" s="314" t="s">
        <v>295</v>
      </c>
      <c r="B191" s="340" t="s">
        <v>152</v>
      </c>
      <c r="C191" s="37"/>
      <c r="D191" s="340" t="s">
        <v>246</v>
      </c>
      <c r="E191" s="293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8.75" hidden="false" customHeight="true" outlineLevel="0" collapsed="false">
      <c r="A192" s="70" t="n">
        <v>0</v>
      </c>
      <c r="B192" s="37" t="n">
        <f aca="false">E124</f>
        <v>199.99</v>
      </c>
      <c r="C192" s="329"/>
      <c r="D192" s="152" t="n">
        <f aca="false">B108</f>
        <v>400</v>
      </c>
      <c r="E192" s="293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8.75" hidden="false" customHeight="true" outlineLevel="0" collapsed="false">
      <c r="A193" s="70"/>
      <c r="B193" s="37"/>
      <c r="C193" s="329"/>
      <c r="D193" s="37"/>
      <c r="E193" s="293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8.75" hidden="false" customHeight="true" outlineLevel="0" collapsed="false">
      <c r="A194" s="318" t="s">
        <v>298</v>
      </c>
      <c r="B194" s="319"/>
      <c r="C194" s="320"/>
      <c r="D194" s="319"/>
      <c r="E194" s="321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8.75" hidden="false" customHeight="true" outlineLevel="0" collapsed="false">
      <c r="A195" s="316"/>
      <c r="B195" s="341"/>
      <c r="C195" s="329"/>
      <c r="D195" s="341"/>
      <c r="E195" s="293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8.75" hidden="false" customHeight="true" outlineLevel="0" collapsed="false">
      <c r="A196" s="291" t="s">
        <v>299</v>
      </c>
      <c r="B196" s="329" t="s">
        <v>300</v>
      </c>
      <c r="C196" s="329"/>
      <c r="D196" s="329" t="s">
        <v>301</v>
      </c>
      <c r="E196" s="293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8.75" hidden="false" customHeight="true" outlineLevel="0" collapsed="false">
      <c r="A197" s="70" t="n">
        <f aca="false">B73</f>
        <v>578.85</v>
      </c>
      <c r="B197" s="37" t="n">
        <f aca="false">B108</f>
        <v>400</v>
      </c>
      <c r="C197" s="37"/>
      <c r="D197" s="37" t="n">
        <f aca="false">IF(A111="YES", (A41/100*B111)*B131, 0)*0.1</f>
        <v>1.9008</v>
      </c>
      <c r="E197" s="177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8.75" hidden="false" customHeight="true" outlineLevel="0" collapsed="false">
      <c r="A198" s="291"/>
      <c r="B198" s="329"/>
      <c r="C198" s="329"/>
      <c r="D198" s="329"/>
      <c r="E198" s="293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8.75" hidden="false" customHeight="true" outlineLevel="0" collapsed="false">
      <c r="A199" s="291" t="s">
        <v>305</v>
      </c>
      <c r="B199" s="329" t="s">
        <v>297</v>
      </c>
      <c r="C199" s="329"/>
      <c r="D199" s="329" t="s">
        <v>294</v>
      </c>
      <c r="E199" s="293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8.75" hidden="false" customHeight="true" outlineLevel="0" collapsed="false">
      <c r="A200" s="70" t="n">
        <f aca="false">E124-100</f>
        <v>99.99</v>
      </c>
      <c r="B200" s="37" t="n">
        <f aca="false">(A154+B154+D154+A157)*(A149/B70)</f>
        <v>0</v>
      </c>
      <c r="C200" s="37"/>
      <c r="D200" s="37" t="n">
        <f aca="false">(A154+B154+D154+A157)-B157</f>
        <v>1080.7408</v>
      </c>
      <c r="E200" s="177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8.75" hidden="false" customHeight="true" outlineLevel="0" collapsed="false">
      <c r="A201" s="291"/>
      <c r="B201" s="329"/>
      <c r="C201" s="329"/>
      <c r="D201" s="329"/>
      <c r="E201" s="293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8.75" hidden="false" customHeight="true" outlineLevel="0" collapsed="false">
      <c r="A202" s="291" t="s">
        <v>306</v>
      </c>
      <c r="B202" s="329"/>
      <c r="C202" s="329"/>
      <c r="D202" s="329"/>
      <c r="E202" s="293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8.75" hidden="false" customHeight="true" outlineLevel="0" collapsed="false">
      <c r="A203" s="70" t="n">
        <f aca="false">D108</f>
        <v>200</v>
      </c>
      <c r="B203" s="37"/>
      <c r="C203" s="329"/>
      <c r="D203" s="329"/>
      <c r="E203" s="293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8.75" hidden="false" customHeight="true" outlineLevel="0" collapsed="false">
      <c r="A204" s="342"/>
      <c r="B204" s="343"/>
      <c r="C204" s="343"/>
      <c r="D204" s="343"/>
      <c r="E204" s="344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8.75" hidden="false" customHeight="true" outlineLevel="0" collapsed="false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8.75" hidden="false" customHeight="true" outlineLevel="0" collapsed="false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8.75" hidden="false" customHeight="true" outlineLevel="0" collapsed="false">
      <c r="A207" s="328" t="s">
        <v>185</v>
      </c>
      <c r="B207" s="328"/>
      <c r="C207" s="328"/>
      <c r="D207" s="328"/>
      <c r="E207" s="328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8.75" hidden="false" customHeight="true" outlineLevel="0" collapsed="false">
      <c r="A208" s="291"/>
      <c r="B208" s="292"/>
      <c r="C208" s="292"/>
      <c r="D208" s="292"/>
      <c r="E208" s="293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8.75" hidden="false" customHeight="true" outlineLevel="0" collapsed="false">
      <c r="A209" s="294" t="s">
        <v>186</v>
      </c>
      <c r="B209" s="345" t="n">
        <f aca="false">H35</f>
        <v>0</v>
      </c>
      <c r="C209" s="296" t="s">
        <v>188</v>
      </c>
      <c r="D209" s="346" t="n">
        <f aca="false">D70</f>
        <v>4051.95</v>
      </c>
      <c r="E209" s="297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8.75" hidden="false" customHeight="true" outlineLevel="0" collapsed="false">
      <c r="A210" s="298"/>
      <c r="B210" s="299"/>
      <c r="C210" s="300"/>
      <c r="D210" s="299"/>
      <c r="E210" s="297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8.75" hidden="false" customHeight="true" outlineLevel="0" collapsed="false">
      <c r="A211" s="294" t="s">
        <v>189</v>
      </c>
      <c r="B211" s="296" t="n">
        <f aca="false">B219</f>
        <v>578.85</v>
      </c>
      <c r="C211" s="295" t="s">
        <v>190</v>
      </c>
      <c r="D211" s="346" t="n">
        <f aca="false">B225+E221+B221+B223</f>
        <v>358.998</v>
      </c>
      <c r="E211" s="297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8.75" hidden="false" customHeight="true" outlineLevel="0" collapsed="false">
      <c r="A212" s="294"/>
      <c r="B212" s="347"/>
      <c r="C212" s="296"/>
      <c r="D212" s="295"/>
      <c r="E212" s="297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8.75" hidden="false" customHeight="true" outlineLevel="0" collapsed="false">
      <c r="A213" s="298" t="s">
        <v>191</v>
      </c>
      <c r="B213" s="296" t="n">
        <f aca="false">E223</f>
        <v>3832.098</v>
      </c>
      <c r="C213" s="300"/>
      <c r="D213" s="296"/>
      <c r="E213" s="297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8.75" hidden="false" customHeight="true" outlineLevel="0" collapsed="false">
      <c r="A214" s="291"/>
      <c r="B214" s="313"/>
      <c r="C214" s="292"/>
      <c r="D214" s="292"/>
      <c r="E214" s="293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8.75" hidden="false" customHeight="true" outlineLevel="0" collapsed="false">
      <c r="A215" s="222" t="s">
        <v>186</v>
      </c>
      <c r="B215" s="348" t="n">
        <v>0.065</v>
      </c>
      <c r="C215" s="306"/>
      <c r="D215" s="305"/>
      <c r="E215" s="293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8.75" hidden="false" customHeight="true" outlineLevel="0" collapsed="false">
      <c r="A216" s="349"/>
      <c r="B216" s="200"/>
      <c r="C216" s="292"/>
      <c r="D216" s="201"/>
      <c r="E216" s="293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8.75" hidden="false" customHeight="true" outlineLevel="0" collapsed="false">
      <c r="A217" s="350" t="s">
        <v>188</v>
      </c>
      <c r="B217" s="60" t="n">
        <f aca="false">D70</f>
        <v>4051.95</v>
      </c>
      <c r="C217" s="351" t="s">
        <v>194</v>
      </c>
      <c r="D217" s="292"/>
      <c r="E217" s="352" t="n">
        <f aca="false">B72</f>
        <v>0.01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8.75" hidden="false" customHeight="true" outlineLevel="0" collapsed="false">
      <c r="A218" s="69"/>
      <c r="B218" s="200"/>
      <c r="C218" s="310"/>
      <c r="D218" s="240"/>
      <c r="E218" s="293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8.75" hidden="false" customHeight="true" outlineLevel="0" collapsed="false">
      <c r="A219" s="70" t="s">
        <v>194</v>
      </c>
      <c r="B219" s="60" t="n">
        <f aca="false">B73</f>
        <v>578.85</v>
      </c>
      <c r="C219" s="310" t="s">
        <v>307</v>
      </c>
      <c r="D219" s="353"/>
      <c r="E219" s="103" t="n">
        <v>0.001</v>
      </c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8.75" hidden="false" customHeight="true" outlineLevel="0" collapsed="false">
      <c r="A220" s="70"/>
      <c r="B220" s="313"/>
      <c r="C220" s="310"/>
      <c r="D220" s="292"/>
      <c r="E220" s="293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8.75" hidden="false" customHeight="true" outlineLevel="0" collapsed="false">
      <c r="A221" s="70" t="s">
        <v>307</v>
      </c>
      <c r="B221" s="233" t="n">
        <f aca="false">B197*E219*100</f>
        <v>40</v>
      </c>
      <c r="C221" s="310" t="s">
        <v>196</v>
      </c>
      <c r="D221" s="292"/>
      <c r="E221" s="20" t="n">
        <f aca="false">A200</f>
        <v>99.99</v>
      </c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18.75" hidden="false" customHeight="true" outlineLevel="0" collapsed="false">
      <c r="A222" s="70"/>
      <c r="B222" s="200"/>
      <c r="C222" s="310"/>
      <c r="D222" s="201"/>
      <c r="E222" s="293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18.75" hidden="false" customHeight="true" outlineLevel="0" collapsed="false">
      <c r="A223" s="350" t="s">
        <v>308</v>
      </c>
      <c r="B223" s="233" t="n">
        <f aca="false">B84-(B84*(E219*100))</f>
        <v>200</v>
      </c>
      <c r="C223" s="310" t="s">
        <v>191</v>
      </c>
      <c r="D223" s="292"/>
      <c r="E223" s="20" t="n">
        <f aca="false">(B217-B211+D211)</f>
        <v>3832.098</v>
      </c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18.75" hidden="false" customHeight="true" outlineLevel="0" collapsed="false">
      <c r="A224" s="354"/>
      <c r="B224" s="315"/>
      <c r="C224" s="201"/>
      <c r="D224" s="315"/>
      <c r="E224" s="163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18.75" hidden="false" customHeight="true" outlineLevel="0" collapsed="false">
      <c r="A225" s="354" t="s">
        <v>309</v>
      </c>
      <c r="B225" s="315" t="n">
        <f aca="false">D197/0.1</f>
        <v>19.008</v>
      </c>
      <c r="C225" s="201"/>
      <c r="D225" s="315"/>
      <c r="E225" s="163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18.75" hidden="false" customHeight="true" outlineLevel="0" collapsed="false">
      <c r="A226" s="354"/>
      <c r="B226" s="315"/>
      <c r="C226" s="201"/>
      <c r="D226" s="315"/>
      <c r="E226" s="163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customFormat="false" ht="18.75" hidden="false" customHeight="true" outlineLevel="0" collapsed="false">
      <c r="A227" s="318" t="s">
        <v>310</v>
      </c>
      <c r="B227" s="355"/>
      <c r="C227" s="320"/>
      <c r="D227" s="319"/>
      <c r="E227" s="321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18.75" hidden="false" customHeight="true" outlineLevel="0" collapsed="false">
      <c r="A228" s="316"/>
      <c r="B228" s="356"/>
      <c r="C228" s="292"/>
      <c r="D228" s="317"/>
      <c r="E228" s="293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18.75" hidden="false" customHeight="true" outlineLevel="0" collapsed="false">
      <c r="A229" s="316" t="s">
        <v>198</v>
      </c>
      <c r="B229" s="60" t="n">
        <f aca="false">B77</f>
        <v>200</v>
      </c>
      <c r="C229" s="310" t="s">
        <v>199</v>
      </c>
      <c r="D229" s="317"/>
      <c r="E229" s="150" t="n">
        <f aca="false">B78</f>
        <v>5</v>
      </c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18.75" hidden="false" customHeight="true" outlineLevel="0" collapsed="false">
      <c r="A230" s="316"/>
      <c r="B230" s="356"/>
      <c r="C230" s="310" t="s">
        <v>200</v>
      </c>
      <c r="D230" s="317"/>
      <c r="E230" s="20" t="n">
        <f aca="false">D79</f>
        <v>260</v>
      </c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18.75" hidden="false" customHeight="true" outlineLevel="0" collapsed="false">
      <c r="A231" s="316" t="s">
        <v>201</v>
      </c>
      <c r="B231" s="357" t="n">
        <f aca="false">B74</f>
        <v>0.0075</v>
      </c>
      <c r="C231" s="310" t="s">
        <v>202</v>
      </c>
      <c r="D231" s="317"/>
      <c r="E231" s="352" t="n">
        <f aca="false">B75</f>
        <v>0.12</v>
      </c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8.75" hidden="false" customHeight="true" outlineLevel="0" collapsed="false">
      <c r="A232" s="316"/>
      <c r="B232" s="356"/>
      <c r="C232" s="310" t="s">
        <v>203</v>
      </c>
      <c r="D232" s="317"/>
      <c r="E232" s="20" t="n">
        <f aca="false">B92</f>
        <v>96.4917103670835</v>
      </c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18.75" hidden="false" customHeight="true" outlineLevel="0" collapsed="false">
      <c r="A233" s="316" t="s">
        <v>204</v>
      </c>
      <c r="B233" s="60" t="n">
        <f aca="false">B85</f>
        <v>200</v>
      </c>
      <c r="C233" s="358" t="s">
        <v>311</v>
      </c>
      <c r="D233" s="359"/>
      <c r="E233" s="150" t="n">
        <f aca="false">B80</f>
        <v>0</v>
      </c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18.75" hidden="false" customHeight="true" outlineLevel="0" collapsed="false">
      <c r="A234" s="350"/>
      <c r="B234" s="313"/>
      <c r="C234" s="358"/>
      <c r="D234" s="360"/>
      <c r="E234" s="361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18.75" hidden="false" customHeight="true" outlineLevel="0" collapsed="false">
      <c r="A235" s="70" t="s">
        <v>205</v>
      </c>
      <c r="B235" s="60" t="n">
        <f aca="false">B86</f>
        <v>200</v>
      </c>
      <c r="C235" s="362" t="s">
        <v>312</v>
      </c>
      <c r="D235" s="362"/>
      <c r="E235" s="150" t="n">
        <f aca="false">B81</f>
        <v>0</v>
      </c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18.75" hidden="false" customHeight="true" outlineLevel="0" collapsed="false">
      <c r="A236" s="291"/>
      <c r="B236" s="292"/>
      <c r="C236" s="292"/>
      <c r="D236" s="292"/>
      <c r="E236" s="293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18.75" hidden="false" customHeight="true" outlineLevel="0" collapsed="false">
      <c r="A237" s="291"/>
      <c r="B237" s="292"/>
      <c r="C237" s="292"/>
      <c r="D237" s="292"/>
      <c r="E237" s="293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18.75" hidden="false" customHeight="true" outlineLevel="0" collapsed="false">
      <c r="A238" s="70"/>
      <c r="B238" s="201"/>
      <c r="C238" s="201"/>
      <c r="D238" s="201"/>
      <c r="E238" s="177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18.75" hidden="false" customHeight="true" outlineLevel="0" collapsed="false">
      <c r="A239" s="291"/>
      <c r="B239" s="292"/>
      <c r="C239" s="292"/>
      <c r="D239" s="292"/>
      <c r="E239" s="293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18.75" hidden="false" customHeight="true" outlineLevel="0" collapsed="false">
      <c r="A240" s="291"/>
      <c r="B240" s="292"/>
      <c r="C240" s="292"/>
      <c r="D240" s="292"/>
      <c r="E240" s="293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18.75" hidden="false" customHeight="true" outlineLevel="0" collapsed="false">
      <c r="A241" s="70"/>
      <c r="B241" s="201"/>
      <c r="C241" s="292"/>
      <c r="D241" s="292"/>
      <c r="E241" s="293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18.75" hidden="false" customHeight="true" outlineLevel="0" collapsed="false">
      <c r="A242" s="342"/>
      <c r="B242" s="343"/>
      <c r="C242" s="343"/>
      <c r="D242" s="343"/>
      <c r="E242" s="344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18.75" hidden="false" customHeight="tru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18.75" hidden="false" customHeight="tru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18.75" hidden="false" customHeight="tru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18.75" hidden="false" customHeight="tru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18.75" hidden="false" customHeight="tru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18.75" hidden="false" customHeight="tru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18.75" hidden="false" customHeight="tru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18.75" hidden="false" customHeight="tru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18.75" hidden="false" customHeight="tru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18.75" hidden="false" customHeight="tru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18.75" hidden="false" customHeight="tru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18.75" hidden="false" customHeight="tru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18.75" hidden="false" customHeight="tru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18.75" hidden="false" customHeight="tru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18.75" hidden="false" customHeight="tru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18.75" hidden="false" customHeight="tru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18.75" hidden="false" customHeight="tru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18.75" hidden="false" customHeight="tru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18.75" hidden="false" customHeight="tru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18.75" hidden="false" customHeight="tru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18.75" hidden="false" customHeight="tru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18.75" hidden="false" customHeight="tru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18.75" hidden="false" customHeight="tru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18.75" hidden="false" customHeight="tru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18.75" hidden="false" customHeight="tru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18.75" hidden="false" customHeight="tru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18.75" hidden="false" customHeight="tru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18.75" hidden="false" customHeight="tru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18.75" hidden="false" customHeight="tru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18.75" hidden="false" customHeight="tru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18.75" hidden="false" customHeight="tru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18.75" hidden="false" customHeight="tru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18.75" hidden="false" customHeight="tru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18.75" hidden="false" customHeight="tru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18.75" hidden="false" customHeight="tru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18.75" hidden="false" customHeight="tru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18.75" hidden="false" customHeight="tru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18.75" hidden="false" customHeight="tru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18.75" hidden="false" customHeight="tru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18.75" hidden="false" customHeight="tru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18.75" hidden="false" customHeight="tru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18.75" hidden="false" customHeight="tru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18.75" hidden="false" customHeight="tru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18.75" hidden="false" customHeight="tru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18.75" hidden="false" customHeight="tru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18.75" hidden="false" customHeight="tru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18.75" hidden="false" customHeight="tru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18.75" hidden="false" customHeight="tru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18.75" hidden="false" customHeight="tru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18.75" hidden="false" customHeight="tru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18.75" hidden="false" customHeight="tru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18.75" hidden="false" customHeight="tru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18.75" hidden="false" customHeight="tru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18.75" hidden="false" customHeight="tru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18.75" hidden="false" customHeight="tru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18.75" hidden="false" customHeight="tru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18.75" hidden="false" customHeight="tru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18.75" hidden="false" customHeight="tru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18.75" hidden="false" customHeight="tru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18.75" hidden="false" customHeight="tru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18.75" hidden="false" customHeight="tru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18.75" hidden="false" customHeight="tru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18.75" hidden="false" customHeight="tru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18.75" hidden="false" customHeight="tru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18.75" hidden="false" customHeight="tru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18.75" hidden="false" customHeight="tru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18.75" hidden="false" customHeight="tru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18.75" hidden="false" customHeight="tru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18.75" hidden="false" customHeight="tru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18.75" hidden="false" customHeight="tru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18.75" hidden="false" customHeight="tru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18.75" hidden="false" customHeight="tru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18.75" hidden="false" customHeight="tru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18.75" hidden="false" customHeight="tru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18.75" hidden="false" customHeight="tru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18.75" hidden="false" customHeight="tru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18.75" hidden="false" customHeight="tru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18.75" hidden="false" customHeight="tru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18.75" hidden="false" customHeight="tru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18.75" hidden="false" customHeight="tru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18.75" hidden="false" customHeight="tru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18.75" hidden="false" customHeight="tru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18.75" hidden="false" customHeight="tru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18.75" hidden="false" customHeight="tru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18.75" hidden="false" customHeight="tru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18.75" hidden="false" customHeight="tru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18.75" hidden="false" customHeight="tru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18.75" hidden="false" customHeight="tru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18.75" hidden="false" customHeight="tru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18.75" hidden="false" customHeight="tru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18.75" hidden="false" customHeight="tru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18.75" hidden="false" customHeight="tru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18.75" hidden="false" customHeight="tru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18.75" hidden="false" customHeight="tru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18.75" hidden="false" customHeight="tru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18.75" hidden="false" customHeight="tru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18.75" hidden="false" customHeight="tru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18.75" hidden="false" customHeight="tru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18.75" hidden="false" customHeight="tru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18.75" hidden="false" customHeight="tru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18.75" hidden="false" customHeight="tru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18.75" hidden="false" customHeight="tru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18.75" hidden="false" customHeight="tru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18.75" hidden="false" customHeight="tru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18.75" hidden="false" customHeight="tru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18.75" hidden="false" customHeight="tru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18.75" hidden="false" customHeight="tru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18.75" hidden="false" customHeight="tru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18.75" hidden="false" customHeight="tru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18.75" hidden="false" customHeight="tru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18.75" hidden="false" customHeight="true" outlineLevel="0" collapsed="false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customFormat="false" ht="18.75" hidden="false" customHeight="true" outlineLevel="0" collapsed="false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customFormat="false" ht="18.75" hidden="false" customHeight="tru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customFormat="false" ht="18.75" hidden="false" customHeight="true" outlineLevel="0" collapsed="false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customFormat="false" ht="18.75" hidden="false" customHeight="true" outlineLevel="0" collapsed="false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customFormat="false" ht="18.75" hidden="false" customHeight="true" outlineLevel="0" collapsed="false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customFormat="false" ht="18.75" hidden="false" customHeight="true" outlineLevel="0" collapsed="false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customFormat="false" ht="18.75" hidden="false" customHeight="true" outlineLevel="0" collapsed="false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customFormat="false" ht="18.75" hidden="false" customHeight="true" outlineLevel="0" collapsed="false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  <dataValidation allowBlank="true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48576"/>
  <sheetViews>
    <sheetView showFormulas="false" showGridLines="true" showRowColHeaders="true" showZeros="true" rightToLeft="false" tabSelected="false" showOutlineSymbols="true" defaultGridColor="true" view="normal" topLeftCell="A194" colorId="64" zoomScale="75" zoomScaleNormal="75" zoomScalePageLayoutView="100" workbookViewId="0">
      <selection pane="topLeft" activeCell="E234" activeCellId="0" sqref="E234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4"/>
      <c r="H1" s="4"/>
      <c r="I1" s="2"/>
      <c r="J1" s="2"/>
    </row>
    <row r="2" customFormat="false" ht="19.7" hidden="false" customHeight="false" outlineLevel="0" collapsed="false">
      <c r="A2" s="5" t="s">
        <v>1</v>
      </c>
      <c r="B2" s="6" t="n">
        <f aca="false">B9+B11</f>
        <v>23958.33</v>
      </c>
      <c r="C2" s="5" t="s">
        <v>2</v>
      </c>
      <c r="D2" s="6" t="n">
        <f aca="false">C9</f>
        <v>4791.666</v>
      </c>
      <c r="E2" s="5" t="s">
        <v>3</v>
      </c>
      <c r="F2" s="7" t="n">
        <f aca="false">B13</f>
        <v>0</v>
      </c>
      <c r="G2" s="8"/>
      <c r="H2" s="9"/>
      <c r="I2" s="2"/>
      <c r="J2" s="2"/>
    </row>
    <row r="3" customFormat="false" ht="17.35" hidden="false" customHeight="false" outlineLevel="0" collapsed="false">
      <c r="A3" s="10"/>
      <c r="B3" s="11"/>
      <c r="C3" s="11"/>
      <c r="D3" s="11"/>
      <c r="E3" s="11"/>
      <c r="F3" s="12" t="s">
        <v>4</v>
      </c>
      <c r="G3" s="13"/>
      <c r="H3" s="14"/>
      <c r="I3" s="2"/>
      <c r="J3" s="2"/>
    </row>
    <row r="4" customFormat="false" ht="17.35" hidden="false" customHeight="false" outlineLevel="0" collapsed="false">
      <c r="A4" s="5" t="s">
        <v>5</v>
      </c>
      <c r="B4" s="6" t="n">
        <f aca="false">B15+C15</f>
        <v>28749.996</v>
      </c>
      <c r="C4" s="15"/>
      <c r="D4" s="15"/>
      <c r="E4" s="15"/>
      <c r="F4" s="16" t="s">
        <v>4</v>
      </c>
      <c r="G4" s="17"/>
      <c r="H4" s="18"/>
      <c r="I4" s="2"/>
      <c r="J4" s="2"/>
    </row>
    <row r="5" customFormat="false" ht="17.35" hidden="false" customHeight="false" outlineLevel="0" collapsed="false">
      <c r="A5" s="19"/>
      <c r="B5" s="19"/>
      <c r="C5" s="19"/>
      <c r="D5" s="19"/>
      <c r="E5" s="19"/>
      <c r="F5" s="19" t="s">
        <v>4</v>
      </c>
      <c r="G5" s="13"/>
      <c r="H5" s="20"/>
      <c r="I5" s="2"/>
      <c r="J5" s="2"/>
    </row>
    <row r="6" customFormat="false" ht="17.35" hidden="false" customHeight="false" outlineLevel="0" collapsed="false">
      <c r="A6" s="19"/>
      <c r="B6" s="19"/>
      <c r="C6" s="19"/>
      <c r="D6" s="19"/>
      <c r="E6" s="19"/>
      <c r="F6" s="19"/>
      <c r="G6" s="21"/>
      <c r="H6" s="20"/>
      <c r="I6" s="2"/>
      <c r="J6" s="2"/>
    </row>
    <row r="7" customFormat="false" ht="17.35" hidden="false" customHeight="false" outlineLevel="0" collapsed="false">
      <c r="A7" s="22" t="s">
        <v>6</v>
      </c>
      <c r="B7" s="22" t="s">
        <v>7</v>
      </c>
      <c r="C7" s="22" t="s">
        <v>2</v>
      </c>
      <c r="D7" s="23"/>
      <c r="E7" s="23"/>
      <c r="F7" s="19"/>
      <c r="G7" s="21"/>
      <c r="H7" s="20"/>
      <c r="I7" s="2"/>
      <c r="J7" s="2"/>
      <c r="L7" s="0"/>
      <c r="M7" s="0"/>
    </row>
    <row r="8" customFormat="false" ht="17.35" hidden="false" customHeight="false" outlineLevel="0" collapsed="false">
      <c r="A8" s="24"/>
      <c r="B8" s="19"/>
      <c r="C8" s="19"/>
      <c r="D8" s="23"/>
      <c r="E8" s="23"/>
      <c r="F8" s="19"/>
      <c r="G8" s="25"/>
      <c r="H8" s="20"/>
      <c r="I8" s="2"/>
      <c r="J8" s="2"/>
      <c r="L8" s="26" t="s">
        <v>3</v>
      </c>
      <c r="M8" s="27" t="n">
        <f aca="false">H13+H14</f>
        <v>0</v>
      </c>
    </row>
    <row r="9" customFormat="false" ht="19.7" hidden="false" customHeight="false" outlineLevel="0" collapsed="false">
      <c r="A9" s="22" t="s">
        <v>8</v>
      </c>
      <c r="B9" s="28" t="n">
        <v>23125</v>
      </c>
      <c r="C9" s="27" t="n">
        <f aca="false">B9*0.2</f>
        <v>4791.666</v>
      </c>
      <c r="D9" s="23"/>
      <c r="E9" s="23"/>
      <c r="F9" s="19"/>
      <c r="G9" s="29"/>
      <c r="H9" s="30"/>
      <c r="I9" s="2"/>
      <c r="J9" s="2"/>
      <c r="K9" s="1" t="s">
        <v>9</v>
      </c>
      <c r="L9" s="27"/>
      <c r="M9" s="27"/>
    </row>
    <row r="10" customFormat="false" ht="17.35" hidden="false" customHeight="false" outlineLevel="0" collapsed="false">
      <c r="A10" s="31"/>
      <c r="B10" s="19"/>
      <c r="C10" s="19"/>
      <c r="D10" s="23"/>
      <c r="E10" s="23"/>
      <c r="F10" s="19"/>
      <c r="G10" s="21"/>
      <c r="H10" s="14"/>
      <c r="I10" s="2"/>
      <c r="J10" s="2"/>
      <c r="K10" s="1" t="s">
        <v>10</v>
      </c>
      <c r="L10" s="32" t="s">
        <v>1</v>
      </c>
      <c r="M10" s="27" t="n">
        <f aca="false">H15-H11-M8</f>
        <v>0</v>
      </c>
    </row>
    <row r="11" customFormat="false" ht="17.35" hidden="false" customHeight="false" outlineLevel="0" collapsed="false">
      <c r="A11" s="22" t="s">
        <v>11</v>
      </c>
      <c r="B11" s="28" t="n">
        <v>0</v>
      </c>
      <c r="C11" s="28" t="n">
        <f aca="false">B11*0.2</f>
        <v>0</v>
      </c>
      <c r="D11" s="23"/>
      <c r="E11" s="23"/>
      <c r="F11" s="19"/>
      <c r="G11" s="21"/>
      <c r="H11" s="20"/>
      <c r="I11" s="2"/>
      <c r="J11" s="2"/>
      <c r="L11" s="27"/>
      <c r="M11" s="27"/>
    </row>
    <row r="12" customFormat="false" ht="17.35" hidden="false" customHeight="false" outlineLevel="0" collapsed="false">
      <c r="A12" s="31"/>
      <c r="B12" s="19"/>
      <c r="C12" s="19"/>
      <c r="D12" s="23"/>
      <c r="E12" s="23"/>
      <c r="F12" s="19"/>
      <c r="G12" s="21"/>
      <c r="H12" s="14"/>
      <c r="I12" s="2"/>
      <c r="J12" s="2"/>
      <c r="L12" s="0"/>
      <c r="M12" s="0"/>
    </row>
    <row r="13" customFormat="false" ht="17.35" hidden="false" customHeight="false" outlineLevel="0" collapsed="false">
      <c r="A13" s="22" t="s">
        <v>12</v>
      </c>
      <c r="B13" s="28" t="n">
        <v>0</v>
      </c>
      <c r="C13" s="27"/>
      <c r="D13" s="23"/>
      <c r="E13" s="23"/>
      <c r="F13" s="19"/>
      <c r="G13" s="21"/>
      <c r="H13" s="14"/>
      <c r="I13" s="2"/>
      <c r="J13" s="2"/>
      <c r="L13" s="0"/>
      <c r="M13" s="0"/>
    </row>
    <row r="14" customFormat="false" ht="17.35" hidden="false" customHeight="false" outlineLevel="0" collapsed="false">
      <c r="A14" s="31"/>
      <c r="B14" s="19"/>
      <c r="C14" s="19"/>
      <c r="D14" s="23"/>
      <c r="E14" s="23"/>
      <c r="F14" s="19"/>
      <c r="G14" s="21"/>
      <c r="H14" s="14"/>
      <c r="I14" s="2"/>
      <c r="J14" s="2" t="s">
        <v>13</v>
      </c>
    </row>
    <row r="15" customFormat="false" ht="17.35" hidden="false" customHeight="false" outlineLevel="0" collapsed="false">
      <c r="A15" s="22" t="s">
        <v>14</v>
      </c>
      <c r="B15" s="27" t="n">
        <f aca="false">SUM(B9:B13)</f>
        <v>23958.33</v>
      </c>
      <c r="C15" s="27" t="n">
        <f aca="false">SUM(C9:C13)</f>
        <v>4791.666</v>
      </c>
      <c r="D15" s="23"/>
      <c r="E15" s="23"/>
      <c r="F15" s="19"/>
      <c r="G15" s="21"/>
      <c r="H15" s="33"/>
      <c r="I15" s="2"/>
      <c r="J15" s="34" t="n">
        <f aca="false">H15</f>
        <v>0</v>
      </c>
    </row>
    <row r="16" customFormat="false" ht="17.35" hidden="false" customHeight="false" outlineLevel="0" collapsed="false">
      <c r="A16" s="35"/>
      <c r="B16" s="35"/>
      <c r="C16" s="35"/>
      <c r="D16" s="23"/>
      <c r="E16" s="23"/>
      <c r="F16" s="19"/>
      <c r="G16" s="21"/>
      <c r="H16" s="14"/>
      <c r="I16" s="2"/>
      <c r="J16" s="2"/>
      <c r="Y16" s="36" t="s">
        <v>15</v>
      </c>
    </row>
    <row r="17" customFormat="false" ht="17.35" hidden="false" customHeight="false" outlineLevel="0" collapsed="false">
      <c r="A17" s="35"/>
      <c r="B17" s="35"/>
      <c r="C17" s="35"/>
      <c r="D17" s="23"/>
      <c r="E17" s="23"/>
      <c r="F17" s="19"/>
      <c r="G17" s="37"/>
      <c r="H17" s="20"/>
      <c r="I17" s="2"/>
      <c r="J17" s="2" t="s">
        <v>16</v>
      </c>
      <c r="Y17" s="36" t="s">
        <v>17</v>
      </c>
    </row>
    <row r="18" customFormat="false" ht="17.35" hidden="false" customHeight="false" outlineLevel="0" collapsed="false">
      <c r="A18" s="35"/>
      <c r="B18" s="35"/>
      <c r="C18" s="35"/>
      <c r="D18" s="23"/>
      <c r="E18" s="23"/>
      <c r="F18" s="19"/>
      <c r="G18" s="38"/>
      <c r="H18" s="39"/>
      <c r="I18" s="2"/>
      <c r="J18" s="34" t="n">
        <v>37405</v>
      </c>
      <c r="Y18" s="36" t="s">
        <v>18</v>
      </c>
    </row>
    <row r="19" customFormat="false" ht="22.05" hidden="false" customHeight="true" outlineLevel="0" collapsed="false">
      <c r="A19" s="40" t="s">
        <v>19</v>
      </c>
      <c r="B19" s="40"/>
      <c r="C19" s="40"/>
      <c r="D19" s="40"/>
      <c r="E19" s="27" t="n">
        <f aca="false">B4</f>
        <v>28749.996</v>
      </c>
      <c r="F19" s="19"/>
      <c r="G19" s="38"/>
      <c r="H19" s="39"/>
      <c r="I19" s="2"/>
      <c r="J19" s="2"/>
      <c r="Z19" s="2" t="s">
        <v>9</v>
      </c>
    </row>
    <row r="20" customFormat="false" ht="17.35" hidden="false" customHeight="false" outlineLevel="0" collapsed="false">
      <c r="A20" s="41"/>
      <c r="B20" s="19"/>
      <c r="C20" s="19"/>
      <c r="D20" s="19"/>
      <c r="E20" s="42"/>
      <c r="F20" s="19"/>
      <c r="G20" s="38"/>
      <c r="H20" s="39"/>
      <c r="I20" s="2"/>
      <c r="J20" s="2"/>
      <c r="Z20" s="2" t="s">
        <v>10</v>
      </c>
    </row>
    <row r="21" customFormat="false" ht="22.05" hidden="false" customHeight="true" outlineLevel="0" collapsed="false">
      <c r="A21" s="40" t="s">
        <v>20</v>
      </c>
      <c r="B21" s="40"/>
      <c r="C21" s="40"/>
      <c r="D21" s="40"/>
      <c r="E21" s="27" t="n">
        <f aca="false">B15</f>
        <v>23958.33</v>
      </c>
      <c r="F21" s="19"/>
      <c r="G21" s="43"/>
      <c r="H21" s="44"/>
      <c r="I21" s="2"/>
      <c r="J21" s="2"/>
      <c r="K21" s="2"/>
    </row>
    <row r="22" customFormat="false" ht="17.35" hidden="false" customHeight="false" outlineLevel="0" collapsed="false">
      <c r="A22" s="45"/>
      <c r="B22" s="45"/>
      <c r="C22" s="45"/>
      <c r="D22" s="45"/>
      <c r="E22" s="45"/>
      <c r="F22" s="45"/>
      <c r="G22" s="45"/>
      <c r="H22" s="45"/>
      <c r="J22" s="2"/>
      <c r="K22" s="2"/>
      <c r="P22" s="46"/>
    </row>
    <row r="23" customFormat="false" ht="17.35" hidden="false" customHeight="false" outlineLevel="0" collapsed="false">
      <c r="A23" s="45"/>
      <c r="B23" s="45"/>
      <c r="C23" s="45"/>
      <c r="D23" s="45"/>
      <c r="E23" s="45"/>
      <c r="F23" s="45"/>
      <c r="G23" s="45"/>
      <c r="H23" s="45"/>
      <c r="J23" s="2"/>
      <c r="K23" s="2"/>
      <c r="P23" s="46"/>
    </row>
    <row r="24" customFormat="false" ht="46.5" hidden="false" customHeight="true" outlineLevel="0" collapsed="false">
      <c r="A24" s="47" t="s">
        <v>21</v>
      </c>
      <c r="B24" s="47"/>
      <c r="C24" s="47"/>
      <c r="D24" s="47"/>
      <c r="E24" s="47"/>
      <c r="F24" s="47"/>
      <c r="G24" s="47"/>
      <c r="H24" s="47"/>
      <c r="I24" s="2"/>
      <c r="J24" s="2"/>
      <c r="K24" s="2"/>
      <c r="P24" s="46"/>
    </row>
    <row r="25" customFormat="false" ht="17.35" hidden="false" customHeight="false" outlineLevel="0" collapsed="false">
      <c r="A25" s="48"/>
      <c r="B25" s="49"/>
      <c r="C25" s="49"/>
      <c r="D25" s="49"/>
      <c r="E25" s="49"/>
      <c r="F25" s="49"/>
      <c r="G25" s="49"/>
      <c r="H25" s="50"/>
      <c r="I25" s="2"/>
      <c r="J25" s="2"/>
      <c r="K25" s="2"/>
      <c r="P25" s="46"/>
    </row>
    <row r="26" customFormat="false" ht="17.9" hidden="false" customHeight="false" outlineLevel="0" collapsed="false">
      <c r="A26" s="51" t="s">
        <v>22</v>
      </c>
      <c r="B26" s="52" t="s">
        <v>10</v>
      </c>
      <c r="C26" s="25"/>
      <c r="D26" s="25"/>
      <c r="E26" s="25"/>
      <c r="F26" s="25"/>
      <c r="G26" s="25"/>
      <c r="H26" s="20"/>
      <c r="I26" s="2"/>
      <c r="J26" s="53" t="s">
        <v>23</v>
      </c>
      <c r="K26" s="54" t="s">
        <v>24</v>
      </c>
      <c r="P26" s="46"/>
    </row>
    <row r="27" customFormat="false" ht="17.9" hidden="false" customHeight="false" outlineLevel="0" collapsed="false">
      <c r="A27" s="55"/>
      <c r="B27" s="25"/>
      <c r="C27" s="25"/>
      <c r="D27" s="25"/>
      <c r="E27" s="25"/>
      <c r="F27" s="25"/>
      <c r="G27" s="25"/>
      <c r="H27" s="20"/>
      <c r="I27" s="2"/>
      <c r="J27" s="56" t="s">
        <v>25</v>
      </c>
      <c r="K27" s="57" t="n">
        <v>1</v>
      </c>
      <c r="P27" s="46"/>
    </row>
    <row r="28" customFormat="false" ht="22.05" hidden="false" customHeight="false" outlineLevel="0" collapsed="false">
      <c r="A28" s="58" t="s">
        <v>26</v>
      </c>
      <c r="B28" s="58"/>
      <c r="C28" s="58"/>
      <c r="D28" s="58"/>
      <c r="E28" s="58"/>
      <c r="F28" s="58"/>
      <c r="G28" s="58"/>
      <c r="H28" s="58"/>
      <c r="I28" s="2"/>
      <c r="J28" s="56" t="s">
        <v>27</v>
      </c>
      <c r="K28" s="57"/>
      <c r="P28" s="46"/>
    </row>
    <row r="29" customFormat="false" ht="17.9" hidden="false" customHeight="false" outlineLevel="0" collapsed="false">
      <c r="A29" s="55"/>
      <c r="B29" s="25"/>
      <c r="C29" s="25"/>
      <c r="D29" s="25"/>
      <c r="E29" s="25"/>
      <c r="F29" s="25"/>
      <c r="G29" s="25"/>
      <c r="H29" s="20" t="n">
        <v>36</v>
      </c>
      <c r="I29" s="25"/>
      <c r="J29" s="53" t="s">
        <v>28</v>
      </c>
      <c r="K29" s="59" t="n">
        <v>36</v>
      </c>
      <c r="P29" s="46"/>
    </row>
    <row r="30" customFormat="false" ht="17.9" hidden="false" customHeight="false" outlineLevel="0" collapsed="false">
      <c r="A30" s="55" t="s">
        <v>29</v>
      </c>
      <c r="B30" s="60" t="s">
        <v>30</v>
      </c>
      <c r="C30" s="60"/>
      <c r="D30" s="60"/>
      <c r="E30" s="25"/>
      <c r="F30" s="25"/>
      <c r="G30" s="25"/>
      <c r="H30" s="20" t="n">
        <v>10000</v>
      </c>
      <c r="I30" s="25"/>
      <c r="J30" s="53" t="s">
        <v>31</v>
      </c>
      <c r="K30" s="61" t="n">
        <v>10000</v>
      </c>
      <c r="P30" s="46"/>
    </row>
    <row r="31" customFormat="false" ht="17.9" hidden="false" customHeight="false" outlineLevel="0" collapsed="false">
      <c r="A31" s="55"/>
      <c r="B31" s="25"/>
      <c r="C31" s="25"/>
      <c r="D31" s="25"/>
      <c r="E31" s="25"/>
      <c r="F31" s="25"/>
      <c r="G31" s="25"/>
      <c r="H31" s="20" t="n">
        <v>27500</v>
      </c>
      <c r="I31" s="25"/>
      <c r="J31" s="53" t="s">
        <v>32</v>
      </c>
      <c r="K31" s="62" t="n">
        <v>0</v>
      </c>
      <c r="P31" s="46"/>
    </row>
    <row r="32" customFormat="false" ht="34.3" hidden="false" customHeight="false" outlineLevel="0" collapsed="false">
      <c r="A32" s="55" t="s">
        <v>28</v>
      </c>
      <c r="B32" s="25" t="s">
        <v>33</v>
      </c>
      <c r="C32" s="25"/>
      <c r="D32" s="25"/>
      <c r="E32" s="25" t="s">
        <v>34</v>
      </c>
      <c r="F32" s="25"/>
      <c r="G32" s="25"/>
      <c r="H32" s="20"/>
      <c r="I32" s="2"/>
      <c r="J32" s="53" t="s">
        <v>35</v>
      </c>
      <c r="K32" s="62" t="n">
        <v>0</v>
      </c>
      <c r="P32" s="46"/>
    </row>
    <row r="33" customFormat="false" ht="34.8" hidden="false" customHeight="false" outlineLevel="0" collapsed="false">
      <c r="A33" s="63" t="n">
        <f aca="false">A52</f>
        <v>12</v>
      </c>
      <c r="B33" s="64" t="n">
        <f aca="false">B51</f>
        <v>10000</v>
      </c>
      <c r="C33" s="25"/>
      <c r="D33" s="25"/>
      <c r="E33" s="64" t="n">
        <f aca="false">K48</f>
        <v>2090.4347020187</v>
      </c>
      <c r="F33" s="64"/>
      <c r="G33" s="64"/>
      <c r="H33" s="65"/>
      <c r="I33" s="2"/>
      <c r="J33" s="56" t="s">
        <v>36</v>
      </c>
      <c r="K33" s="66" t="n">
        <f aca="false">E21</f>
        <v>23958.33</v>
      </c>
      <c r="L33" s="1" t="n">
        <f aca="false">H21-H11+(H16*20%)</f>
        <v>0</v>
      </c>
      <c r="P33" s="46"/>
    </row>
    <row r="34" customFormat="false" ht="17.35" hidden="false" customHeight="false" outlineLevel="0" collapsed="false">
      <c r="A34" s="55"/>
      <c r="B34" s="25"/>
      <c r="C34" s="25"/>
      <c r="D34" s="25"/>
      <c r="E34" s="67"/>
      <c r="F34" s="67"/>
      <c r="G34" s="67"/>
      <c r="H34" s="65"/>
      <c r="I34" s="2"/>
      <c r="J34" s="2"/>
      <c r="K34" s="2"/>
      <c r="P34" s="46"/>
    </row>
    <row r="35" customFormat="false" ht="21.6" hidden="false" customHeight="false" outlineLevel="0" collapsed="false">
      <c r="A35" s="55" t="s">
        <v>37</v>
      </c>
      <c r="B35" s="25" t="s">
        <v>38</v>
      </c>
      <c r="C35" s="25"/>
      <c r="D35" s="46"/>
      <c r="E35" s="25" t="s">
        <v>39</v>
      </c>
      <c r="F35" s="67"/>
      <c r="G35" s="67"/>
      <c r="H35" s="65"/>
      <c r="I35" s="2"/>
      <c r="J35" s="68" t="s">
        <v>40</v>
      </c>
      <c r="K35" s="0" t="n">
        <v>0.07</v>
      </c>
      <c r="P35" s="46"/>
    </row>
    <row r="36" customFormat="false" ht="17.35" hidden="false" customHeight="false" outlineLevel="0" collapsed="false">
      <c r="A36" s="69" t="n">
        <f aca="false">K47</f>
        <v>2067.51803535204</v>
      </c>
      <c r="B36" s="64" t="n">
        <f aca="false">IF(B26="YES", K42, "0.00")</f>
        <v>22.9166666666667</v>
      </c>
      <c r="C36" s="64"/>
      <c r="D36" s="64"/>
      <c r="E36" s="64" t="n">
        <f aca="false">K31</f>
        <v>0</v>
      </c>
      <c r="F36" s="64"/>
      <c r="G36" s="64"/>
      <c r="H36" s="65"/>
      <c r="I36" s="2"/>
      <c r="J36" s="2" t="s">
        <v>41</v>
      </c>
      <c r="K36" s="2" t="n">
        <f aca="false">K29</f>
        <v>12</v>
      </c>
      <c r="P36" s="46"/>
    </row>
    <row r="37" customFormat="false" ht="17.35" hidden="false" customHeight="false" outlineLevel="0" collapsed="false">
      <c r="A37" s="70"/>
      <c r="B37" s="37"/>
      <c r="C37" s="67"/>
      <c r="D37" s="67"/>
      <c r="E37" s="67"/>
      <c r="F37" s="67"/>
      <c r="G37" s="67"/>
      <c r="H37" s="65"/>
      <c r="I37" s="2"/>
      <c r="J37" s="2"/>
      <c r="K37" s="2"/>
      <c r="P37" s="46"/>
    </row>
    <row r="38" customFormat="false" ht="17.35" hidden="false" customHeight="false" outlineLevel="0" collapsed="false">
      <c r="A38" s="55"/>
      <c r="B38" s="25"/>
      <c r="C38" s="67"/>
      <c r="D38" s="67"/>
      <c r="E38" s="67"/>
      <c r="F38" s="67"/>
      <c r="G38" s="67"/>
      <c r="H38" s="65"/>
      <c r="J38" s="71" t="s">
        <v>42</v>
      </c>
      <c r="K38" s="71"/>
      <c r="L38" s="2" t="n">
        <v>42030.76</v>
      </c>
      <c r="N38" s="1" t="n">
        <f aca="false">80.88*36</f>
        <v>2911.68</v>
      </c>
      <c r="P38" s="46"/>
    </row>
    <row r="39" customFormat="false" ht="17.35" hidden="false" customHeight="false" outlineLevel="0" collapsed="false">
      <c r="A39" s="55" t="s">
        <v>43</v>
      </c>
      <c r="B39" s="25" t="s">
        <v>44</v>
      </c>
      <c r="C39" s="25"/>
      <c r="D39" s="46"/>
      <c r="E39" s="25" t="s">
        <v>45</v>
      </c>
      <c r="F39" s="67"/>
      <c r="G39" s="67"/>
      <c r="H39" s="65"/>
      <c r="J39" s="2" t="s">
        <v>46</v>
      </c>
      <c r="K39" s="2" t="n">
        <f aca="false">K33</f>
        <v>23958.33</v>
      </c>
      <c r="L39" s="2" t="n">
        <f aca="false">(L47*K46)+K44</f>
        <v>9004.81573517688</v>
      </c>
      <c r="N39" s="1" t="n">
        <f aca="false">K39-L39</f>
        <v>14953.5142648231</v>
      </c>
      <c r="P39" s="46"/>
    </row>
    <row r="40" customFormat="false" ht="17.35" hidden="false" customHeight="false" outlineLevel="0" collapsed="false">
      <c r="A40" s="72" t="n">
        <f aca="false">E36*A45/100</f>
        <v>0</v>
      </c>
      <c r="B40" s="72" t="n">
        <f aca="false">IF(B26="YES", K42, "0.00")</f>
        <v>22.9166666666667</v>
      </c>
      <c r="C40" s="72"/>
      <c r="D40" s="72"/>
      <c r="E40" s="73" t="n">
        <f aca="false">K32</f>
        <v>275</v>
      </c>
      <c r="F40" s="67"/>
      <c r="G40" s="67"/>
      <c r="H40" s="65"/>
      <c r="J40" s="2" t="s">
        <v>47</v>
      </c>
      <c r="K40" s="2" t="n">
        <f aca="false">(A40)/1.2</f>
        <v>0</v>
      </c>
      <c r="L40" s="2" t="n">
        <f aca="false">K39-L39</f>
        <v>14953.5142648231</v>
      </c>
      <c r="N40" s="1" t="n">
        <f aca="false">N38-N39</f>
        <v>-12041.8342648231</v>
      </c>
      <c r="P40" s="46"/>
    </row>
    <row r="41" customFormat="false" ht="17.35" hidden="false" customHeight="false" outlineLevel="0" collapsed="false">
      <c r="A41" s="55"/>
      <c r="B41" s="25"/>
      <c r="C41" s="25"/>
      <c r="D41" s="25"/>
      <c r="E41" s="25"/>
      <c r="F41" s="67"/>
      <c r="G41" s="67"/>
      <c r="H41" s="65"/>
      <c r="J41" s="2" t="s">
        <v>48</v>
      </c>
      <c r="K41" s="2" t="n">
        <f aca="false">K35/12</f>
        <v>0.00541666666666667</v>
      </c>
      <c r="L41" s="2"/>
      <c r="P41" s="46"/>
    </row>
    <row r="42" customFormat="false" ht="17.35" hidden="false" customHeight="false" outlineLevel="0" collapsed="false">
      <c r="A42" s="74"/>
      <c r="B42" s="75"/>
      <c r="C42" s="75"/>
      <c r="D42" s="75"/>
      <c r="E42" s="75"/>
      <c r="F42" s="75"/>
      <c r="G42" s="76"/>
      <c r="H42" s="77"/>
      <c r="J42" s="2" t="s">
        <v>49</v>
      </c>
      <c r="K42" s="2" t="n">
        <f aca="false">(K32/K36)*C45/100</f>
        <v>22.9166666666667</v>
      </c>
      <c r="L42" s="2"/>
      <c r="P42" s="46"/>
    </row>
    <row r="43" customFormat="false" ht="17.35" hidden="false" customHeight="false" outlineLevel="0" collapsed="false">
      <c r="A43" s="48"/>
      <c r="B43" s="49"/>
      <c r="C43" s="49"/>
      <c r="D43" s="49"/>
      <c r="E43" s="49"/>
      <c r="F43" s="49"/>
      <c r="G43" s="49"/>
      <c r="H43" s="50"/>
      <c r="J43" s="2" t="s">
        <v>50</v>
      </c>
      <c r="K43" s="2"/>
      <c r="L43" s="2"/>
      <c r="P43" s="46"/>
    </row>
    <row r="44" customFormat="false" ht="17.35" hidden="false" customHeight="false" outlineLevel="0" collapsed="false">
      <c r="A44" s="78" t="s">
        <v>51</v>
      </c>
      <c r="B44" s="25"/>
      <c r="C44" s="79" t="s">
        <v>52</v>
      </c>
      <c r="D44" s="79"/>
      <c r="E44" s="25"/>
      <c r="F44" s="25"/>
      <c r="G44" s="25"/>
      <c r="H44" s="20"/>
      <c r="J44" s="2" t="s">
        <v>53</v>
      </c>
      <c r="K44" s="2" t="n">
        <f aca="false">(K40/(1+K41)^(K36+1))</f>
        <v>0</v>
      </c>
      <c r="L44" s="2"/>
      <c r="P44" s="46"/>
    </row>
    <row r="45" customFormat="false" ht="17.35" hidden="false" customHeight="false" outlineLevel="0" collapsed="false">
      <c r="A45" s="80" t="n">
        <v>100</v>
      </c>
      <c r="B45" s="25"/>
      <c r="C45" s="81" t="n">
        <v>100</v>
      </c>
      <c r="D45" s="81"/>
      <c r="E45" s="81"/>
      <c r="F45" s="25"/>
      <c r="G45" s="25"/>
      <c r="H45" s="20"/>
      <c r="J45" s="2" t="s">
        <v>54</v>
      </c>
      <c r="K45" s="2" t="n">
        <f aca="false">(K39-K44)</f>
        <v>23958.33</v>
      </c>
      <c r="L45" s="2"/>
      <c r="P45" s="46"/>
    </row>
    <row r="46" customFormat="false" ht="17.35" hidden="false" customHeight="false" outlineLevel="0" collapsed="false">
      <c r="A46" s="74"/>
      <c r="B46" s="75"/>
      <c r="C46" s="75"/>
      <c r="D46" s="75"/>
      <c r="E46" s="75"/>
      <c r="F46" s="75"/>
      <c r="G46" s="75"/>
      <c r="H46" s="82"/>
      <c r="J46" s="2" t="s">
        <v>55</v>
      </c>
      <c r="K46" s="2" t="n">
        <f aca="false">((1-(1/((1+K41)^K36)))/K41)</f>
        <v>11.5879666297182</v>
      </c>
      <c r="L46" s="2"/>
      <c r="P46" s="46"/>
    </row>
    <row r="47" customFormat="false" ht="17.35" hidden="false" customHeight="false" outlineLevel="0" collapsed="false">
      <c r="A47" s="48"/>
      <c r="B47" s="49"/>
      <c r="C47" s="49"/>
      <c r="D47" s="49"/>
      <c r="E47" s="49"/>
      <c r="F47" s="49"/>
      <c r="G47" s="49"/>
      <c r="H47" s="50"/>
      <c r="J47" s="2" t="s">
        <v>56</v>
      </c>
      <c r="K47" s="2" t="n">
        <f aca="false">K45/K46</f>
        <v>2067.51803535204</v>
      </c>
      <c r="L47" s="2" t="n">
        <f aca="false">L49-K42</f>
        <v>777.083333333333</v>
      </c>
      <c r="M47" s="1" t="n">
        <f aca="false">K47-L47</f>
        <v>1290.4347020187</v>
      </c>
      <c r="P47" s="46"/>
    </row>
    <row r="48" customFormat="false" ht="31.8" hidden="false" customHeight="false" outlineLevel="0" collapsed="false">
      <c r="A48" s="83" t="s">
        <v>57</v>
      </c>
      <c r="B48" s="25"/>
      <c r="C48" s="25"/>
      <c r="D48" s="84"/>
      <c r="E48" s="84"/>
      <c r="F48" s="84"/>
      <c r="G48" s="84"/>
      <c r="H48" s="85"/>
      <c r="J48" s="86" t="s">
        <v>58</v>
      </c>
      <c r="K48" s="2" t="n">
        <f aca="false">IF(B26="YES", K47+K42, K47)</f>
        <v>2090.4347020187</v>
      </c>
      <c r="L48" s="2"/>
      <c r="P48" s="46"/>
    </row>
    <row r="49" customFormat="false" ht="17.35" hidden="false" customHeight="false" outlineLevel="0" collapsed="false">
      <c r="A49" s="55"/>
      <c r="B49" s="87"/>
      <c r="C49" s="87"/>
      <c r="D49" s="25"/>
      <c r="E49" s="25"/>
      <c r="F49" s="25"/>
      <c r="G49" s="25"/>
      <c r="H49" s="20"/>
      <c r="J49" s="2" t="s">
        <v>59</v>
      </c>
      <c r="K49" s="2"/>
      <c r="L49" s="2" t="n">
        <v>800</v>
      </c>
      <c r="P49" s="46"/>
    </row>
    <row r="50" customFormat="false" ht="19.7" hidden="false" customHeight="false" outlineLevel="0" collapsed="false">
      <c r="A50" s="88" t="s">
        <v>28</v>
      </c>
      <c r="B50" s="89" t="s">
        <v>33</v>
      </c>
      <c r="C50" s="89"/>
      <c r="D50" s="89"/>
      <c r="E50" s="25"/>
      <c r="F50" s="25"/>
      <c r="G50" s="25"/>
      <c r="H50" s="20"/>
      <c r="I50" s="2"/>
      <c r="J50" s="2"/>
      <c r="K50" s="2"/>
      <c r="P50" s="46"/>
    </row>
    <row r="51" customFormat="false" ht="19.5" hidden="false" customHeight="true" outlineLevel="0" collapsed="false">
      <c r="A51" s="88"/>
      <c r="B51" s="90" t="n">
        <f aca="false">K30</f>
        <v>10000</v>
      </c>
      <c r="C51" s="90"/>
      <c r="D51" s="90"/>
      <c r="E51" s="25"/>
      <c r="F51" s="25"/>
      <c r="G51" s="25"/>
      <c r="H51" s="20"/>
      <c r="I51" s="2"/>
      <c r="J51" s="2"/>
      <c r="K51" s="2"/>
      <c r="P51" s="46"/>
    </row>
    <row r="52" customFormat="false" ht="17.35" hidden="false" customHeight="false" outlineLevel="0" collapsed="false">
      <c r="A52" s="91" t="n">
        <f aca="false">K29</f>
        <v>12</v>
      </c>
      <c r="B52" s="92" t="n">
        <f aca="false">K48</f>
        <v>2090.4347020187</v>
      </c>
      <c r="C52" s="92"/>
      <c r="D52" s="92"/>
      <c r="E52" s="25"/>
      <c r="F52" s="25"/>
      <c r="G52" s="25"/>
      <c r="H52" s="20"/>
      <c r="I52" s="2"/>
      <c r="J52" s="2"/>
      <c r="K52" s="2"/>
      <c r="P52" s="46"/>
    </row>
    <row r="53" customFormat="false" ht="17.35" hidden="false" customHeight="false" outlineLevel="0" collapsed="false">
      <c r="A53" s="55"/>
      <c r="B53" s="25"/>
      <c r="C53" s="25"/>
      <c r="D53" s="25"/>
      <c r="E53" s="25"/>
      <c r="F53" s="25"/>
      <c r="G53" s="25"/>
      <c r="H53" s="20"/>
      <c r="I53" s="2"/>
      <c r="J53" s="2"/>
      <c r="K53" s="2"/>
      <c r="P53" s="46"/>
    </row>
    <row r="54" customFormat="false" ht="17.35" hidden="false" customHeight="false" outlineLevel="0" collapsed="false">
      <c r="A54" s="74"/>
      <c r="B54" s="75"/>
      <c r="C54" s="75"/>
      <c r="D54" s="75"/>
      <c r="E54" s="75"/>
      <c r="F54" s="75"/>
      <c r="G54" s="75"/>
      <c r="H54" s="82"/>
      <c r="I54" s="2"/>
      <c r="J54" s="2"/>
      <c r="K54" s="2"/>
      <c r="P54" s="46"/>
    </row>
    <row r="55" customFormat="false" ht="17.35" hidden="false" customHeight="false" outlineLevel="0" collapsed="false">
      <c r="A55" s="45"/>
      <c r="B55" s="45"/>
      <c r="C55" s="45"/>
      <c r="D55" s="45"/>
      <c r="E55" s="45"/>
      <c r="F55" s="45"/>
      <c r="G55" s="45"/>
      <c r="H55" s="45"/>
      <c r="J55" s="2"/>
      <c r="K55" s="2"/>
      <c r="P55" s="46"/>
    </row>
    <row r="56" customFormat="false" ht="17.35" hidden="false" customHeight="false" outlineLevel="0" collapsed="false">
      <c r="A56" s="45"/>
      <c r="B56" s="45"/>
      <c r="C56" s="45"/>
      <c r="D56" s="45"/>
      <c r="E56" s="45"/>
      <c r="F56" s="45"/>
      <c r="G56" s="45"/>
      <c r="H56" s="45"/>
      <c r="J56" s="2"/>
      <c r="K56" s="2"/>
      <c r="P56" s="46"/>
    </row>
    <row r="57" customFormat="false" ht="17.35" hidden="false" customHeight="false" outlineLevel="0" collapsed="false">
      <c r="A57" s="48"/>
      <c r="B57" s="49"/>
      <c r="C57" s="49"/>
      <c r="D57" s="49"/>
      <c r="E57" s="93"/>
      <c r="F57" s="93"/>
      <c r="G57" s="93"/>
      <c r="H57" s="50"/>
      <c r="J57" s="48"/>
      <c r="K57" s="49"/>
      <c r="L57" s="49"/>
      <c r="M57" s="49"/>
      <c r="N57" s="93"/>
      <c r="O57" s="93"/>
      <c r="P57" s="93"/>
      <c r="Q57" s="50"/>
      <c r="S57" s="48"/>
      <c r="T57" s="49"/>
      <c r="U57" s="49"/>
      <c r="V57" s="49"/>
      <c r="W57" s="93"/>
      <c r="X57" s="93"/>
      <c r="Y57" s="93"/>
      <c r="Z57" s="50"/>
      <c r="AB57" s="48"/>
      <c r="AC57" s="49"/>
      <c r="AD57" s="49"/>
      <c r="AE57" s="49"/>
      <c r="AF57" s="93"/>
      <c r="AG57" s="93"/>
      <c r="AH57" s="93"/>
      <c r="AI57" s="50"/>
    </row>
    <row r="58" customFormat="false" ht="17.35" hidden="false" customHeight="false" outlineLevel="0" collapsed="false">
      <c r="A58" s="55" t="s">
        <v>46</v>
      </c>
      <c r="B58" s="25" t="n">
        <v>1</v>
      </c>
      <c r="C58" s="25"/>
      <c r="D58" s="25"/>
      <c r="E58" s="94"/>
      <c r="F58" s="94"/>
      <c r="G58" s="94"/>
      <c r="H58" s="20"/>
      <c r="J58" s="55" t="s">
        <v>46</v>
      </c>
      <c r="K58" s="25" t="n">
        <v>1</v>
      </c>
      <c r="L58" s="25"/>
      <c r="M58" s="25"/>
      <c r="N58" s="94"/>
      <c r="O58" s="94"/>
      <c r="P58" s="94"/>
      <c r="Q58" s="20"/>
      <c r="S58" s="55" t="s">
        <v>46</v>
      </c>
      <c r="T58" s="25" t="n">
        <v>1</v>
      </c>
      <c r="U58" s="25"/>
      <c r="V58" s="25"/>
      <c r="W58" s="94"/>
      <c r="X58" s="94"/>
      <c r="Y58" s="94"/>
      <c r="Z58" s="20"/>
      <c r="AB58" s="55" t="s">
        <v>46</v>
      </c>
      <c r="AC58" s="25" t="n">
        <v>1</v>
      </c>
      <c r="AD58" s="25"/>
      <c r="AE58" s="25"/>
      <c r="AF58" s="94"/>
      <c r="AG58" s="94"/>
      <c r="AH58" s="94"/>
      <c r="AI58" s="20"/>
    </row>
    <row r="59" customFormat="false" ht="17.35" hidden="false" customHeight="false" outlineLevel="0" collapsed="false">
      <c r="A59" s="55" t="s">
        <v>60</v>
      </c>
      <c r="B59" s="25" t="n">
        <f aca="false">K29-B58</f>
        <v>11</v>
      </c>
      <c r="C59" s="25"/>
      <c r="D59" s="25"/>
      <c r="E59" s="94"/>
      <c r="F59" s="94"/>
      <c r="G59" s="94"/>
      <c r="H59" s="20"/>
      <c r="J59" s="55" t="s">
        <v>60</v>
      </c>
      <c r="K59" s="25" t="n">
        <f aca="false">K29-K58</f>
        <v>11</v>
      </c>
      <c r="L59" s="25"/>
      <c r="M59" s="25"/>
      <c r="N59" s="94"/>
      <c r="O59" s="94"/>
      <c r="P59" s="94"/>
      <c r="Q59" s="20"/>
      <c r="S59" s="55" t="s">
        <v>60</v>
      </c>
      <c r="T59" s="25" t="n">
        <f aca="false">K29-T58</f>
        <v>11</v>
      </c>
      <c r="U59" s="25"/>
      <c r="V59" s="25"/>
      <c r="W59" s="94"/>
      <c r="X59" s="94"/>
      <c r="Y59" s="94"/>
      <c r="Z59" s="20"/>
      <c r="AB59" s="55" t="s">
        <v>60</v>
      </c>
      <c r="AC59" s="25" t="n">
        <f aca="false">K29-AC58</f>
        <v>11</v>
      </c>
      <c r="AD59" s="25"/>
      <c r="AE59" s="25"/>
      <c r="AF59" s="94"/>
      <c r="AG59" s="94"/>
      <c r="AH59" s="94"/>
      <c r="AI59" s="20"/>
    </row>
    <row r="60" customFormat="false" ht="17.35" hidden="false" customHeight="false" outlineLevel="0" collapsed="false">
      <c r="A60" s="95" t="s">
        <v>61</v>
      </c>
      <c r="B60" s="96" t="n">
        <v>10</v>
      </c>
      <c r="C60" s="25"/>
      <c r="D60" s="25"/>
      <c r="E60" s="94"/>
      <c r="F60" s="94"/>
      <c r="G60" s="94"/>
      <c r="H60" s="20"/>
      <c r="J60" s="95" t="s">
        <v>61</v>
      </c>
      <c r="K60" s="96" t="n">
        <v>20</v>
      </c>
      <c r="L60" s="25"/>
      <c r="M60" s="25"/>
      <c r="N60" s="94"/>
      <c r="O60" s="94"/>
      <c r="P60" s="94"/>
      <c r="Q60" s="20"/>
      <c r="S60" s="95" t="s">
        <v>61</v>
      </c>
      <c r="T60" s="96" t="n">
        <v>10</v>
      </c>
      <c r="U60" s="25"/>
      <c r="V60" s="25"/>
      <c r="W60" s="94"/>
      <c r="X60" s="94"/>
      <c r="Y60" s="94"/>
      <c r="Z60" s="20"/>
      <c r="AB60" s="95" t="s">
        <v>61</v>
      </c>
      <c r="AC60" s="96" t="n">
        <v>10</v>
      </c>
      <c r="AD60" s="25"/>
      <c r="AE60" s="25"/>
      <c r="AF60" s="94"/>
      <c r="AG60" s="94"/>
      <c r="AH60" s="94"/>
      <c r="AI60" s="20"/>
    </row>
    <row r="61" customFormat="false" ht="17.35" hidden="false" customHeight="false" outlineLevel="0" collapsed="false">
      <c r="A61" s="55" t="s">
        <v>16</v>
      </c>
      <c r="B61" s="25" t="n">
        <f aca="false">J18</f>
        <v>37405</v>
      </c>
      <c r="C61" s="25"/>
      <c r="D61" s="25"/>
      <c r="E61" s="94"/>
      <c r="F61" s="94"/>
      <c r="G61" s="94"/>
      <c r="H61" s="20"/>
      <c r="J61" s="55" t="s">
        <v>16</v>
      </c>
      <c r="K61" s="25" t="n">
        <f aca="false">J18</f>
        <v>37405</v>
      </c>
      <c r="L61" s="25"/>
      <c r="M61" s="25"/>
      <c r="N61" s="94"/>
      <c r="O61" s="94"/>
      <c r="P61" s="94"/>
      <c r="Q61" s="20"/>
      <c r="S61" s="55" t="s">
        <v>16</v>
      </c>
      <c r="T61" s="25" t="n">
        <f aca="false">J18</f>
        <v>37405</v>
      </c>
      <c r="U61" s="25"/>
      <c r="V61" s="25"/>
      <c r="W61" s="94"/>
      <c r="X61" s="94"/>
      <c r="Y61" s="94"/>
      <c r="Z61" s="20"/>
      <c r="AB61" s="55" t="s">
        <v>16</v>
      </c>
      <c r="AC61" s="25" t="n">
        <f aca="false">J18</f>
        <v>37405</v>
      </c>
      <c r="AD61" s="25"/>
      <c r="AE61" s="25"/>
      <c r="AF61" s="94"/>
      <c r="AG61" s="94"/>
      <c r="AH61" s="94"/>
      <c r="AI61" s="20"/>
    </row>
    <row r="62" customFormat="false" ht="17.35" hidden="false" customHeight="false" outlineLevel="0" collapsed="false">
      <c r="A62" s="97" t="s">
        <v>62</v>
      </c>
      <c r="B62" s="98" t="n">
        <v>0</v>
      </c>
      <c r="C62" s="25"/>
      <c r="D62" s="25"/>
      <c r="E62" s="94"/>
      <c r="F62" s="94"/>
      <c r="G62" s="94"/>
      <c r="H62" s="20"/>
      <c r="J62" s="97" t="s">
        <v>62</v>
      </c>
      <c r="K62" s="98" t="n">
        <v>0.06</v>
      </c>
      <c r="L62" s="25"/>
      <c r="M62" s="25"/>
      <c r="N62" s="94"/>
      <c r="O62" s="94"/>
      <c r="P62" s="94"/>
      <c r="Q62" s="20"/>
      <c r="S62" s="97" t="s">
        <v>62</v>
      </c>
      <c r="T62" s="98" t="n">
        <f aca="false">IF(AND(K29&gt;= 12, K29&lt;=24), 0.0105, IF(AND(K29&gt;=48), -0.0075, 0))</f>
        <v>0.0105</v>
      </c>
      <c r="U62" s="25"/>
      <c r="V62" s="25"/>
      <c r="W62" s="94"/>
      <c r="X62" s="94"/>
      <c r="Y62" s="94"/>
      <c r="Z62" s="20"/>
      <c r="AB62" s="97" t="s">
        <v>62</v>
      </c>
      <c r="AC62" s="98" t="n">
        <f aca="false">IF(AND(K29&gt;= 12, K29&lt;=24), 0.0105, IF(AND(K29&gt;=48), -0.0075, 0))</f>
        <v>0.0105</v>
      </c>
      <c r="AD62" s="25"/>
      <c r="AE62" s="25"/>
      <c r="AF62" s="94"/>
      <c r="AG62" s="94"/>
      <c r="AH62" s="94"/>
      <c r="AI62" s="20"/>
    </row>
    <row r="63" customFormat="false" ht="17.35" hidden="false" customHeight="false" outlineLevel="0" collapsed="false">
      <c r="A63" s="99" t="s">
        <v>63</v>
      </c>
      <c r="B63" s="100" t="n">
        <v>0.07</v>
      </c>
      <c r="C63" s="25"/>
      <c r="D63" s="25"/>
      <c r="E63" s="94"/>
      <c r="F63" s="94"/>
      <c r="G63" s="94"/>
      <c r="H63" s="20"/>
      <c r="J63" s="99" t="s">
        <v>63</v>
      </c>
      <c r="K63" s="100" t="n">
        <v>0.08</v>
      </c>
      <c r="L63" s="25"/>
      <c r="M63" s="25"/>
      <c r="N63" s="94"/>
      <c r="O63" s="94"/>
      <c r="P63" s="94"/>
      <c r="Q63" s="20"/>
      <c r="S63" s="99" t="s">
        <v>63</v>
      </c>
      <c r="T63" s="100" t="n">
        <v>0.059</v>
      </c>
      <c r="U63" s="25"/>
      <c r="V63" s="25"/>
      <c r="W63" s="94"/>
      <c r="X63" s="94"/>
      <c r="Y63" s="94"/>
      <c r="Z63" s="20"/>
      <c r="AB63" s="99" t="s">
        <v>63</v>
      </c>
      <c r="AC63" s="100" t="n">
        <v>0.059</v>
      </c>
      <c r="AD63" s="25"/>
      <c r="AE63" s="25"/>
      <c r="AF63" s="94"/>
      <c r="AG63" s="94"/>
      <c r="AH63" s="94"/>
      <c r="AI63" s="20"/>
    </row>
    <row r="64" customFormat="false" ht="17.35" hidden="false" customHeight="false" outlineLevel="0" collapsed="false">
      <c r="A64" s="101" t="s">
        <v>64</v>
      </c>
      <c r="B64" s="102" t="n">
        <v>0.072</v>
      </c>
      <c r="C64" s="25"/>
      <c r="D64" s="25"/>
      <c r="E64" s="94"/>
      <c r="F64" s="94"/>
      <c r="G64" s="94"/>
      <c r="H64" s="20"/>
      <c r="J64" s="101" t="s">
        <v>64</v>
      </c>
      <c r="K64" s="102" t="n">
        <v>0.1</v>
      </c>
      <c r="L64" s="25"/>
      <c r="M64" s="25"/>
      <c r="N64" s="94"/>
      <c r="O64" s="94"/>
      <c r="P64" s="94"/>
      <c r="Q64" s="20"/>
      <c r="S64" s="101" t="s">
        <v>64</v>
      </c>
      <c r="T64" s="102" t="n">
        <f aca="false">IF(T108=AP108, 2.4%, 7.2%)</f>
        <v>0.072</v>
      </c>
      <c r="U64" s="25"/>
      <c r="V64" s="25"/>
      <c r="W64" s="94"/>
      <c r="X64" s="94"/>
      <c r="Y64" s="94"/>
      <c r="Z64" s="20"/>
      <c r="AB64" s="101" t="s">
        <v>64</v>
      </c>
      <c r="AC64" s="102" t="n">
        <f aca="false">IF(AC108=AP108, 2.4%, 7.2%)</f>
        <v>0.072</v>
      </c>
      <c r="AD64" s="25"/>
      <c r="AE64" s="25"/>
      <c r="AF64" s="94"/>
      <c r="AG64" s="94"/>
      <c r="AH64" s="94"/>
      <c r="AI64" s="20"/>
    </row>
    <row r="65" customFormat="false" ht="17.35" hidden="false" customHeight="false" outlineLevel="0" collapsed="false">
      <c r="A65" s="74" t="s">
        <v>65</v>
      </c>
      <c r="B65" s="82" t="n">
        <f aca="false">(B89*B59)-(K47*K29)</f>
        <v>7753.25159516581</v>
      </c>
      <c r="C65" s="25"/>
      <c r="D65" s="25"/>
      <c r="E65" s="94"/>
      <c r="F65" s="94"/>
      <c r="G65" s="94"/>
      <c r="H65" s="20"/>
      <c r="J65" s="74" t="s">
        <v>65</v>
      </c>
      <c r="K65" s="82" t="e">
        <f aca="false">(K89*K59)-(K47*K29)</f>
        <v>#VALUE!</v>
      </c>
      <c r="L65" s="25"/>
      <c r="M65" s="25"/>
      <c r="N65" s="94"/>
      <c r="O65" s="94"/>
      <c r="P65" s="94"/>
      <c r="Q65" s="20"/>
      <c r="S65" s="74" t="s">
        <v>65</v>
      </c>
      <c r="T65" s="82" t="e">
        <f aca="false">(T89*T59)-(K47*K29)</f>
        <v>#VALUE!</v>
      </c>
      <c r="U65" s="25"/>
      <c r="V65" s="25"/>
      <c r="W65" s="94"/>
      <c r="X65" s="94"/>
      <c r="Y65" s="94"/>
      <c r="Z65" s="20"/>
      <c r="AB65" s="74" t="s">
        <v>65</v>
      </c>
      <c r="AC65" s="82" t="e">
        <f aca="false">(AC89*AC59)-(K47*K29)</f>
        <v>#VALUE!</v>
      </c>
      <c r="AD65" s="25"/>
      <c r="AE65" s="25"/>
      <c r="AF65" s="94"/>
      <c r="AG65" s="94"/>
      <c r="AH65" s="94"/>
      <c r="AI65" s="20"/>
    </row>
    <row r="66" customFormat="false" ht="17.35" hidden="false" customHeight="false" outlineLevel="0" collapsed="false">
      <c r="A66" s="97" t="s">
        <v>66</v>
      </c>
      <c r="B66" s="98" t="n">
        <v>0.005</v>
      </c>
      <c r="C66" s="25"/>
      <c r="D66" s="25"/>
      <c r="E66" s="94"/>
      <c r="F66" s="94"/>
      <c r="G66" s="94"/>
      <c r="H66" s="20"/>
      <c r="J66" s="97" t="s">
        <v>66</v>
      </c>
      <c r="K66" s="98" t="n">
        <v>0.05</v>
      </c>
      <c r="L66" s="25"/>
      <c r="M66" s="25"/>
      <c r="N66" s="94"/>
      <c r="O66" s="94"/>
      <c r="P66" s="94"/>
      <c r="Q66" s="20"/>
      <c r="S66" s="97" t="s">
        <v>66</v>
      </c>
      <c r="T66" s="98" t="n">
        <v>0.005</v>
      </c>
      <c r="U66" s="25"/>
      <c r="V66" s="25"/>
      <c r="W66" s="94"/>
      <c r="X66" s="94"/>
      <c r="Y66" s="94"/>
      <c r="Z66" s="20"/>
      <c r="AB66" s="97" t="s">
        <v>66</v>
      </c>
      <c r="AC66" s="98" t="n">
        <v>0.005</v>
      </c>
      <c r="AD66" s="25"/>
      <c r="AE66" s="25"/>
      <c r="AF66" s="94"/>
      <c r="AG66" s="94"/>
      <c r="AH66" s="94"/>
      <c r="AI66" s="20"/>
    </row>
    <row r="67" customFormat="false" ht="17.35" hidden="false" customHeight="false" outlineLevel="0" collapsed="false">
      <c r="A67" s="55" t="s">
        <v>67</v>
      </c>
      <c r="B67" s="103" t="n">
        <f aca="false">B66+(B66*0.5*(K29/12-1))</f>
        <v>0.005</v>
      </c>
      <c r="C67" s="25"/>
      <c r="D67" s="25"/>
      <c r="E67" s="94"/>
      <c r="F67" s="94"/>
      <c r="G67" s="94"/>
      <c r="H67" s="20"/>
      <c r="J67" s="55" t="s">
        <v>67</v>
      </c>
      <c r="K67" s="103" t="n">
        <f aca="false">K66+(K66*0.25*(K29/12-1))</f>
        <v>0.05</v>
      </c>
      <c r="L67" s="25"/>
      <c r="M67" s="25"/>
      <c r="N67" s="94"/>
      <c r="O67" s="94"/>
      <c r="P67" s="94"/>
      <c r="Q67" s="20"/>
      <c r="S67" s="55" t="s">
        <v>67</v>
      </c>
      <c r="T67" s="103" t="n">
        <f aca="false">T66+(T66*0.5*(K29/12-1))</f>
        <v>0.005</v>
      </c>
      <c r="U67" s="25"/>
      <c r="V67" s="25"/>
      <c r="W67" s="94"/>
      <c r="X67" s="94"/>
      <c r="Y67" s="94"/>
      <c r="Z67" s="20"/>
      <c r="AB67" s="55" t="s">
        <v>67</v>
      </c>
      <c r="AC67" s="103" t="n">
        <f aca="false">AC66+(AC66*0.5*(K29/12-1))</f>
        <v>0.005</v>
      </c>
      <c r="AD67" s="25"/>
      <c r="AE67" s="25"/>
      <c r="AF67" s="94"/>
      <c r="AG67" s="94"/>
      <c r="AH67" s="94"/>
      <c r="AI67" s="20"/>
    </row>
    <row r="68" customFormat="false" ht="17.35" hidden="false" customHeight="false" outlineLevel="0" collapsed="false">
      <c r="A68" s="74" t="s">
        <v>68</v>
      </c>
      <c r="B68" s="82" t="n">
        <f aca="false">(G158*B67)/1.2</f>
        <v>129.16665</v>
      </c>
      <c r="C68" s="25"/>
      <c r="D68" s="25"/>
      <c r="E68" s="94"/>
      <c r="F68" s="94"/>
      <c r="G68" s="94"/>
      <c r="H68" s="20"/>
      <c r="J68" s="74" t="s">
        <v>68</v>
      </c>
      <c r="K68" s="82" t="n">
        <f aca="false">K61*K67</f>
        <v>1870.25</v>
      </c>
      <c r="L68" s="25"/>
      <c r="M68" s="25"/>
      <c r="N68" s="94"/>
      <c r="O68" s="94"/>
      <c r="P68" s="94"/>
      <c r="Q68" s="20"/>
      <c r="S68" s="74" t="s">
        <v>68</v>
      </c>
      <c r="T68" s="82" t="n">
        <f aca="false">T61*T67</f>
        <v>187.025</v>
      </c>
      <c r="U68" s="25"/>
      <c r="V68" s="25"/>
      <c r="W68" s="94"/>
      <c r="X68" s="94"/>
      <c r="Y68" s="94"/>
      <c r="Z68" s="20"/>
      <c r="AB68" s="74" t="s">
        <v>68</v>
      </c>
      <c r="AC68" s="82" t="e">
        <f aca="false">AH158*AC67</f>
        <v>#VALUE!</v>
      </c>
      <c r="AD68" s="25"/>
      <c r="AE68" s="25"/>
      <c r="AF68" s="94"/>
      <c r="AG68" s="94"/>
      <c r="AH68" s="94"/>
      <c r="AI68" s="20"/>
    </row>
    <row r="69" customFormat="false" ht="17.35" hidden="false" customHeight="false" outlineLevel="0" collapsed="false">
      <c r="A69" s="97" t="s">
        <v>69</v>
      </c>
      <c r="B69" s="98" t="n">
        <v>0</v>
      </c>
      <c r="C69" s="25"/>
      <c r="D69" s="25"/>
      <c r="E69" s="94"/>
      <c r="F69" s="94"/>
      <c r="G69" s="94"/>
      <c r="H69" s="20"/>
      <c r="J69" s="97" t="s">
        <v>69</v>
      </c>
      <c r="K69" s="98" t="n">
        <v>0</v>
      </c>
      <c r="L69" s="25"/>
      <c r="M69" s="25"/>
      <c r="N69" s="94"/>
      <c r="O69" s="94"/>
      <c r="P69" s="94"/>
      <c r="Q69" s="20"/>
      <c r="S69" s="97" t="s">
        <v>69</v>
      </c>
      <c r="T69" s="98" t="n">
        <v>0</v>
      </c>
      <c r="U69" s="25"/>
      <c r="V69" s="25"/>
      <c r="W69" s="94"/>
      <c r="X69" s="94"/>
      <c r="Y69" s="94"/>
      <c r="Z69" s="20"/>
      <c r="AB69" s="97" t="s">
        <v>69</v>
      </c>
      <c r="AC69" s="98" t="n">
        <v>0</v>
      </c>
      <c r="AD69" s="25"/>
      <c r="AE69" s="25"/>
      <c r="AF69" s="94"/>
      <c r="AG69" s="94"/>
      <c r="AH69" s="94"/>
      <c r="AI69" s="20"/>
    </row>
    <row r="70" customFormat="false" ht="17.35" hidden="false" customHeight="false" outlineLevel="0" collapsed="false">
      <c r="A70" s="99" t="s">
        <v>70</v>
      </c>
      <c r="B70" s="100" t="n">
        <v>0</v>
      </c>
      <c r="C70" s="25"/>
      <c r="D70" s="25"/>
      <c r="E70" s="94"/>
      <c r="F70" s="94"/>
      <c r="G70" s="94"/>
      <c r="H70" s="20"/>
      <c r="J70" s="99" t="s">
        <v>70</v>
      </c>
      <c r="K70" s="100" t="n">
        <v>0</v>
      </c>
      <c r="L70" s="25"/>
      <c r="M70" s="25"/>
      <c r="N70" s="94"/>
      <c r="O70" s="94"/>
      <c r="P70" s="94"/>
      <c r="Q70" s="20"/>
      <c r="S70" s="99" t="s">
        <v>70</v>
      </c>
      <c r="T70" s="100" t="n">
        <v>0</v>
      </c>
      <c r="U70" s="25"/>
      <c r="V70" s="25"/>
      <c r="W70" s="94"/>
      <c r="X70" s="94"/>
      <c r="Y70" s="94"/>
      <c r="Z70" s="20"/>
      <c r="AB70" s="99" t="s">
        <v>70</v>
      </c>
      <c r="AC70" s="100" t="n">
        <v>0</v>
      </c>
      <c r="AD70" s="25"/>
      <c r="AE70" s="25"/>
      <c r="AF70" s="94"/>
      <c r="AG70" s="94"/>
      <c r="AH70" s="94"/>
      <c r="AI70" s="20"/>
    </row>
    <row r="71" customFormat="false" ht="17.35" hidden="false" customHeight="false" outlineLevel="0" collapsed="false">
      <c r="A71" s="74" t="s">
        <v>71</v>
      </c>
      <c r="B71" s="104" t="n">
        <f aca="false">B69*(1+B70)</f>
        <v>0</v>
      </c>
      <c r="C71" s="25"/>
      <c r="D71" s="25"/>
      <c r="E71" s="94"/>
      <c r="F71" s="94"/>
      <c r="G71" s="94"/>
      <c r="H71" s="20"/>
      <c r="J71" s="74" t="s">
        <v>71</v>
      </c>
      <c r="K71" s="104" t="n">
        <f aca="false">K69*(1+K70)</f>
        <v>0</v>
      </c>
      <c r="L71" s="25"/>
      <c r="M71" s="25"/>
      <c r="N71" s="94"/>
      <c r="O71" s="94"/>
      <c r="P71" s="94"/>
      <c r="Q71" s="20"/>
      <c r="S71" s="74" t="s">
        <v>71</v>
      </c>
      <c r="T71" s="104" t="n">
        <f aca="false">T69*(1+T70)</f>
        <v>0</v>
      </c>
      <c r="U71" s="25"/>
      <c r="V71" s="25"/>
      <c r="W71" s="94"/>
      <c r="X71" s="94"/>
      <c r="Y71" s="94"/>
      <c r="Z71" s="20"/>
      <c r="AB71" s="74" t="s">
        <v>71</v>
      </c>
      <c r="AC71" s="104" t="n">
        <f aca="false">AC69*(1+AC70)</f>
        <v>0</v>
      </c>
      <c r="AD71" s="25"/>
      <c r="AE71" s="25"/>
      <c r="AF71" s="94"/>
      <c r="AG71" s="94"/>
      <c r="AH71" s="94"/>
      <c r="AI71" s="20"/>
    </row>
    <row r="72" customFormat="false" ht="17.35" hidden="false" customHeight="false" outlineLevel="0" collapsed="false">
      <c r="A72" s="97" t="s">
        <v>72</v>
      </c>
      <c r="B72" s="105" t="n">
        <v>0</v>
      </c>
      <c r="C72" s="25"/>
      <c r="D72" s="25"/>
      <c r="E72" s="94"/>
      <c r="F72" s="94"/>
      <c r="G72" s="94"/>
      <c r="H72" s="20"/>
      <c r="J72" s="97" t="s">
        <v>72</v>
      </c>
      <c r="K72" s="105" t="n">
        <v>0</v>
      </c>
      <c r="L72" s="25"/>
      <c r="M72" s="25"/>
      <c r="N72" s="94"/>
      <c r="O72" s="94"/>
      <c r="P72" s="94"/>
      <c r="Q72" s="20"/>
      <c r="S72" s="97" t="s">
        <v>72</v>
      </c>
      <c r="T72" s="105" t="n">
        <v>0</v>
      </c>
      <c r="U72" s="25"/>
      <c r="V72" s="25"/>
      <c r="W72" s="94"/>
      <c r="X72" s="94"/>
      <c r="Y72" s="94"/>
      <c r="Z72" s="20"/>
      <c r="AB72" s="97" t="s">
        <v>72</v>
      </c>
      <c r="AC72" s="105" t="n">
        <v>0</v>
      </c>
      <c r="AD72" s="25"/>
      <c r="AE72" s="25"/>
      <c r="AF72" s="94"/>
      <c r="AG72" s="94"/>
      <c r="AH72" s="94"/>
      <c r="AI72" s="20"/>
    </row>
    <row r="73" customFormat="false" ht="17.35" hidden="false" customHeight="false" outlineLevel="0" collapsed="false">
      <c r="A73" s="99" t="s">
        <v>73</v>
      </c>
      <c r="B73" s="96" t="n">
        <v>0</v>
      </c>
      <c r="C73" s="25"/>
      <c r="D73" s="25"/>
      <c r="E73" s="94"/>
      <c r="F73" s="94"/>
      <c r="G73" s="94"/>
      <c r="H73" s="20"/>
      <c r="J73" s="99" t="s">
        <v>73</v>
      </c>
      <c r="K73" s="96" t="n">
        <v>0</v>
      </c>
      <c r="L73" s="25"/>
      <c r="M73" s="25"/>
      <c r="N73" s="94"/>
      <c r="O73" s="94"/>
      <c r="P73" s="94"/>
      <c r="Q73" s="20"/>
      <c r="S73" s="99" t="s">
        <v>73</v>
      </c>
      <c r="T73" s="96" t="n">
        <v>0</v>
      </c>
      <c r="U73" s="25"/>
      <c r="V73" s="25"/>
      <c r="W73" s="94"/>
      <c r="X73" s="94"/>
      <c r="Y73" s="94"/>
      <c r="Z73" s="20"/>
      <c r="AB73" s="99" t="s">
        <v>73</v>
      </c>
      <c r="AC73" s="96" t="n">
        <v>0</v>
      </c>
      <c r="AD73" s="25"/>
      <c r="AE73" s="25"/>
      <c r="AF73" s="94"/>
      <c r="AG73" s="94"/>
      <c r="AH73" s="94"/>
      <c r="AI73" s="20"/>
    </row>
    <row r="74" customFormat="false" ht="17.35" hidden="false" customHeight="false" outlineLevel="0" collapsed="false">
      <c r="A74" s="74" t="s">
        <v>74</v>
      </c>
      <c r="B74" s="82" t="n">
        <f aca="false">B73*K29</f>
        <v>0</v>
      </c>
      <c r="C74" s="25"/>
      <c r="D74" s="25" t="n">
        <f aca="false">B74+B72</f>
        <v>0</v>
      </c>
      <c r="E74" s="94"/>
      <c r="F74" s="94"/>
      <c r="G74" s="94"/>
      <c r="H74" s="20"/>
      <c r="J74" s="74" t="s">
        <v>74</v>
      </c>
      <c r="K74" s="82" t="n">
        <f aca="false">K73*K29</f>
        <v>0</v>
      </c>
      <c r="L74" s="25"/>
      <c r="M74" s="25" t="n">
        <f aca="false">K74+K72</f>
        <v>0</v>
      </c>
      <c r="N74" s="94"/>
      <c r="O74" s="94"/>
      <c r="P74" s="94"/>
      <c r="Q74" s="20"/>
      <c r="S74" s="74" t="s">
        <v>74</v>
      </c>
      <c r="T74" s="82" t="n">
        <f aca="false">T73*K29</f>
        <v>0</v>
      </c>
      <c r="U74" s="25"/>
      <c r="V74" s="25" t="n">
        <f aca="false">T74+T72</f>
        <v>0</v>
      </c>
      <c r="W74" s="94"/>
      <c r="X74" s="94"/>
      <c r="Y74" s="94"/>
      <c r="Z74" s="20"/>
      <c r="AB74" s="74" t="s">
        <v>74</v>
      </c>
      <c r="AC74" s="82" t="n">
        <f aca="false">AC73*K29</f>
        <v>0</v>
      </c>
      <c r="AD74" s="25"/>
      <c r="AE74" s="25" t="n">
        <f aca="false">AC74+AC72</f>
        <v>0</v>
      </c>
      <c r="AF74" s="94"/>
      <c r="AG74" s="94"/>
      <c r="AH74" s="94"/>
      <c r="AI74" s="20"/>
    </row>
    <row r="75" customFormat="false" ht="17.35" hidden="false" customHeight="false" outlineLevel="0" collapsed="false">
      <c r="A75" s="99" t="s">
        <v>75</v>
      </c>
      <c r="B75" s="96" t="n">
        <v>0</v>
      </c>
      <c r="C75" s="25"/>
      <c r="D75" s="25" t="n">
        <f aca="false">B75</f>
        <v>0</v>
      </c>
      <c r="E75" s="94"/>
      <c r="F75" s="94"/>
      <c r="G75" s="94"/>
      <c r="H75" s="20"/>
      <c r="J75" s="99" t="s">
        <v>75</v>
      </c>
      <c r="K75" s="96" t="n">
        <v>0</v>
      </c>
      <c r="L75" s="25"/>
      <c r="M75" s="25" t="n">
        <f aca="false">K75</f>
        <v>0</v>
      </c>
      <c r="N75" s="94"/>
      <c r="O75" s="94"/>
      <c r="P75" s="94"/>
      <c r="Q75" s="20"/>
      <c r="S75" s="99" t="s">
        <v>75</v>
      </c>
      <c r="T75" s="96" t="n">
        <v>0</v>
      </c>
      <c r="U75" s="25"/>
      <c r="V75" s="25" t="n">
        <f aca="false">T75</f>
        <v>0</v>
      </c>
      <c r="W75" s="94"/>
      <c r="X75" s="94"/>
      <c r="Y75" s="94"/>
      <c r="Z75" s="20"/>
      <c r="AB75" s="99" t="s">
        <v>75</v>
      </c>
      <c r="AC75" s="96" t="n">
        <v>0</v>
      </c>
      <c r="AD75" s="25"/>
      <c r="AE75" s="25" t="n">
        <f aca="false">AC75</f>
        <v>0</v>
      </c>
      <c r="AF75" s="94"/>
      <c r="AG75" s="94"/>
      <c r="AH75" s="94"/>
      <c r="AI75" s="20"/>
    </row>
    <row r="76" customFormat="false" ht="17.35" hidden="false" customHeight="false" outlineLevel="0" collapsed="false">
      <c r="A76" s="101" t="s">
        <v>76</v>
      </c>
      <c r="B76" s="106" t="n">
        <v>0</v>
      </c>
      <c r="C76" s="25"/>
      <c r="D76" s="25" t="n">
        <f aca="false">B76</f>
        <v>0</v>
      </c>
      <c r="E76" s="94"/>
      <c r="F76" s="25"/>
      <c r="G76" s="94"/>
      <c r="H76" s="20"/>
      <c r="J76" s="101" t="s">
        <v>76</v>
      </c>
      <c r="K76" s="106" t="n">
        <v>0</v>
      </c>
      <c r="L76" s="25"/>
      <c r="M76" s="25" t="n">
        <f aca="false">K76</f>
        <v>0</v>
      </c>
      <c r="N76" s="94"/>
      <c r="O76" s="94"/>
      <c r="P76" s="94"/>
      <c r="Q76" s="20"/>
      <c r="S76" s="101" t="s">
        <v>76</v>
      </c>
      <c r="T76" s="106" t="n">
        <v>0</v>
      </c>
      <c r="U76" s="25"/>
      <c r="V76" s="25" t="n">
        <f aca="false">T76</f>
        <v>0</v>
      </c>
      <c r="W76" s="94"/>
      <c r="X76" s="94"/>
      <c r="Y76" s="94"/>
      <c r="Z76" s="20"/>
      <c r="AB76" s="101" t="s">
        <v>76</v>
      </c>
      <c r="AC76" s="106" t="n">
        <v>0</v>
      </c>
      <c r="AD76" s="25"/>
      <c r="AE76" s="25" t="n">
        <f aca="false">AC76</f>
        <v>0</v>
      </c>
      <c r="AF76" s="94"/>
      <c r="AG76" s="94"/>
      <c r="AH76" s="94"/>
      <c r="AI76" s="20"/>
    </row>
    <row r="77" customFormat="false" ht="17.35" hidden="false" customHeight="false" outlineLevel="0" collapsed="false">
      <c r="A77" s="107" t="s">
        <v>77</v>
      </c>
      <c r="B77" s="108" t="n">
        <f aca="false">SUM(D65:D76)</f>
        <v>0</v>
      </c>
      <c r="C77" s="25"/>
      <c r="D77" s="25"/>
      <c r="E77" s="94"/>
      <c r="F77" s="25"/>
      <c r="G77" s="25"/>
      <c r="H77" s="20"/>
      <c r="J77" s="107" t="s">
        <v>77</v>
      </c>
      <c r="K77" s="108" t="n">
        <f aca="false">SUM(M65:M76)</f>
        <v>0</v>
      </c>
      <c r="L77" s="25"/>
      <c r="M77" s="25"/>
      <c r="N77" s="94"/>
      <c r="O77" s="94"/>
      <c r="P77" s="94"/>
      <c r="Q77" s="20"/>
      <c r="S77" s="107" t="s">
        <v>77</v>
      </c>
      <c r="T77" s="108" t="n">
        <f aca="false">SUM(V65:V76)</f>
        <v>0</v>
      </c>
      <c r="U77" s="25"/>
      <c r="V77" s="25"/>
      <c r="W77" s="94"/>
      <c r="X77" s="94"/>
      <c r="Y77" s="94"/>
      <c r="Z77" s="20"/>
      <c r="AB77" s="107" t="s">
        <v>77</v>
      </c>
      <c r="AC77" s="108" t="n">
        <f aca="false">SUM(AE65:AE76)</f>
        <v>0</v>
      </c>
      <c r="AD77" s="25"/>
      <c r="AE77" s="25"/>
      <c r="AF77" s="94"/>
      <c r="AG77" s="94"/>
      <c r="AH77" s="94"/>
      <c r="AI77" s="20"/>
    </row>
    <row r="78" customFormat="false" ht="17.35" hidden="false" customHeight="false" outlineLevel="0" collapsed="false">
      <c r="A78" s="55" t="s">
        <v>78</v>
      </c>
      <c r="B78" s="20" t="n">
        <f aca="false">B77/K29</f>
        <v>0</v>
      </c>
      <c r="C78" s="25"/>
      <c r="D78" s="25"/>
      <c r="E78" s="94"/>
      <c r="F78" s="94"/>
      <c r="G78" s="94"/>
      <c r="H78" s="20"/>
      <c r="J78" s="55" t="s">
        <v>78</v>
      </c>
      <c r="K78" s="20" t="n">
        <f aca="false">K77/K29</f>
        <v>0</v>
      </c>
      <c r="L78" s="25"/>
      <c r="M78" s="25"/>
      <c r="N78" s="94"/>
      <c r="O78" s="94"/>
      <c r="P78" s="94"/>
      <c r="Q78" s="20"/>
      <c r="S78" s="55" t="s">
        <v>78</v>
      </c>
      <c r="T78" s="20" t="n">
        <f aca="false">T77/K29</f>
        <v>0</v>
      </c>
      <c r="U78" s="25"/>
      <c r="V78" s="25"/>
      <c r="W78" s="94"/>
      <c r="X78" s="94"/>
      <c r="Y78" s="94"/>
      <c r="Z78" s="20"/>
      <c r="AB78" s="55" t="s">
        <v>78</v>
      </c>
      <c r="AC78" s="20" t="n">
        <f aca="false">AC77/K29</f>
        <v>0</v>
      </c>
      <c r="AD78" s="25"/>
      <c r="AE78" s="25"/>
      <c r="AF78" s="94"/>
      <c r="AG78" s="94"/>
      <c r="AH78" s="94"/>
      <c r="AI78" s="20"/>
    </row>
    <row r="79" customFormat="false" ht="17.35" hidden="false" customHeight="false" outlineLevel="0" collapsed="false">
      <c r="A79" s="109" t="s">
        <v>79</v>
      </c>
      <c r="B79" s="77" t="n">
        <f aca="false">K47</f>
        <v>2067.51803535204</v>
      </c>
      <c r="C79" s="25"/>
      <c r="D79" s="25"/>
      <c r="E79" s="94"/>
      <c r="F79" s="94"/>
      <c r="G79" s="94"/>
      <c r="H79" s="20"/>
      <c r="J79" s="109" t="s">
        <v>79</v>
      </c>
      <c r="K79" s="77" t="n">
        <f aca="false">K47</f>
        <v>2067.51803535204</v>
      </c>
      <c r="L79" s="25"/>
      <c r="M79" s="25"/>
      <c r="N79" s="94"/>
      <c r="O79" s="94"/>
      <c r="P79" s="94"/>
      <c r="Q79" s="20"/>
      <c r="S79" s="109" t="s">
        <v>79</v>
      </c>
      <c r="T79" s="77" t="n">
        <f aca="false">B52</f>
        <v>2090.4347020187</v>
      </c>
      <c r="U79" s="25"/>
      <c r="V79" s="25"/>
      <c r="W79" s="94"/>
      <c r="X79" s="94"/>
      <c r="Y79" s="94"/>
      <c r="Z79" s="20"/>
      <c r="AB79" s="109" t="s">
        <v>79</v>
      </c>
      <c r="AC79" s="77" t="n">
        <f aca="false">B52</f>
        <v>2090.4347020187</v>
      </c>
      <c r="AD79" s="25"/>
      <c r="AE79" s="25"/>
      <c r="AF79" s="94"/>
      <c r="AG79" s="94"/>
      <c r="AH79" s="94"/>
      <c r="AI79" s="20"/>
    </row>
    <row r="80" customFormat="false" ht="17.35" hidden="false" customHeight="false" outlineLevel="0" collapsed="false">
      <c r="A80" s="55"/>
      <c r="B80" s="25"/>
      <c r="C80" s="25"/>
      <c r="D80" s="25"/>
      <c r="E80" s="94"/>
      <c r="F80" s="94"/>
      <c r="G80" s="94"/>
      <c r="H80" s="20"/>
      <c r="J80" s="55"/>
      <c r="K80" s="25"/>
      <c r="L80" s="25"/>
      <c r="M80" s="25"/>
      <c r="N80" s="94"/>
      <c r="O80" s="94"/>
      <c r="P80" s="94"/>
      <c r="Q80" s="20"/>
      <c r="S80" s="55"/>
      <c r="T80" s="25"/>
      <c r="U80" s="25"/>
      <c r="V80" s="25"/>
      <c r="W80" s="94"/>
      <c r="X80" s="94"/>
      <c r="Y80" s="94"/>
      <c r="Z80" s="20"/>
      <c r="AB80" s="55"/>
      <c r="AC80" s="25"/>
      <c r="AD80" s="25"/>
      <c r="AE80" s="25"/>
      <c r="AF80" s="94"/>
      <c r="AG80" s="94"/>
      <c r="AH80" s="94"/>
      <c r="AI80" s="20"/>
    </row>
    <row r="81" customFormat="false" ht="17.35" hidden="false" customHeight="false" outlineLevel="0" collapsed="false">
      <c r="A81" s="48" t="s">
        <v>80</v>
      </c>
      <c r="B81" s="50" t="n">
        <f aca="false">G158</f>
        <v>30999.996</v>
      </c>
      <c r="C81" s="25"/>
      <c r="D81" s="25"/>
      <c r="E81" s="94"/>
      <c r="F81" s="94"/>
      <c r="G81" s="94"/>
      <c r="H81" s="20"/>
      <c r="J81" s="48" t="s">
        <v>80</v>
      </c>
      <c r="K81" s="50" t="e">
        <f aca="false">P158</f>
        <v>#VALUE!</v>
      </c>
      <c r="L81" s="25"/>
      <c r="M81" s="25"/>
      <c r="N81" s="94"/>
      <c r="O81" s="94"/>
      <c r="P81" s="94"/>
      <c r="Q81" s="20"/>
      <c r="S81" s="48" t="s">
        <v>80</v>
      </c>
      <c r="T81" s="50" t="e">
        <f aca="false">Y158</f>
        <v>#VALUE!</v>
      </c>
      <c r="U81" s="25"/>
      <c r="V81" s="25"/>
      <c r="W81" s="94"/>
      <c r="X81" s="94"/>
      <c r="Y81" s="94"/>
      <c r="Z81" s="20"/>
      <c r="AB81" s="48" t="s">
        <v>80</v>
      </c>
      <c r="AC81" s="50" t="e">
        <f aca="false">AH158</f>
        <v>#VALUE!</v>
      </c>
      <c r="AD81" s="25"/>
      <c r="AE81" s="25"/>
      <c r="AF81" s="94"/>
      <c r="AG81" s="94"/>
      <c r="AH81" s="94"/>
      <c r="AI81" s="20"/>
    </row>
    <row r="82" customFormat="false" ht="17.35" hidden="false" customHeight="false" outlineLevel="0" collapsed="false">
      <c r="A82" s="55" t="s">
        <v>47</v>
      </c>
      <c r="B82" s="20" t="n">
        <f aca="false">IF(A111 = "Yes", A40, 0)</f>
        <v>0</v>
      </c>
      <c r="C82" s="25"/>
      <c r="D82" s="25"/>
      <c r="E82" s="94"/>
      <c r="F82" s="94"/>
      <c r="G82" s="94"/>
      <c r="H82" s="20"/>
      <c r="J82" s="55" t="s">
        <v>47</v>
      </c>
      <c r="K82" s="20" t="n">
        <f aca="false">IF(J111 = "YES", A40, 0)</f>
        <v>0</v>
      </c>
      <c r="L82" s="25"/>
      <c r="M82" s="25"/>
      <c r="N82" s="94"/>
      <c r="O82" s="94"/>
      <c r="P82" s="94"/>
      <c r="Q82" s="20"/>
      <c r="S82" s="55" t="s">
        <v>47</v>
      </c>
      <c r="T82" s="20" t="n">
        <f aca="false">A40</f>
        <v>0</v>
      </c>
      <c r="U82" s="25"/>
      <c r="V82" s="25"/>
      <c r="W82" s="94"/>
      <c r="X82" s="94"/>
      <c r="Y82" s="94"/>
      <c r="Z82" s="20"/>
      <c r="AB82" s="55" t="s">
        <v>47</v>
      </c>
      <c r="AC82" s="20" t="n">
        <f aca="false">A40</f>
        <v>0</v>
      </c>
      <c r="AD82" s="25"/>
      <c r="AE82" s="25"/>
      <c r="AF82" s="94"/>
      <c r="AG82" s="94"/>
      <c r="AH82" s="94"/>
      <c r="AI82" s="20"/>
    </row>
    <row r="83" customFormat="false" ht="17.35" hidden="false" customHeight="false" outlineLevel="0" collapsed="false">
      <c r="A83" s="55" t="s">
        <v>81</v>
      </c>
      <c r="B83" s="110" t="n">
        <f aca="false">B62+B63+B64</f>
        <v>0.0995</v>
      </c>
      <c r="C83" s="25"/>
      <c r="D83" s="25"/>
      <c r="E83" s="94"/>
      <c r="F83" s="94"/>
      <c r="G83" s="94"/>
      <c r="H83" s="20"/>
      <c r="J83" s="55" t="s">
        <v>81</v>
      </c>
      <c r="K83" s="103" t="n">
        <f aca="false">K62+K63+K64</f>
        <v>0.24</v>
      </c>
      <c r="L83" s="25"/>
      <c r="M83" s="25"/>
      <c r="N83" s="94"/>
      <c r="O83" s="94"/>
      <c r="P83" s="94"/>
      <c r="Q83" s="20"/>
      <c r="S83" s="55" t="s">
        <v>81</v>
      </c>
      <c r="T83" s="103" t="n">
        <f aca="false">T62+T63+T64</f>
        <v>0.1415</v>
      </c>
      <c r="U83" s="25"/>
      <c r="V83" s="25"/>
      <c r="W83" s="94"/>
      <c r="X83" s="94"/>
      <c r="Y83" s="94"/>
      <c r="Z83" s="20"/>
      <c r="AB83" s="55" t="s">
        <v>81</v>
      </c>
      <c r="AC83" s="103" t="n">
        <f aca="false">AC62+AC63+AC64</f>
        <v>0.1415</v>
      </c>
      <c r="AD83" s="25"/>
      <c r="AE83" s="25"/>
      <c r="AF83" s="94"/>
      <c r="AG83" s="94"/>
      <c r="AH83" s="94"/>
      <c r="AI83" s="20"/>
    </row>
    <row r="84" customFormat="false" ht="17.35" hidden="false" customHeight="false" outlineLevel="0" collapsed="false">
      <c r="A84" s="55" t="s">
        <v>82</v>
      </c>
      <c r="B84" s="103" t="n">
        <f aca="false">B83/12</f>
        <v>0.00829166666666667</v>
      </c>
      <c r="C84" s="25"/>
      <c r="D84" s="25"/>
      <c r="E84" s="94"/>
      <c r="F84" s="94"/>
      <c r="G84" s="94"/>
      <c r="H84" s="20"/>
      <c r="J84" s="55" t="s">
        <v>82</v>
      </c>
      <c r="K84" s="103" t="n">
        <f aca="false">K83/12</f>
        <v>0.02</v>
      </c>
      <c r="L84" s="25"/>
      <c r="M84" s="25"/>
      <c r="N84" s="94"/>
      <c r="O84" s="94"/>
      <c r="P84" s="94"/>
      <c r="Q84" s="20"/>
      <c r="S84" s="55" t="s">
        <v>82</v>
      </c>
      <c r="T84" s="103" t="n">
        <f aca="false">T83/12</f>
        <v>0.0117916666666667</v>
      </c>
      <c r="U84" s="25"/>
      <c r="V84" s="25"/>
      <c r="W84" s="94"/>
      <c r="X84" s="94"/>
      <c r="Y84" s="94"/>
      <c r="Z84" s="20"/>
      <c r="AB84" s="55" t="s">
        <v>82</v>
      </c>
      <c r="AC84" s="103" t="n">
        <f aca="false">AC83/12</f>
        <v>0.0117916666666667</v>
      </c>
      <c r="AD84" s="25"/>
      <c r="AE84" s="25"/>
      <c r="AF84" s="94"/>
      <c r="AG84" s="94"/>
      <c r="AH84" s="94"/>
      <c r="AI84" s="20"/>
    </row>
    <row r="85" customFormat="false" ht="17.35" hidden="false" customHeight="false" outlineLevel="0" collapsed="false">
      <c r="A85" s="55" t="s">
        <v>83</v>
      </c>
      <c r="B85" s="20" t="n">
        <f aca="false">B59</f>
        <v>11</v>
      </c>
      <c r="C85" s="25"/>
      <c r="D85" s="25"/>
      <c r="E85" s="94"/>
      <c r="F85" s="94"/>
      <c r="G85" s="94"/>
      <c r="H85" s="20"/>
      <c r="J85" s="55" t="s">
        <v>83</v>
      </c>
      <c r="K85" s="20" t="n">
        <f aca="false">IF(K82=0, (K59+K58), (K59))</f>
        <v>12</v>
      </c>
      <c r="L85" s="25"/>
      <c r="M85" s="25"/>
      <c r="N85" s="94"/>
      <c r="O85" s="94"/>
      <c r="P85" s="94"/>
      <c r="Q85" s="20"/>
      <c r="S85" s="55" t="s">
        <v>83</v>
      </c>
      <c r="T85" s="20" t="n">
        <f aca="false">T59</f>
        <v>11</v>
      </c>
      <c r="U85" s="25"/>
      <c r="V85" s="25"/>
      <c r="W85" s="94"/>
      <c r="X85" s="94"/>
      <c r="Y85" s="94"/>
      <c r="Z85" s="20"/>
      <c r="AB85" s="55" t="s">
        <v>83</v>
      </c>
      <c r="AC85" s="20" t="n">
        <f aca="false">AC59</f>
        <v>11</v>
      </c>
      <c r="AD85" s="25"/>
      <c r="AE85" s="25"/>
      <c r="AF85" s="94"/>
      <c r="AG85" s="94"/>
      <c r="AH85" s="94"/>
      <c r="AI85" s="20"/>
    </row>
    <row r="86" customFormat="false" ht="17.35" hidden="false" customHeight="false" outlineLevel="0" collapsed="false">
      <c r="A86" s="55" t="s">
        <v>84</v>
      </c>
      <c r="B86" s="20" t="n">
        <f aca="false">(B82/((1+B84)^(B85+1)))</f>
        <v>0</v>
      </c>
      <c r="C86" s="25"/>
      <c r="D86" s="25"/>
      <c r="E86" s="94"/>
      <c r="F86" s="94"/>
      <c r="G86" s="94"/>
      <c r="H86" s="20"/>
      <c r="J86" s="55" t="s">
        <v>84</v>
      </c>
      <c r="K86" s="20" t="n">
        <f aca="false">(K82/((1+K84)^(K85+1)))</f>
        <v>0</v>
      </c>
      <c r="L86" s="25"/>
      <c r="M86" s="25"/>
      <c r="N86" s="94"/>
      <c r="O86" s="94"/>
      <c r="P86" s="94"/>
      <c r="Q86" s="20"/>
      <c r="S86" s="55" t="s">
        <v>84</v>
      </c>
      <c r="T86" s="20" t="n">
        <f aca="false">(T82/((1+T84)^(T85+1)))</f>
        <v>0</v>
      </c>
      <c r="U86" s="25"/>
      <c r="V86" s="25"/>
      <c r="W86" s="94"/>
      <c r="X86" s="94"/>
      <c r="Y86" s="94"/>
      <c r="Z86" s="20"/>
      <c r="AB86" s="55" t="s">
        <v>84</v>
      </c>
      <c r="AC86" s="20" t="n">
        <f aca="false">(AC82/((1+AC84)^(AC85+1)))</f>
        <v>0</v>
      </c>
      <c r="AD86" s="25"/>
      <c r="AE86" s="25"/>
      <c r="AF86" s="94"/>
      <c r="AG86" s="94"/>
      <c r="AH86" s="94"/>
      <c r="AI86" s="20"/>
    </row>
    <row r="87" customFormat="false" ht="17.35" hidden="false" customHeight="false" outlineLevel="0" collapsed="false">
      <c r="A87" s="55" t="s">
        <v>85</v>
      </c>
      <c r="B87" s="20" t="n">
        <f aca="false">((1-(1/((1+B84)^B85)))/B84)</f>
        <v>10.4718562469129</v>
      </c>
      <c r="C87" s="25"/>
      <c r="D87" s="25"/>
      <c r="E87" s="94"/>
      <c r="F87" s="94"/>
      <c r="G87" s="94"/>
      <c r="H87" s="20"/>
      <c r="J87" s="55" t="s">
        <v>85</v>
      </c>
      <c r="K87" s="20" t="n">
        <f aca="false">((1-(1/((1+K84)^K85)))/K84)</f>
        <v>10.5753412209172</v>
      </c>
      <c r="L87" s="25"/>
      <c r="M87" s="25"/>
      <c r="N87" s="94"/>
      <c r="O87" s="94"/>
      <c r="P87" s="94"/>
      <c r="Q87" s="20"/>
      <c r="S87" s="55" t="s">
        <v>85</v>
      </c>
      <c r="T87" s="20" t="n">
        <f aca="false">((1-(1/((1+T84)^T85)))/T84)</f>
        <v>10.2599315027351</v>
      </c>
      <c r="U87" s="25"/>
      <c r="V87" s="25"/>
      <c r="W87" s="94"/>
      <c r="X87" s="94"/>
      <c r="Y87" s="94"/>
      <c r="Z87" s="20"/>
      <c r="AB87" s="55" t="s">
        <v>85</v>
      </c>
      <c r="AC87" s="20" t="n">
        <f aca="false">((1-(1/((1+AC84)^AC85)))/AC84)</f>
        <v>10.2599315027351</v>
      </c>
      <c r="AD87" s="25"/>
      <c r="AE87" s="25"/>
      <c r="AF87" s="94"/>
      <c r="AG87" s="94"/>
      <c r="AH87" s="94"/>
      <c r="AI87" s="20"/>
    </row>
    <row r="88" customFormat="false" ht="17.35" hidden="false" customHeight="false" outlineLevel="0" collapsed="false">
      <c r="A88" s="55" t="s">
        <v>86</v>
      </c>
      <c r="B88" s="20" t="n">
        <f aca="false">B81-B86</f>
        <v>30999.996</v>
      </c>
      <c r="C88" s="25"/>
      <c r="D88" s="25"/>
      <c r="E88" s="94"/>
      <c r="F88" s="94"/>
      <c r="G88" s="94"/>
      <c r="H88" s="20"/>
      <c r="J88" s="55" t="s">
        <v>86</v>
      </c>
      <c r="K88" s="20" t="e">
        <f aca="false">K81-K86</f>
        <v>#VALUE!</v>
      </c>
      <c r="L88" s="25"/>
      <c r="M88" s="25"/>
      <c r="N88" s="94"/>
      <c r="O88" s="94"/>
      <c r="P88" s="94"/>
      <c r="Q88" s="20"/>
      <c r="S88" s="55" t="s">
        <v>86</v>
      </c>
      <c r="T88" s="20" t="e">
        <f aca="false">T81-T86</f>
        <v>#VALUE!</v>
      </c>
      <c r="U88" s="25"/>
      <c r="V88" s="25"/>
      <c r="W88" s="94"/>
      <c r="X88" s="94"/>
      <c r="Y88" s="94"/>
      <c r="Z88" s="20"/>
      <c r="AB88" s="55" t="s">
        <v>86</v>
      </c>
      <c r="AC88" s="20" t="e">
        <f aca="false">AC81-AC86</f>
        <v>#VALUE!</v>
      </c>
      <c r="AD88" s="25"/>
      <c r="AE88" s="25"/>
      <c r="AF88" s="94"/>
      <c r="AG88" s="94"/>
      <c r="AH88" s="94"/>
      <c r="AI88" s="20"/>
    </row>
    <row r="89" customFormat="false" ht="17.35" hidden="false" customHeight="false" outlineLevel="0" collapsed="false">
      <c r="A89" s="55" t="s">
        <v>87</v>
      </c>
      <c r="B89" s="20" t="n">
        <f aca="false">(B88/B87)</f>
        <v>2960.31527449002</v>
      </c>
      <c r="C89" s="25"/>
      <c r="D89" s="25"/>
      <c r="E89" s="94"/>
      <c r="F89" s="94"/>
      <c r="G89" s="94"/>
      <c r="H89" s="20"/>
      <c r="J89" s="55" t="s">
        <v>87</v>
      </c>
      <c r="K89" s="20" t="e">
        <f aca="false">(K88/K87)</f>
        <v>#VALUE!</v>
      </c>
      <c r="L89" s="25"/>
      <c r="M89" s="25"/>
      <c r="N89" s="94"/>
      <c r="O89" s="94"/>
      <c r="P89" s="94"/>
      <c r="Q89" s="20"/>
      <c r="S89" s="55" t="s">
        <v>87</v>
      </c>
      <c r="T89" s="20" t="e">
        <f aca="false">(T88/T87)</f>
        <v>#VALUE!</v>
      </c>
      <c r="U89" s="25"/>
      <c r="V89" s="25"/>
      <c r="W89" s="94"/>
      <c r="X89" s="94"/>
      <c r="Y89" s="94"/>
      <c r="Z89" s="20"/>
      <c r="AB89" s="55" t="s">
        <v>87</v>
      </c>
      <c r="AC89" s="20" t="e">
        <f aca="false">(AC88/AC87)</f>
        <v>#VALUE!</v>
      </c>
      <c r="AD89" s="25"/>
      <c r="AE89" s="25"/>
      <c r="AF89" s="94"/>
      <c r="AG89" s="94"/>
      <c r="AH89" s="94"/>
      <c r="AI89" s="20"/>
    </row>
    <row r="90" customFormat="false" ht="17.35" hidden="false" customHeight="false" outlineLevel="0" collapsed="false">
      <c r="A90" s="55" t="s">
        <v>88</v>
      </c>
      <c r="B90" s="20" t="n">
        <f aca="false">((B89*(B85))+B77)</f>
        <v>32563.4680193902</v>
      </c>
      <c r="C90" s="25"/>
      <c r="D90" s="25"/>
      <c r="E90" s="94"/>
      <c r="F90" s="94"/>
      <c r="G90" s="94"/>
      <c r="H90" s="20"/>
      <c r="J90" s="55" t="s">
        <v>88</v>
      </c>
      <c r="K90" s="20" t="e">
        <f aca="false">((K89*(K85))+K77)</f>
        <v>#VALUE!</v>
      </c>
      <c r="L90" s="25"/>
      <c r="M90" s="25"/>
      <c r="N90" s="94"/>
      <c r="O90" s="94"/>
      <c r="P90" s="94"/>
      <c r="Q90" s="20"/>
      <c r="S90" s="55" t="s">
        <v>88</v>
      </c>
      <c r="T90" s="20" t="e">
        <f aca="false">(T89*(T85))+T77</f>
        <v>#VALUE!</v>
      </c>
      <c r="U90" s="25"/>
      <c r="V90" s="25"/>
      <c r="W90" s="94"/>
      <c r="X90" s="94"/>
      <c r="Y90" s="94"/>
      <c r="Z90" s="20"/>
      <c r="AB90" s="55" t="s">
        <v>88</v>
      </c>
      <c r="AC90" s="20" t="e">
        <f aca="false">(AC89*(AC59))+AC77</f>
        <v>#VALUE!</v>
      </c>
      <c r="AD90" s="25"/>
      <c r="AE90" s="25"/>
      <c r="AF90" s="94"/>
      <c r="AG90" s="94"/>
      <c r="AH90" s="94"/>
      <c r="AI90" s="20"/>
    </row>
    <row r="91" customFormat="false" ht="17.35" hidden="false" customHeight="false" outlineLevel="0" collapsed="false">
      <c r="A91" s="55" t="s">
        <v>89</v>
      </c>
      <c r="B91" s="20" t="n">
        <f aca="false">(((B89*(B85))+B77)/(1-B71))*B71</f>
        <v>0</v>
      </c>
      <c r="C91" s="25"/>
      <c r="D91" s="25"/>
      <c r="E91" s="94"/>
      <c r="F91" s="94"/>
      <c r="G91" s="94"/>
      <c r="H91" s="20"/>
      <c r="J91" s="55" t="s">
        <v>89</v>
      </c>
      <c r="K91" s="20" t="e">
        <f aca="false">(K90/(1-K71))*K71</f>
        <v>#VALUE!</v>
      </c>
      <c r="L91" s="25"/>
      <c r="M91" s="25"/>
      <c r="N91" s="94"/>
      <c r="O91" s="94"/>
      <c r="P91" s="94"/>
      <c r="Q91" s="20"/>
      <c r="S91" s="55" t="s">
        <v>89</v>
      </c>
      <c r="T91" s="20" t="e">
        <f aca="false">(T90/(1-T71))*T71</f>
        <v>#VALUE!</v>
      </c>
      <c r="U91" s="25"/>
      <c r="V91" s="25"/>
      <c r="W91" s="94"/>
      <c r="X91" s="94"/>
      <c r="Y91" s="94"/>
      <c r="Z91" s="20"/>
      <c r="AB91" s="55" t="s">
        <v>89</v>
      </c>
      <c r="AC91" s="20" t="e">
        <f aca="false">(AC90/(1-AC71))*AC71</f>
        <v>#VALUE!</v>
      </c>
      <c r="AD91" s="25"/>
      <c r="AE91" s="25"/>
      <c r="AF91" s="94"/>
      <c r="AG91" s="94"/>
      <c r="AH91" s="94"/>
      <c r="AI91" s="20"/>
    </row>
    <row r="92" customFormat="false" ht="17.35" hidden="false" customHeight="false" outlineLevel="0" collapsed="false">
      <c r="A92" s="74" t="s">
        <v>90</v>
      </c>
      <c r="B92" s="82" t="n">
        <f aca="false">(B90+B91)</f>
        <v>32563.4680193902</v>
      </c>
      <c r="C92" s="25"/>
      <c r="D92" s="25"/>
      <c r="E92" s="94"/>
      <c r="F92" s="94"/>
      <c r="G92" s="94"/>
      <c r="H92" s="20"/>
      <c r="J92" s="74" t="s">
        <v>90</v>
      </c>
      <c r="K92" s="82" t="e">
        <f aca="false">(K90+K91)</f>
        <v>#VALUE!</v>
      </c>
      <c r="L92" s="25"/>
      <c r="M92" s="25"/>
      <c r="N92" s="94"/>
      <c r="O92" s="94"/>
      <c r="P92" s="94"/>
      <c r="Q92" s="20"/>
      <c r="S92" s="74" t="s">
        <v>90</v>
      </c>
      <c r="T92" s="82" t="e">
        <f aca="false">(T90+T91)</f>
        <v>#VALUE!</v>
      </c>
      <c r="U92" s="25"/>
      <c r="V92" s="25"/>
      <c r="W92" s="94"/>
      <c r="X92" s="94"/>
      <c r="Y92" s="94"/>
      <c r="Z92" s="20"/>
      <c r="AB92" s="74" t="s">
        <v>90</v>
      </c>
      <c r="AC92" s="82" t="e">
        <f aca="false">(AC90+AC91)</f>
        <v>#VALUE!</v>
      </c>
      <c r="AD92" s="25"/>
      <c r="AE92" s="25"/>
      <c r="AF92" s="94"/>
      <c r="AG92" s="94"/>
      <c r="AH92" s="94"/>
      <c r="AI92" s="20"/>
    </row>
    <row r="93" customFormat="false" ht="17.35" hidden="false" customHeight="false" outlineLevel="0" collapsed="false">
      <c r="A93" s="55"/>
      <c r="B93" s="25"/>
      <c r="C93" s="25"/>
      <c r="D93" s="25"/>
      <c r="E93" s="94"/>
      <c r="F93" s="94"/>
      <c r="G93" s="94"/>
      <c r="H93" s="20"/>
      <c r="J93" s="55"/>
      <c r="K93" s="25"/>
      <c r="L93" s="25"/>
      <c r="M93" s="25"/>
      <c r="N93" s="94"/>
      <c r="O93" s="94"/>
      <c r="P93" s="94"/>
      <c r="Q93" s="20"/>
      <c r="S93" s="55"/>
      <c r="T93" s="25"/>
      <c r="U93" s="25"/>
      <c r="V93" s="25"/>
      <c r="W93" s="94"/>
      <c r="X93" s="94"/>
      <c r="Y93" s="94"/>
      <c r="Z93" s="20"/>
      <c r="AB93" s="55"/>
      <c r="AC93" s="25"/>
      <c r="AD93" s="25"/>
      <c r="AE93" s="25"/>
      <c r="AF93" s="94"/>
      <c r="AG93" s="94"/>
      <c r="AH93" s="94"/>
      <c r="AI93" s="20"/>
    </row>
    <row r="94" customFormat="false" ht="17.35" hidden="false" customHeight="false" outlineLevel="0" collapsed="false">
      <c r="A94" s="107" t="s">
        <v>91</v>
      </c>
      <c r="B94" s="111" t="n">
        <f aca="false">IF(B26="YES",((E40/B85)*(1+A108)),"0")</f>
        <v>30</v>
      </c>
      <c r="C94" s="25"/>
      <c r="D94" s="25"/>
      <c r="E94" s="94"/>
      <c r="F94" s="94"/>
      <c r="G94" s="94"/>
      <c r="H94" s="20"/>
      <c r="J94" s="107" t="s">
        <v>91</v>
      </c>
      <c r="K94" s="108" t="n">
        <f aca="false">((E40/K85)*(1+J108))*1.2</f>
        <v>35.75</v>
      </c>
      <c r="L94" s="25"/>
      <c r="M94" s="25"/>
      <c r="N94" s="94"/>
      <c r="O94" s="94"/>
      <c r="P94" s="94"/>
      <c r="Q94" s="20"/>
      <c r="S94" s="107" t="s">
        <v>91</v>
      </c>
      <c r="T94" s="108" t="n">
        <f aca="false">((E40/T85)*(1+S108))</f>
        <v>30</v>
      </c>
      <c r="U94" s="25"/>
      <c r="V94" s="25"/>
      <c r="W94" s="94"/>
      <c r="X94" s="94"/>
      <c r="Y94" s="94"/>
      <c r="Z94" s="20"/>
      <c r="AB94" s="107" t="s">
        <v>91</v>
      </c>
      <c r="AC94" s="108" t="n">
        <f aca="false">((E40/AC85)*(1+AB108))*1.2</f>
        <v>36</v>
      </c>
      <c r="AD94" s="25"/>
      <c r="AE94" s="25"/>
      <c r="AF94" s="94"/>
      <c r="AG94" s="94"/>
      <c r="AH94" s="94"/>
      <c r="AI94" s="20"/>
    </row>
    <row r="95" customFormat="false" ht="17.35" hidden="false" customHeight="false" outlineLevel="0" collapsed="false">
      <c r="A95" s="112" t="s">
        <v>92</v>
      </c>
      <c r="B95" s="113" t="n">
        <f aca="false">(B92/B85)</f>
        <v>2960.31527449002</v>
      </c>
      <c r="C95" s="25"/>
      <c r="D95" s="25"/>
      <c r="E95" s="94"/>
      <c r="F95" s="94"/>
      <c r="G95" s="94"/>
      <c r="H95" s="20"/>
      <c r="J95" s="112" t="s">
        <v>92</v>
      </c>
      <c r="K95" s="113" t="e">
        <f aca="false">K92/(K85)</f>
        <v>#VALUE!</v>
      </c>
      <c r="L95" s="25"/>
      <c r="M95" s="25"/>
      <c r="N95" s="94"/>
      <c r="O95" s="94"/>
      <c r="P95" s="94"/>
      <c r="Q95" s="20"/>
      <c r="S95" s="112" t="s">
        <v>92</v>
      </c>
      <c r="T95" s="113" t="e">
        <f aca="false">T92/(T85)</f>
        <v>#VALUE!</v>
      </c>
      <c r="U95" s="25"/>
      <c r="V95" s="25"/>
      <c r="W95" s="94"/>
      <c r="X95" s="94"/>
      <c r="Y95" s="94"/>
      <c r="Z95" s="20"/>
      <c r="AB95" s="112" t="s">
        <v>92</v>
      </c>
      <c r="AC95" s="113" t="e">
        <f aca="false">AC92/(AC59)</f>
        <v>#VALUE!</v>
      </c>
      <c r="AD95" s="25"/>
      <c r="AE95" s="25"/>
      <c r="AF95" s="94"/>
      <c r="AG95" s="94"/>
      <c r="AH95" s="94"/>
      <c r="AI95" s="20"/>
    </row>
    <row r="96" customFormat="false" ht="17.35" hidden="false" customHeight="false" outlineLevel="0" collapsed="false">
      <c r="A96" s="114" t="s">
        <v>93</v>
      </c>
      <c r="B96" s="115" t="n">
        <f aca="false">B94+B95</f>
        <v>2990.31527449002</v>
      </c>
      <c r="C96" s="25"/>
      <c r="D96" s="25"/>
      <c r="E96" s="94"/>
      <c r="F96" s="94"/>
      <c r="G96" s="94"/>
      <c r="H96" s="20"/>
      <c r="J96" s="114" t="s">
        <v>93</v>
      </c>
      <c r="K96" s="115" t="e">
        <f aca="false">(K94+K95)</f>
        <v>#VALUE!</v>
      </c>
      <c r="L96" s="25"/>
      <c r="M96" s="25"/>
      <c r="N96" s="94"/>
      <c r="O96" s="94"/>
      <c r="P96" s="94"/>
      <c r="Q96" s="20"/>
      <c r="S96" s="114" t="s">
        <v>93</v>
      </c>
      <c r="T96" s="115" t="e">
        <f aca="false">T94+T95</f>
        <v>#VALUE!</v>
      </c>
      <c r="U96" s="25"/>
      <c r="V96" s="25"/>
      <c r="W96" s="94"/>
      <c r="X96" s="94"/>
      <c r="Y96" s="94"/>
      <c r="Z96" s="20"/>
      <c r="AB96" s="114" t="s">
        <v>93</v>
      </c>
      <c r="AC96" s="115" t="e">
        <f aca="false">AC94+AC95</f>
        <v>#VALUE!</v>
      </c>
      <c r="AD96" s="25"/>
      <c r="AE96" s="25"/>
      <c r="AF96" s="94"/>
      <c r="AG96" s="94"/>
      <c r="AH96" s="94"/>
      <c r="AI96" s="20"/>
    </row>
    <row r="97" customFormat="false" ht="17.35" hidden="false" customHeight="false" outlineLevel="0" collapsed="false">
      <c r="A97" s="74"/>
      <c r="B97" s="75"/>
      <c r="C97" s="75"/>
      <c r="D97" s="75"/>
      <c r="E97" s="116"/>
      <c r="F97" s="116"/>
      <c r="G97" s="116"/>
      <c r="H97" s="82"/>
      <c r="J97" s="74"/>
      <c r="K97" s="75"/>
      <c r="L97" s="75"/>
      <c r="M97" s="75"/>
      <c r="N97" s="116"/>
      <c r="O97" s="116"/>
      <c r="P97" s="116"/>
      <c r="Q97" s="82"/>
      <c r="S97" s="74"/>
      <c r="T97" s="75"/>
      <c r="U97" s="75"/>
      <c r="V97" s="75"/>
      <c r="W97" s="116"/>
      <c r="X97" s="116"/>
      <c r="Y97" s="116"/>
      <c r="Z97" s="82"/>
      <c r="AB97" s="74"/>
      <c r="AC97" s="75"/>
      <c r="AD97" s="75"/>
      <c r="AE97" s="75"/>
      <c r="AF97" s="116"/>
      <c r="AG97" s="116"/>
      <c r="AH97" s="116"/>
      <c r="AI97" s="82"/>
    </row>
    <row r="98" customFormat="false" ht="13.8" hidden="false" customHeight="false" outlineLevel="0" collapsed="false">
      <c r="A98" s="45"/>
      <c r="B98" s="45"/>
      <c r="C98" s="45"/>
      <c r="D98" s="45"/>
      <c r="E98" s="45"/>
      <c r="F98" s="45"/>
      <c r="G98" s="45"/>
      <c r="H98" s="45"/>
      <c r="J98" s="45"/>
      <c r="K98" s="45"/>
      <c r="L98" s="45"/>
      <c r="M98" s="45"/>
      <c r="N98" s="45"/>
      <c r="O98" s="45"/>
      <c r="P98" s="45"/>
      <c r="Q98" s="45"/>
      <c r="S98" s="45"/>
      <c r="T98" s="45"/>
      <c r="U98" s="45"/>
      <c r="V98" s="45"/>
      <c r="W98" s="45"/>
      <c r="X98" s="45"/>
      <c r="Y98" s="45"/>
      <c r="Z98" s="45"/>
      <c r="AB98" s="45"/>
      <c r="AC98" s="45"/>
      <c r="AD98" s="45"/>
      <c r="AE98" s="45"/>
      <c r="AF98" s="45"/>
      <c r="AG98" s="45"/>
      <c r="AH98" s="45"/>
      <c r="AI98" s="45"/>
    </row>
    <row r="99" customFormat="false" ht="13.8" hidden="false" customHeight="false" outlineLevel="0" collapsed="false">
      <c r="A99" s="45"/>
      <c r="B99" s="45"/>
      <c r="C99" s="45"/>
      <c r="D99" s="45"/>
      <c r="E99" s="45"/>
      <c r="F99" s="45"/>
      <c r="G99" s="45"/>
      <c r="H99" s="45"/>
      <c r="J99" s="45"/>
      <c r="K99" s="45"/>
      <c r="L99" s="45"/>
      <c r="M99" s="45"/>
      <c r="N99" s="45"/>
      <c r="O99" s="45"/>
      <c r="P99" s="45"/>
      <c r="Q99" s="45"/>
      <c r="S99" s="45"/>
      <c r="T99" s="45"/>
      <c r="U99" s="45"/>
      <c r="V99" s="45"/>
      <c r="W99" s="45"/>
      <c r="X99" s="45"/>
      <c r="Y99" s="45"/>
      <c r="Z99" s="45"/>
      <c r="AB99" s="45"/>
      <c r="AC99" s="45"/>
      <c r="AD99" s="45"/>
      <c r="AE99" s="45"/>
      <c r="AF99" s="45"/>
      <c r="AG99" s="45"/>
      <c r="AH99" s="45"/>
      <c r="AI99" s="45"/>
    </row>
    <row r="100" customFormat="false" ht="47.25" hidden="false" customHeight="true" outlineLevel="0" collapsed="false">
      <c r="A100" s="4" t="s">
        <v>94</v>
      </c>
      <c r="B100" s="4"/>
      <c r="C100" s="4"/>
      <c r="D100" s="4"/>
      <c r="E100" s="4"/>
      <c r="F100" s="4"/>
      <c r="G100" s="4"/>
      <c r="H100" s="4"/>
      <c r="J100" s="4" t="s">
        <v>95</v>
      </c>
      <c r="K100" s="4"/>
      <c r="L100" s="4"/>
      <c r="M100" s="4"/>
      <c r="N100" s="4"/>
      <c r="O100" s="4"/>
      <c r="P100" s="4"/>
      <c r="Q100" s="4"/>
      <c r="S100" s="4" t="s">
        <v>96</v>
      </c>
      <c r="T100" s="4"/>
      <c r="U100" s="4"/>
      <c r="V100" s="4"/>
      <c r="W100" s="4"/>
      <c r="X100" s="4"/>
      <c r="Y100" s="4"/>
      <c r="Z100" s="4"/>
      <c r="AB100" s="4" t="s">
        <v>97</v>
      </c>
      <c r="AC100" s="4"/>
      <c r="AD100" s="4"/>
      <c r="AE100" s="4"/>
      <c r="AF100" s="4"/>
      <c r="AG100" s="4"/>
      <c r="AH100" s="4"/>
      <c r="AI100" s="4"/>
    </row>
    <row r="101" customFormat="false" ht="17.35" hidden="false" customHeight="false" outlineLevel="0" collapsed="false">
      <c r="A101" s="48"/>
      <c r="B101" s="49"/>
      <c r="C101" s="49"/>
      <c r="D101" s="49"/>
      <c r="E101" s="93"/>
      <c r="F101" s="93"/>
      <c r="G101" s="93"/>
      <c r="H101" s="117"/>
      <c r="J101" s="48"/>
      <c r="K101" s="49"/>
      <c r="L101" s="49"/>
      <c r="M101" s="49"/>
      <c r="N101" s="93"/>
      <c r="O101" s="93"/>
      <c r="P101" s="93"/>
      <c r="Q101" s="117"/>
      <c r="S101" s="48"/>
      <c r="T101" s="49"/>
      <c r="U101" s="49"/>
      <c r="V101" s="49"/>
      <c r="W101" s="93"/>
      <c r="X101" s="93"/>
      <c r="Y101" s="93"/>
      <c r="Z101" s="117"/>
      <c r="AB101" s="48"/>
      <c r="AC101" s="49"/>
      <c r="AD101" s="49"/>
      <c r="AE101" s="49"/>
      <c r="AF101" s="93"/>
      <c r="AG101" s="93"/>
      <c r="AH101" s="93"/>
      <c r="AI101" s="117"/>
    </row>
    <row r="102" customFormat="false" ht="22.05" hidden="false" customHeight="false" outlineLevel="0" collapsed="false">
      <c r="A102" s="58" t="s">
        <v>26</v>
      </c>
      <c r="B102" s="58"/>
      <c r="C102" s="58"/>
      <c r="D102" s="58"/>
      <c r="E102" s="58"/>
      <c r="F102" s="58"/>
      <c r="G102" s="58"/>
      <c r="H102" s="58"/>
      <c r="J102" s="58" t="s">
        <v>26</v>
      </c>
      <c r="K102" s="58"/>
      <c r="L102" s="58"/>
      <c r="M102" s="58"/>
      <c r="N102" s="58"/>
      <c r="O102" s="58"/>
      <c r="P102" s="58"/>
      <c r="Q102" s="58"/>
      <c r="S102" s="58" t="s">
        <v>26</v>
      </c>
      <c r="T102" s="58"/>
      <c r="U102" s="58"/>
      <c r="V102" s="58"/>
      <c r="W102" s="58"/>
      <c r="X102" s="58"/>
      <c r="Y102" s="58"/>
      <c r="Z102" s="58"/>
      <c r="AB102" s="58" t="s">
        <v>26</v>
      </c>
      <c r="AC102" s="58"/>
      <c r="AD102" s="58"/>
      <c r="AE102" s="58"/>
      <c r="AF102" s="58"/>
      <c r="AG102" s="58"/>
      <c r="AH102" s="58"/>
      <c r="AI102" s="58"/>
    </row>
    <row r="103" customFormat="false" ht="17.35" hidden="false" customHeight="false" outlineLevel="0" collapsed="false">
      <c r="A103" s="55"/>
      <c r="B103" s="25"/>
      <c r="C103" s="25"/>
      <c r="D103" s="25"/>
      <c r="E103" s="94"/>
      <c r="F103" s="94"/>
      <c r="G103" s="94"/>
      <c r="H103" s="118"/>
      <c r="J103" s="55"/>
      <c r="K103" s="25"/>
      <c r="L103" s="25"/>
      <c r="M103" s="25"/>
      <c r="N103" s="94"/>
      <c r="O103" s="94"/>
      <c r="P103" s="94"/>
      <c r="Q103" s="118"/>
      <c r="S103" s="55"/>
      <c r="T103" s="25"/>
      <c r="U103" s="25"/>
      <c r="V103" s="25"/>
      <c r="W103" s="94"/>
      <c r="X103" s="94"/>
      <c r="Y103" s="94"/>
      <c r="Z103" s="118"/>
      <c r="AB103" s="55"/>
      <c r="AC103" s="25"/>
      <c r="AD103" s="25"/>
      <c r="AE103" s="25"/>
      <c r="AF103" s="94"/>
      <c r="AG103" s="94"/>
      <c r="AH103" s="94"/>
      <c r="AI103" s="118"/>
    </row>
    <row r="104" customFormat="false" ht="17.35" hidden="false" customHeight="false" outlineLevel="0" collapsed="false">
      <c r="A104" s="55" t="s">
        <v>98</v>
      </c>
      <c r="B104" s="25" t="s">
        <v>23</v>
      </c>
      <c r="C104" s="25"/>
      <c r="D104" s="25"/>
      <c r="E104" s="25" t="s">
        <v>22</v>
      </c>
      <c r="F104" s="25"/>
      <c r="G104" s="25"/>
      <c r="H104" s="20"/>
      <c r="J104" s="55" t="s">
        <v>98</v>
      </c>
      <c r="K104" s="25" t="s">
        <v>23</v>
      </c>
      <c r="L104" s="25"/>
      <c r="M104" s="25"/>
      <c r="N104" s="25" t="s">
        <v>22</v>
      </c>
      <c r="O104" s="25"/>
      <c r="P104" s="25"/>
      <c r="Q104" s="20"/>
      <c r="S104" s="55" t="s">
        <v>98</v>
      </c>
      <c r="T104" s="25" t="s">
        <v>23</v>
      </c>
      <c r="U104" s="25"/>
      <c r="V104" s="25"/>
      <c r="W104" s="25" t="s">
        <v>22</v>
      </c>
      <c r="X104" s="25"/>
      <c r="Y104" s="25"/>
      <c r="Z104" s="20"/>
      <c r="AB104" s="55" t="s">
        <v>98</v>
      </c>
      <c r="AC104" s="25" t="s">
        <v>23</v>
      </c>
      <c r="AD104" s="25"/>
      <c r="AE104" s="25"/>
      <c r="AF104" s="25" t="s">
        <v>22</v>
      </c>
      <c r="AG104" s="25"/>
      <c r="AH104" s="25"/>
      <c r="AI104" s="20"/>
    </row>
    <row r="105" customFormat="false" ht="17.35" hidden="false" customHeight="false" outlineLevel="0" collapsed="false">
      <c r="A105" s="51" t="s">
        <v>99</v>
      </c>
      <c r="B105" s="37" t="s">
        <v>100</v>
      </c>
      <c r="C105" s="37"/>
      <c r="D105" s="37"/>
      <c r="E105" s="119" t="s">
        <v>10</v>
      </c>
      <c r="F105" s="119"/>
      <c r="G105" s="119"/>
      <c r="H105" s="118"/>
      <c r="J105" s="51" t="s">
        <v>99</v>
      </c>
      <c r="K105" s="37" t="s">
        <v>100</v>
      </c>
      <c r="L105" s="37"/>
      <c r="M105" s="37"/>
      <c r="N105" s="60" t="s">
        <v>9</v>
      </c>
      <c r="O105" s="60"/>
      <c r="P105" s="60"/>
      <c r="Q105" s="118"/>
      <c r="S105" s="51" t="s">
        <v>99</v>
      </c>
      <c r="T105" s="37" t="s">
        <v>100</v>
      </c>
      <c r="U105" s="37"/>
      <c r="V105" s="37"/>
      <c r="W105" s="60" t="s">
        <v>9</v>
      </c>
      <c r="X105" s="60"/>
      <c r="Y105" s="60"/>
      <c r="Z105" s="118"/>
      <c r="AB105" s="51" t="s">
        <v>99</v>
      </c>
      <c r="AC105" s="37" t="s">
        <v>100</v>
      </c>
      <c r="AD105" s="37"/>
      <c r="AE105" s="37"/>
      <c r="AF105" s="60" t="s">
        <v>9</v>
      </c>
      <c r="AG105" s="60"/>
      <c r="AH105" s="60"/>
      <c r="AI105" s="118"/>
    </row>
    <row r="106" customFormat="false" ht="17.35" hidden="false" customHeight="false" outlineLevel="0" collapsed="false">
      <c r="A106" s="55"/>
      <c r="B106" s="25"/>
      <c r="C106" s="25"/>
      <c r="D106" s="94"/>
      <c r="E106" s="25"/>
      <c r="F106" s="25"/>
      <c r="G106" s="94"/>
      <c r="H106" s="20"/>
      <c r="J106" s="55"/>
      <c r="K106" s="25"/>
      <c r="L106" s="25"/>
      <c r="M106" s="94"/>
      <c r="N106" s="25"/>
      <c r="O106" s="25"/>
      <c r="P106" s="94"/>
      <c r="Q106" s="20"/>
      <c r="S106" s="55"/>
      <c r="T106" s="25"/>
      <c r="U106" s="25"/>
      <c r="V106" s="94"/>
      <c r="W106" s="25"/>
      <c r="X106" s="25"/>
      <c r="Y106" s="94"/>
      <c r="Z106" s="20"/>
      <c r="AB106" s="55"/>
      <c r="AC106" s="25"/>
      <c r="AD106" s="25"/>
      <c r="AE106" s="94"/>
      <c r="AF106" s="25"/>
      <c r="AG106" s="25"/>
      <c r="AH106" s="94"/>
      <c r="AI106" s="20"/>
    </row>
    <row r="107" customFormat="false" ht="17.35" hidden="false" customHeight="false" outlineLevel="0" collapsed="false">
      <c r="A107" s="55" t="s">
        <v>101</v>
      </c>
      <c r="B107" s="25" t="s">
        <v>102</v>
      </c>
      <c r="C107" s="25"/>
      <c r="D107" s="94"/>
      <c r="E107" s="25" t="s">
        <v>103</v>
      </c>
      <c r="F107" s="25"/>
      <c r="G107" s="94"/>
      <c r="H107" s="118"/>
      <c r="J107" s="55" t="s">
        <v>101</v>
      </c>
      <c r="K107" s="25" t="s">
        <v>102</v>
      </c>
      <c r="L107" s="25"/>
      <c r="M107" s="94"/>
      <c r="N107" s="25" t="s">
        <v>103</v>
      </c>
      <c r="O107" s="25"/>
      <c r="P107" s="94"/>
      <c r="Q107" s="118"/>
      <c r="S107" s="55" t="s">
        <v>101</v>
      </c>
      <c r="T107" s="25" t="s">
        <v>102</v>
      </c>
      <c r="U107" s="25"/>
      <c r="V107" s="94"/>
      <c r="W107" s="25" t="s">
        <v>103</v>
      </c>
      <c r="X107" s="25"/>
      <c r="Y107" s="94"/>
      <c r="Z107" s="118"/>
      <c r="AB107" s="55" t="s">
        <v>101</v>
      </c>
      <c r="AC107" s="25" t="s">
        <v>102</v>
      </c>
      <c r="AD107" s="25"/>
      <c r="AE107" s="94"/>
      <c r="AF107" s="25" t="s">
        <v>103</v>
      </c>
      <c r="AG107" s="25"/>
      <c r="AH107" s="94"/>
      <c r="AI107" s="118"/>
    </row>
    <row r="108" customFormat="false" ht="17.35" hidden="false" customHeight="false" outlineLevel="0" collapsed="false">
      <c r="A108" s="120" t="n">
        <v>0.2</v>
      </c>
      <c r="B108" s="72" t="n">
        <v>0</v>
      </c>
      <c r="C108" s="72"/>
      <c r="D108" s="72" t="n">
        <v>0</v>
      </c>
      <c r="E108" s="121" t="n">
        <f aca="false">B83</f>
        <v>0.0995</v>
      </c>
      <c r="F108" s="121"/>
      <c r="G108" s="121"/>
      <c r="H108" s="65"/>
      <c r="J108" s="120" t="n">
        <v>0.3</v>
      </c>
      <c r="K108" s="72" t="s">
        <v>104</v>
      </c>
      <c r="L108" s="72"/>
      <c r="M108" s="72"/>
      <c r="N108" s="121" t="n">
        <f aca="false">K83</f>
        <v>0.24</v>
      </c>
      <c r="O108" s="121"/>
      <c r="P108" s="121"/>
      <c r="Q108" s="65"/>
      <c r="S108" s="120" t="n">
        <v>0.2</v>
      </c>
      <c r="T108" s="72" t="s">
        <v>105</v>
      </c>
      <c r="U108" s="72"/>
      <c r="V108" s="72"/>
      <c r="W108" s="121" t="n">
        <f aca="false">T83</f>
        <v>0.1415</v>
      </c>
      <c r="X108" s="121"/>
      <c r="Y108" s="121"/>
      <c r="Z108" s="65"/>
      <c r="AB108" s="120" t="n">
        <v>0.2</v>
      </c>
      <c r="AC108" s="72" t="s">
        <v>105</v>
      </c>
      <c r="AD108" s="72"/>
      <c r="AE108" s="72"/>
      <c r="AF108" s="122" t="n">
        <f aca="false">AC83</f>
        <v>0.1415</v>
      </c>
      <c r="AG108" s="122"/>
      <c r="AH108" s="122"/>
      <c r="AI108" s="65"/>
      <c r="AP108" s="1" t="s">
        <v>106</v>
      </c>
    </row>
    <row r="109" customFormat="false" ht="17.35" hidden="false" customHeight="false" outlineLevel="0" collapsed="false">
      <c r="A109" s="55"/>
      <c r="B109" s="25"/>
      <c r="C109" s="25"/>
      <c r="D109" s="25"/>
      <c r="E109" s="25"/>
      <c r="F109" s="25"/>
      <c r="G109" s="25"/>
      <c r="H109" s="20"/>
      <c r="J109" s="55"/>
      <c r="K109" s="25"/>
      <c r="L109" s="25"/>
      <c r="M109" s="25"/>
      <c r="N109" s="25"/>
      <c r="O109" s="25"/>
      <c r="P109" s="25"/>
      <c r="Q109" s="20"/>
      <c r="S109" s="55"/>
      <c r="T109" s="25"/>
      <c r="U109" s="25"/>
      <c r="V109" s="25"/>
      <c r="W109" s="25"/>
      <c r="X109" s="25"/>
      <c r="Y109" s="25"/>
      <c r="Z109" s="20"/>
      <c r="AB109" s="55"/>
      <c r="AC109" s="25"/>
      <c r="AD109" s="25"/>
      <c r="AE109" s="25"/>
      <c r="AF109" s="25"/>
      <c r="AG109" s="25"/>
      <c r="AH109" s="25"/>
      <c r="AI109" s="20"/>
      <c r="AP109" s="1" t="s">
        <v>104</v>
      </c>
    </row>
    <row r="110" customFormat="false" ht="17.35" hidden="false" customHeight="false" outlineLevel="0" collapsed="false">
      <c r="A110" s="55" t="s">
        <v>107</v>
      </c>
      <c r="B110" s="25" t="s">
        <v>108</v>
      </c>
      <c r="C110" s="25"/>
      <c r="D110" s="25"/>
      <c r="E110" s="25" t="s">
        <v>109</v>
      </c>
      <c r="F110" s="25"/>
      <c r="G110" s="25"/>
      <c r="H110" s="20"/>
      <c r="J110" s="55" t="s">
        <v>107</v>
      </c>
      <c r="K110" s="25" t="s">
        <v>108</v>
      </c>
      <c r="L110" s="25"/>
      <c r="M110" s="25"/>
      <c r="N110" s="25" t="s">
        <v>109</v>
      </c>
      <c r="O110" s="25"/>
      <c r="P110" s="25"/>
      <c r="Q110" s="20"/>
      <c r="S110" s="55" t="s">
        <v>107</v>
      </c>
      <c r="T110" s="25" t="s">
        <v>108</v>
      </c>
      <c r="U110" s="25"/>
      <c r="V110" s="25"/>
      <c r="W110" s="25" t="s">
        <v>109</v>
      </c>
      <c r="X110" s="25"/>
      <c r="Y110" s="25"/>
      <c r="Z110" s="20"/>
      <c r="AB110" s="55" t="s">
        <v>107</v>
      </c>
      <c r="AC110" s="25" t="s">
        <v>108</v>
      </c>
      <c r="AD110" s="25"/>
      <c r="AE110" s="25"/>
      <c r="AF110" s="25" t="s">
        <v>109</v>
      </c>
      <c r="AG110" s="25"/>
      <c r="AH110" s="25"/>
      <c r="AI110" s="20"/>
    </row>
    <row r="111" customFormat="false" ht="17.35" hidden="false" customHeight="false" outlineLevel="0" collapsed="false">
      <c r="A111" s="52" t="s">
        <v>9</v>
      </c>
      <c r="B111" s="72" t="n">
        <v>1000</v>
      </c>
      <c r="C111" s="72"/>
      <c r="D111" s="72"/>
      <c r="E111" s="72" t="n">
        <v>1000</v>
      </c>
      <c r="F111" s="72"/>
      <c r="G111" s="72"/>
      <c r="H111" s="118"/>
      <c r="J111" s="52" t="s">
        <v>10</v>
      </c>
      <c r="K111" s="72" t="n">
        <v>1000</v>
      </c>
      <c r="L111" s="72"/>
      <c r="M111" s="72"/>
      <c r="N111" s="72" t="n">
        <v>0</v>
      </c>
      <c r="O111" s="72"/>
      <c r="P111" s="72"/>
      <c r="Q111" s="118"/>
      <c r="S111" s="52" t="s">
        <v>9</v>
      </c>
      <c r="T111" s="72" t="n">
        <v>1000</v>
      </c>
      <c r="U111" s="72"/>
      <c r="V111" s="72"/>
      <c r="W111" s="72" t="n">
        <v>0</v>
      </c>
      <c r="X111" s="72"/>
      <c r="Y111" s="72"/>
      <c r="Z111" s="118"/>
      <c r="AB111" s="52" t="s">
        <v>9</v>
      </c>
      <c r="AC111" s="72" t="n">
        <v>1000</v>
      </c>
      <c r="AD111" s="72"/>
      <c r="AE111" s="72"/>
      <c r="AF111" s="72" t="n">
        <v>0</v>
      </c>
      <c r="AG111" s="72"/>
      <c r="AH111" s="72"/>
      <c r="AI111" s="118"/>
    </row>
    <row r="112" customFormat="false" ht="17.35" hidden="false" customHeight="false" outlineLevel="0" collapsed="false">
      <c r="A112" s="55"/>
      <c r="B112" s="25"/>
      <c r="C112" s="25"/>
      <c r="D112" s="25"/>
      <c r="E112" s="25"/>
      <c r="F112" s="25"/>
      <c r="G112" s="94"/>
      <c r="H112" s="118"/>
      <c r="J112" s="55"/>
      <c r="K112" s="25"/>
      <c r="L112" s="25"/>
      <c r="M112" s="25"/>
      <c r="N112" s="25"/>
      <c r="O112" s="25"/>
      <c r="P112" s="94"/>
      <c r="Q112" s="118"/>
      <c r="S112" s="55"/>
      <c r="T112" s="25"/>
      <c r="U112" s="25"/>
      <c r="V112" s="25"/>
      <c r="W112" s="25"/>
      <c r="X112" s="25"/>
      <c r="Y112" s="94"/>
      <c r="Z112" s="118"/>
      <c r="AB112" s="55"/>
      <c r="AC112" s="25"/>
      <c r="AD112" s="25"/>
      <c r="AE112" s="25"/>
      <c r="AF112" s="25"/>
      <c r="AG112" s="25"/>
      <c r="AH112" s="94"/>
      <c r="AI112" s="118"/>
    </row>
    <row r="113" customFormat="false" ht="17.35" hidden="false" customHeight="false" outlineLevel="0" collapsed="false">
      <c r="A113" s="123" t="s">
        <v>110</v>
      </c>
      <c r="B113" s="25" t="s">
        <v>111</v>
      </c>
      <c r="C113" s="25"/>
      <c r="D113" s="25"/>
      <c r="E113" s="25" t="s">
        <v>112</v>
      </c>
      <c r="F113" s="25"/>
      <c r="G113" s="94"/>
      <c r="H113" s="118"/>
      <c r="J113" s="123" t="s">
        <v>110</v>
      </c>
      <c r="K113" s="25" t="s">
        <v>111</v>
      </c>
      <c r="L113" s="25"/>
      <c r="M113" s="25"/>
      <c r="N113" s="25" t="s">
        <v>112</v>
      </c>
      <c r="O113" s="25"/>
      <c r="P113" s="94"/>
      <c r="Q113" s="118"/>
      <c r="S113" s="123" t="s">
        <v>110</v>
      </c>
      <c r="T113" s="25" t="s">
        <v>111</v>
      </c>
      <c r="U113" s="25"/>
      <c r="V113" s="25"/>
      <c r="W113" s="25" t="s">
        <v>112</v>
      </c>
      <c r="X113" s="25"/>
      <c r="Y113" s="94"/>
      <c r="Z113" s="118"/>
      <c r="AB113" s="123" t="s">
        <v>110</v>
      </c>
      <c r="AC113" s="25" t="s">
        <v>111</v>
      </c>
      <c r="AD113" s="25"/>
      <c r="AE113" s="25"/>
      <c r="AF113" s="25" t="s">
        <v>112</v>
      </c>
      <c r="AG113" s="25"/>
      <c r="AH113" s="94"/>
      <c r="AI113" s="118"/>
    </row>
    <row r="114" customFormat="false" ht="17.35" hidden="false" customHeight="false" outlineLevel="0" collapsed="false">
      <c r="A114" s="70" t="n">
        <f aca="false">B111+E111</f>
        <v>0</v>
      </c>
      <c r="B114" s="72" t="s">
        <v>206</v>
      </c>
      <c r="C114" s="72"/>
      <c r="D114" s="72"/>
      <c r="E114" s="72" t="n">
        <v>0</v>
      </c>
      <c r="F114" s="72"/>
      <c r="G114" s="72"/>
      <c r="H114" s="118"/>
      <c r="J114" s="70" t="n">
        <f aca="false">K111+N111</f>
        <v>1000</v>
      </c>
      <c r="K114" s="72" t="n">
        <v>239.99</v>
      </c>
      <c r="L114" s="72"/>
      <c r="M114" s="72"/>
      <c r="N114" s="72" t="n">
        <v>0</v>
      </c>
      <c r="O114" s="72"/>
      <c r="P114" s="72"/>
      <c r="Q114" s="118"/>
      <c r="S114" s="70" t="n">
        <f aca="false">T111+W111</f>
        <v>1000</v>
      </c>
      <c r="T114" s="72" t="n">
        <v>199.99</v>
      </c>
      <c r="U114" s="72"/>
      <c r="V114" s="72"/>
      <c r="W114" s="72" t="n">
        <v>0</v>
      </c>
      <c r="X114" s="72"/>
      <c r="Y114" s="72"/>
      <c r="Z114" s="118"/>
      <c r="AB114" s="70" t="n">
        <f aca="false">AC111+AF111</f>
        <v>1000</v>
      </c>
      <c r="AC114" s="72" t="n">
        <v>239.99</v>
      </c>
      <c r="AD114" s="72"/>
      <c r="AE114" s="72"/>
      <c r="AF114" s="72" t="n">
        <v>0</v>
      </c>
      <c r="AG114" s="72"/>
      <c r="AH114" s="72"/>
      <c r="AI114" s="118"/>
    </row>
    <row r="115" customFormat="false" ht="13.8" hidden="false" customHeight="false" outlineLevel="0" collapsed="false">
      <c r="A115" s="124"/>
      <c r="B115" s="94"/>
      <c r="C115" s="94"/>
      <c r="D115" s="94"/>
      <c r="E115" s="94"/>
      <c r="F115" s="94"/>
      <c r="G115" s="94"/>
      <c r="H115" s="118"/>
      <c r="J115" s="124"/>
      <c r="K115" s="94"/>
      <c r="L115" s="94"/>
      <c r="M115" s="94"/>
      <c r="N115" s="94"/>
      <c r="O115" s="94"/>
      <c r="P115" s="94"/>
      <c r="Q115" s="118"/>
      <c r="S115" s="124"/>
      <c r="T115" s="94"/>
      <c r="U115" s="94"/>
      <c r="V115" s="94"/>
      <c r="W115" s="94"/>
      <c r="X115" s="94"/>
      <c r="Y115" s="94"/>
      <c r="Z115" s="118"/>
      <c r="AB115" s="124"/>
      <c r="AC115" s="94"/>
      <c r="AD115" s="94"/>
      <c r="AE115" s="94"/>
      <c r="AF115" s="94"/>
      <c r="AG115" s="94"/>
      <c r="AH115" s="94"/>
      <c r="AI115" s="118"/>
    </row>
    <row r="116" customFormat="false" ht="13.8" hidden="false" customHeight="false" outlineLevel="0" collapsed="false">
      <c r="A116" s="124"/>
      <c r="B116" s="94"/>
      <c r="C116" s="94"/>
      <c r="D116" s="94"/>
      <c r="E116" s="94"/>
      <c r="F116" s="94"/>
      <c r="G116" s="94"/>
      <c r="H116" s="118"/>
      <c r="J116" s="124"/>
      <c r="K116" s="94"/>
      <c r="L116" s="94"/>
      <c r="M116" s="94"/>
      <c r="N116" s="94"/>
      <c r="O116" s="94"/>
      <c r="P116" s="94"/>
      <c r="Q116" s="118"/>
      <c r="S116" s="124"/>
      <c r="T116" s="94"/>
      <c r="U116" s="94"/>
      <c r="V116" s="94"/>
      <c r="W116" s="94"/>
      <c r="X116" s="94"/>
      <c r="Y116" s="94"/>
      <c r="Z116" s="118"/>
      <c r="AB116" s="124"/>
      <c r="AC116" s="94"/>
      <c r="AD116" s="94"/>
      <c r="AE116" s="94"/>
      <c r="AF116" s="94"/>
      <c r="AG116" s="94"/>
      <c r="AH116" s="94"/>
      <c r="AI116" s="118"/>
    </row>
    <row r="117" customFormat="false" ht="22.05" hidden="false" customHeight="false" outlineLevel="0" collapsed="false">
      <c r="A117" s="58" t="s">
        <v>114</v>
      </c>
      <c r="B117" s="58"/>
      <c r="C117" s="58"/>
      <c r="D117" s="58"/>
      <c r="E117" s="58"/>
      <c r="F117" s="58"/>
      <c r="G117" s="58"/>
      <c r="H117" s="58"/>
      <c r="J117" s="58" t="s">
        <v>114</v>
      </c>
      <c r="K117" s="58"/>
      <c r="L117" s="58"/>
      <c r="M117" s="58"/>
      <c r="N117" s="58"/>
      <c r="O117" s="58"/>
      <c r="P117" s="58"/>
      <c r="Q117" s="58"/>
      <c r="S117" s="58" t="s">
        <v>114</v>
      </c>
      <c r="T117" s="58"/>
      <c r="U117" s="58"/>
      <c r="V117" s="58"/>
      <c r="W117" s="58"/>
      <c r="X117" s="58"/>
      <c r="Y117" s="58"/>
      <c r="Z117" s="58"/>
      <c r="AB117" s="58" t="s">
        <v>114</v>
      </c>
      <c r="AC117" s="58"/>
      <c r="AD117" s="58"/>
      <c r="AE117" s="58"/>
      <c r="AF117" s="58"/>
      <c r="AG117" s="58"/>
      <c r="AH117" s="58"/>
      <c r="AI117" s="58"/>
    </row>
    <row r="118" customFormat="false" ht="13.8" hidden="false" customHeight="false" outlineLevel="0" collapsed="false">
      <c r="A118" s="124"/>
      <c r="B118" s="94"/>
      <c r="C118" s="94"/>
      <c r="D118" s="94"/>
      <c r="E118" s="94"/>
      <c r="F118" s="94"/>
      <c r="G118" s="94"/>
      <c r="H118" s="118"/>
      <c r="J118" s="124"/>
      <c r="K118" s="94"/>
      <c r="L118" s="94"/>
      <c r="M118" s="94"/>
      <c r="N118" s="94"/>
      <c r="O118" s="94"/>
      <c r="P118" s="94"/>
      <c r="Q118" s="118"/>
      <c r="S118" s="124"/>
      <c r="T118" s="94"/>
      <c r="U118" s="94"/>
      <c r="V118" s="94"/>
      <c r="W118" s="94"/>
      <c r="X118" s="94"/>
      <c r="Y118" s="94"/>
      <c r="Z118" s="118"/>
      <c r="AB118" s="124"/>
      <c r="AC118" s="94"/>
      <c r="AD118" s="94"/>
      <c r="AE118" s="94"/>
      <c r="AF118" s="94"/>
      <c r="AG118" s="94"/>
      <c r="AH118" s="94"/>
      <c r="AI118" s="118"/>
    </row>
    <row r="119" customFormat="false" ht="19.7" hidden="false" customHeight="false" outlineLevel="0" collapsed="false">
      <c r="A119" s="97"/>
      <c r="B119" s="125" t="s">
        <v>115</v>
      </c>
      <c r="C119" s="125"/>
      <c r="D119" s="125" t="s">
        <v>116</v>
      </c>
      <c r="E119" s="125"/>
      <c r="F119" s="125" t="s">
        <v>117</v>
      </c>
      <c r="G119" s="125"/>
      <c r="H119" s="126" t="s">
        <v>118</v>
      </c>
      <c r="J119" s="97"/>
      <c r="K119" s="125" t="s">
        <v>115</v>
      </c>
      <c r="L119" s="125"/>
      <c r="M119" s="125" t="s">
        <v>116</v>
      </c>
      <c r="N119" s="125"/>
      <c r="O119" s="125" t="s">
        <v>117</v>
      </c>
      <c r="P119" s="125"/>
      <c r="Q119" s="126" t="s">
        <v>118</v>
      </c>
      <c r="S119" s="97"/>
      <c r="T119" s="125" t="s">
        <v>115</v>
      </c>
      <c r="U119" s="125"/>
      <c r="V119" s="125" t="s">
        <v>116</v>
      </c>
      <c r="W119" s="125"/>
      <c r="X119" s="125" t="s">
        <v>117</v>
      </c>
      <c r="Y119" s="125"/>
      <c r="Z119" s="126" t="s">
        <v>118</v>
      </c>
      <c r="AB119" s="97"/>
      <c r="AC119" s="125" t="s">
        <v>115</v>
      </c>
      <c r="AD119" s="125"/>
      <c r="AE119" s="125" t="s">
        <v>116</v>
      </c>
      <c r="AF119" s="125"/>
      <c r="AG119" s="125" t="s">
        <v>117</v>
      </c>
      <c r="AH119" s="125"/>
      <c r="AI119" s="126" t="s">
        <v>118</v>
      </c>
    </row>
    <row r="120" customFormat="false" ht="19.7" hidden="false" customHeight="false" outlineLevel="0" collapsed="false">
      <c r="A120" s="99"/>
      <c r="B120" s="127" t="s">
        <v>119</v>
      </c>
      <c r="C120" s="128" t="s">
        <v>120</v>
      </c>
      <c r="D120" s="127" t="s">
        <v>119</v>
      </c>
      <c r="E120" s="129" t="s">
        <v>120</v>
      </c>
      <c r="F120" s="127" t="s">
        <v>119</v>
      </c>
      <c r="G120" s="129" t="s">
        <v>120</v>
      </c>
      <c r="H120" s="130"/>
      <c r="J120" s="99"/>
      <c r="K120" s="127" t="s">
        <v>119</v>
      </c>
      <c r="L120" s="128" t="s">
        <v>120</v>
      </c>
      <c r="M120" s="127" t="s">
        <v>119</v>
      </c>
      <c r="N120" s="129" t="s">
        <v>120</v>
      </c>
      <c r="O120" s="127" t="s">
        <v>119</v>
      </c>
      <c r="P120" s="129" t="s">
        <v>120</v>
      </c>
      <c r="Q120" s="130"/>
      <c r="S120" s="99"/>
      <c r="T120" s="127" t="s">
        <v>119</v>
      </c>
      <c r="U120" s="128" t="s">
        <v>120</v>
      </c>
      <c r="V120" s="127" t="s">
        <v>119</v>
      </c>
      <c r="W120" s="129" t="s">
        <v>120</v>
      </c>
      <c r="X120" s="127" t="s">
        <v>119</v>
      </c>
      <c r="Y120" s="129" t="s">
        <v>120</v>
      </c>
      <c r="Z120" s="130"/>
      <c r="AB120" s="99"/>
      <c r="AC120" s="127" t="s">
        <v>119</v>
      </c>
      <c r="AD120" s="128" t="s">
        <v>120</v>
      </c>
      <c r="AE120" s="127" t="s">
        <v>119</v>
      </c>
      <c r="AF120" s="129" t="s">
        <v>120</v>
      </c>
      <c r="AG120" s="127" t="s">
        <v>119</v>
      </c>
      <c r="AH120" s="129" t="s">
        <v>120</v>
      </c>
      <c r="AI120" s="130"/>
    </row>
    <row r="121" customFormat="false" ht="17.35" hidden="false" customHeight="false" outlineLevel="0" collapsed="false">
      <c r="A121" s="48" t="s">
        <v>121</v>
      </c>
      <c r="B121" s="131" t="n">
        <f aca="false">B9</f>
        <v>23958.33</v>
      </c>
      <c r="C121" s="132" t="n">
        <v>25000</v>
      </c>
      <c r="D121" s="131" t="n">
        <f aca="false">D3</f>
        <v>0</v>
      </c>
      <c r="E121" s="132" t="n">
        <f aca="false">D121</f>
        <v>0</v>
      </c>
      <c r="F121" s="131" t="n">
        <f aca="false">B11</f>
        <v>0</v>
      </c>
      <c r="G121" s="132" t="n">
        <f aca="false">F121</f>
        <v>0</v>
      </c>
      <c r="H121" s="133" t="n">
        <f aca="false">H3</f>
        <v>0</v>
      </c>
      <c r="J121" s="48" t="s">
        <v>121</v>
      </c>
      <c r="K121" s="131" t="n">
        <f aca="false">B3</f>
        <v>0</v>
      </c>
      <c r="L121" s="132" t="n">
        <v>28629.17</v>
      </c>
      <c r="M121" s="131" t="n">
        <f aca="false">D3</f>
        <v>0</v>
      </c>
      <c r="N121" s="132" t="n">
        <f aca="false">M121</f>
        <v>0</v>
      </c>
      <c r="O121" s="131" t="str">
        <f aca="false">F3</f>
        <v> </v>
      </c>
      <c r="P121" s="132" t="str">
        <f aca="false">O121</f>
        <v> </v>
      </c>
      <c r="Q121" s="133" t="n">
        <f aca="false">H3</f>
        <v>0</v>
      </c>
      <c r="S121" s="48" t="s">
        <v>121</v>
      </c>
      <c r="T121" s="131" t="n">
        <f aca="false">B3</f>
        <v>0</v>
      </c>
      <c r="U121" s="132" t="n">
        <f aca="false">T121</f>
        <v>0</v>
      </c>
      <c r="V121" s="131" t="n">
        <f aca="false">D3</f>
        <v>0</v>
      </c>
      <c r="W121" s="132" t="n">
        <f aca="false">V121</f>
        <v>0</v>
      </c>
      <c r="X121" s="131" t="str">
        <f aca="false">F3</f>
        <v> </v>
      </c>
      <c r="Y121" s="132" t="str">
        <f aca="false">X121</f>
        <v> </v>
      </c>
      <c r="Z121" s="133" t="n">
        <f aca="false">H3</f>
        <v>0</v>
      </c>
      <c r="AB121" s="48" t="s">
        <v>121</v>
      </c>
      <c r="AC121" s="131" t="n">
        <f aca="false">B3</f>
        <v>0</v>
      </c>
      <c r="AD121" s="132" t="n">
        <f aca="false">AC121</f>
        <v>0</v>
      </c>
      <c r="AE121" s="131" t="n">
        <f aca="false">D3</f>
        <v>0</v>
      </c>
      <c r="AF121" s="132" t="n">
        <f aca="false">AE121</f>
        <v>0</v>
      </c>
      <c r="AG121" s="131" t="str">
        <f aca="false">F3</f>
        <v> </v>
      </c>
      <c r="AH121" s="132" t="str">
        <f aca="false">AG121</f>
        <v> </v>
      </c>
      <c r="AI121" s="133" t="n">
        <f aca="false">H3</f>
        <v>0</v>
      </c>
    </row>
    <row r="122" customFormat="false" ht="17.35" hidden="false" customHeight="false" outlineLevel="0" collapsed="false">
      <c r="A122" s="55" t="s">
        <v>122</v>
      </c>
      <c r="B122" s="134" t="n">
        <v>0</v>
      </c>
      <c r="C122" s="17" t="n">
        <v>0</v>
      </c>
      <c r="D122" s="134" t="n">
        <v>0</v>
      </c>
      <c r="E122" s="17" t="n">
        <v>0</v>
      </c>
      <c r="F122" s="134" t="n">
        <v>0</v>
      </c>
      <c r="G122" s="135" t="n">
        <v>0</v>
      </c>
      <c r="H122" s="18"/>
      <c r="J122" s="55" t="s">
        <v>122</v>
      </c>
      <c r="K122" s="134" t="n">
        <f aca="false">B4</f>
        <v>28749.996</v>
      </c>
      <c r="L122" s="17" t="n">
        <v>0</v>
      </c>
      <c r="M122" s="134" t="n">
        <f aca="false">D4</f>
        <v>0</v>
      </c>
      <c r="N122" s="17" t="n">
        <f aca="false">M122</f>
        <v>0</v>
      </c>
      <c r="O122" s="134" t="str">
        <f aca="false">F4</f>
        <v> </v>
      </c>
      <c r="P122" s="135" t="str">
        <f aca="false">O122</f>
        <v> </v>
      </c>
      <c r="Q122" s="18"/>
      <c r="S122" s="55" t="s">
        <v>122</v>
      </c>
      <c r="T122" s="134" t="n">
        <f aca="false">B4</f>
        <v>28749.996</v>
      </c>
      <c r="U122" s="17" t="n">
        <v>0.25</v>
      </c>
      <c r="V122" s="134" t="n">
        <f aca="false">D4</f>
        <v>0</v>
      </c>
      <c r="W122" s="17" t="n">
        <f aca="false">V122</f>
        <v>0</v>
      </c>
      <c r="X122" s="134" t="str">
        <f aca="false">F4</f>
        <v> </v>
      </c>
      <c r="Y122" s="135" t="str">
        <f aca="false">X122</f>
        <v> </v>
      </c>
      <c r="Z122" s="18"/>
      <c r="AB122" s="55" t="s">
        <v>122</v>
      </c>
      <c r="AC122" s="134" t="n">
        <f aca="false">B4</f>
        <v>28749.996</v>
      </c>
      <c r="AD122" s="17" t="n">
        <v>0.25</v>
      </c>
      <c r="AE122" s="134" t="n">
        <f aca="false">D4</f>
        <v>0</v>
      </c>
      <c r="AF122" s="17" t="n">
        <f aca="false">AE122</f>
        <v>0</v>
      </c>
      <c r="AG122" s="134" t="str">
        <f aca="false">F4</f>
        <v> </v>
      </c>
      <c r="AH122" s="135" t="str">
        <f aca="false">AG122</f>
        <v> </v>
      </c>
      <c r="AI122" s="18"/>
    </row>
    <row r="123" customFormat="false" ht="17.35" hidden="false" customHeight="false" outlineLevel="0" collapsed="false">
      <c r="A123" s="55" t="s">
        <v>123</v>
      </c>
      <c r="B123" s="136" t="n">
        <v>0</v>
      </c>
      <c r="C123" s="132" t="n">
        <v>0</v>
      </c>
      <c r="D123" s="136" t="n">
        <v>0</v>
      </c>
      <c r="E123" s="132" t="n">
        <v>0</v>
      </c>
      <c r="F123" s="136" t="n">
        <v>0</v>
      </c>
      <c r="G123" s="132" t="n">
        <v>0</v>
      </c>
      <c r="H123" s="20"/>
      <c r="J123" s="55" t="s">
        <v>123</v>
      </c>
      <c r="K123" s="136" t="n">
        <f aca="false">B5</f>
        <v>0</v>
      </c>
      <c r="L123" s="132" t="n">
        <v>0</v>
      </c>
      <c r="M123" s="136" t="n">
        <f aca="false">D5</f>
        <v>0</v>
      </c>
      <c r="N123" s="132" t="n">
        <f aca="false">M123</f>
        <v>0</v>
      </c>
      <c r="O123" s="136" t="str">
        <f aca="false">F5</f>
        <v> </v>
      </c>
      <c r="P123" s="132" t="str">
        <f aca="false">O123</f>
        <v> </v>
      </c>
      <c r="Q123" s="20"/>
      <c r="S123" s="55" t="s">
        <v>123</v>
      </c>
      <c r="T123" s="136" t="n">
        <f aca="false">B5</f>
        <v>0</v>
      </c>
      <c r="U123" s="132" t="n">
        <v>0</v>
      </c>
      <c r="V123" s="136" t="n">
        <f aca="false">D5</f>
        <v>0</v>
      </c>
      <c r="W123" s="132" t="n">
        <f aca="false">V123</f>
        <v>0</v>
      </c>
      <c r="X123" s="136" t="str">
        <f aca="false">F5</f>
        <v> </v>
      </c>
      <c r="Y123" s="132" t="str">
        <f aca="false">X123</f>
        <v> </v>
      </c>
      <c r="Z123" s="20"/>
      <c r="AB123" s="55" t="s">
        <v>123</v>
      </c>
      <c r="AC123" s="136" t="n">
        <f aca="false">B5</f>
        <v>0</v>
      </c>
      <c r="AD123" s="132" t="n">
        <v>0</v>
      </c>
      <c r="AE123" s="136" t="n">
        <f aca="false">D5</f>
        <v>0</v>
      </c>
      <c r="AF123" s="132" t="n">
        <f aca="false">AE123</f>
        <v>0</v>
      </c>
      <c r="AG123" s="136" t="str">
        <f aca="false">F5</f>
        <v> </v>
      </c>
      <c r="AH123" s="132" t="str">
        <f aca="false">AG123</f>
        <v> </v>
      </c>
      <c r="AI123" s="20"/>
    </row>
    <row r="124" customFormat="false" ht="17.35" hidden="false" customHeight="false" outlineLevel="0" collapsed="false">
      <c r="A124" s="55" t="s">
        <v>124</v>
      </c>
      <c r="B124" s="136" t="n">
        <f aca="false">(B121*B122)+B123</f>
        <v>0</v>
      </c>
      <c r="C124" s="137" t="n">
        <f aca="false">(C121*C122/100)+C123</f>
        <v>0</v>
      </c>
      <c r="D124" s="136" t="n">
        <f aca="false">(D121*D122)+D123</f>
        <v>0</v>
      </c>
      <c r="E124" s="137" t="n">
        <f aca="false">(E121*E122/100)+E123</f>
        <v>0</v>
      </c>
      <c r="F124" s="136" t="n">
        <f aca="false">(F121*F122)+F123</f>
        <v>0</v>
      </c>
      <c r="G124" s="137" t="n">
        <f aca="false">(G121*G122/100)+G123</f>
        <v>0</v>
      </c>
      <c r="H124" s="20"/>
      <c r="J124" s="55" t="s">
        <v>124</v>
      </c>
      <c r="K124" s="136" t="n">
        <f aca="false">(K121*K122)+K123</f>
        <v>0</v>
      </c>
      <c r="L124" s="137" t="n">
        <f aca="false">(L121*L122)+L123</f>
        <v>0</v>
      </c>
      <c r="M124" s="136" t="n">
        <f aca="false">(M121*M122)+M123</f>
        <v>0</v>
      </c>
      <c r="N124" s="137" t="n">
        <f aca="false">(N121*N122)+N123</f>
        <v>0</v>
      </c>
      <c r="O124" s="136" t="e">
        <f aca="false">(O121*O122)+O123</f>
        <v>#VALUE!</v>
      </c>
      <c r="P124" s="137" t="e">
        <f aca="false">(P121*P122)+P123</f>
        <v>#VALUE!</v>
      </c>
      <c r="Q124" s="20"/>
      <c r="S124" s="55" t="s">
        <v>124</v>
      </c>
      <c r="T124" s="136" t="n">
        <f aca="false">(T121*T122)+T123</f>
        <v>0</v>
      </c>
      <c r="U124" s="137" t="n">
        <f aca="false">(U121*U122)+U123</f>
        <v>0</v>
      </c>
      <c r="V124" s="136" t="n">
        <f aca="false">(V121*V122)+V123</f>
        <v>0</v>
      </c>
      <c r="W124" s="137" t="n">
        <f aca="false">(W121*W122)+W123</f>
        <v>0</v>
      </c>
      <c r="X124" s="136" t="e">
        <f aca="false">(X121*X122)+X123</f>
        <v>#VALUE!</v>
      </c>
      <c r="Y124" s="137" t="e">
        <f aca="false">(Y121*Y122)+Y123</f>
        <v>#VALUE!</v>
      </c>
      <c r="Z124" s="20"/>
      <c r="AB124" s="55" t="s">
        <v>124</v>
      </c>
      <c r="AC124" s="136" t="n">
        <f aca="false">(AC121*AC122)+AC123</f>
        <v>0</v>
      </c>
      <c r="AD124" s="137" t="n">
        <f aca="false">(AD121*AD122)+AD123</f>
        <v>0</v>
      </c>
      <c r="AE124" s="136" t="n">
        <f aca="false">(AE121*AE122)+AE123</f>
        <v>0</v>
      </c>
      <c r="AF124" s="137" t="n">
        <f aca="false">(AF121*AF122)+AF123</f>
        <v>0</v>
      </c>
      <c r="AG124" s="136" t="e">
        <f aca="false">(AG121*AG122)+AG123</f>
        <v>#VALUE!</v>
      </c>
      <c r="AH124" s="137" t="e">
        <f aca="false">(AH121*AH122)+AH123</f>
        <v>#VALUE!</v>
      </c>
      <c r="AI124" s="20"/>
    </row>
    <row r="125" customFormat="false" ht="17.35" hidden="false" customHeight="false" outlineLevel="0" collapsed="false">
      <c r="A125" s="74" t="s">
        <v>125</v>
      </c>
      <c r="B125" s="138" t="n">
        <f aca="false">B121-B124</f>
        <v>23958.33</v>
      </c>
      <c r="C125" s="139" t="n">
        <f aca="false">C121-C124</f>
        <v>25833.33</v>
      </c>
      <c r="D125" s="138" t="n">
        <f aca="false">D121-D124</f>
        <v>0</v>
      </c>
      <c r="E125" s="139" t="n">
        <f aca="false">E121-E124</f>
        <v>0</v>
      </c>
      <c r="F125" s="138" t="n">
        <f aca="false">F121-F124</f>
        <v>0</v>
      </c>
      <c r="G125" s="139" t="n">
        <f aca="false">G121-G124</f>
        <v>0</v>
      </c>
      <c r="H125" s="82"/>
      <c r="J125" s="74" t="s">
        <v>125</v>
      </c>
      <c r="K125" s="138" t="n">
        <f aca="false">K121-K124</f>
        <v>0</v>
      </c>
      <c r="L125" s="139" t="n">
        <f aca="false">L121-L124</f>
        <v>28629.17</v>
      </c>
      <c r="M125" s="138" t="n">
        <f aca="false">M121-M124</f>
        <v>0</v>
      </c>
      <c r="N125" s="139" t="n">
        <f aca="false">N121-N124</f>
        <v>0</v>
      </c>
      <c r="O125" s="138" t="e">
        <f aca="false">O121-O124</f>
        <v>#VALUE!</v>
      </c>
      <c r="P125" s="139" t="e">
        <f aca="false">P121-P124</f>
        <v>#VALUE!</v>
      </c>
      <c r="Q125" s="82"/>
      <c r="S125" s="74" t="s">
        <v>125</v>
      </c>
      <c r="T125" s="138" t="n">
        <f aca="false">T121-T124</f>
        <v>0</v>
      </c>
      <c r="U125" s="139" t="n">
        <f aca="false">U121-U124</f>
        <v>0</v>
      </c>
      <c r="V125" s="138" t="n">
        <f aca="false">V121-V124</f>
        <v>0</v>
      </c>
      <c r="W125" s="139" t="n">
        <f aca="false">W121-W124</f>
        <v>0</v>
      </c>
      <c r="X125" s="138" t="e">
        <f aca="false">X121-X124</f>
        <v>#VALUE!</v>
      </c>
      <c r="Y125" s="139" t="e">
        <f aca="false">Y121-Y124</f>
        <v>#VALUE!</v>
      </c>
      <c r="Z125" s="82"/>
      <c r="AB125" s="74" t="s">
        <v>125</v>
      </c>
      <c r="AC125" s="138" t="n">
        <f aca="false">AC121-AC124</f>
        <v>0</v>
      </c>
      <c r="AD125" s="139" t="n">
        <f aca="false">AD121-AD124</f>
        <v>0</v>
      </c>
      <c r="AE125" s="138" t="n">
        <f aca="false">AE121-AE124</f>
        <v>0</v>
      </c>
      <c r="AF125" s="139" t="n">
        <f aca="false">AF121-AF124</f>
        <v>0</v>
      </c>
      <c r="AG125" s="138" t="e">
        <f aca="false">AG121-AG124</f>
        <v>#VALUE!</v>
      </c>
      <c r="AH125" s="139" t="e">
        <f aca="false">AH121-AH124</f>
        <v>#VALUE!</v>
      </c>
      <c r="AI125" s="82"/>
    </row>
    <row r="126" customFormat="false" ht="17.35" hidden="false" customHeight="false" outlineLevel="0" collapsed="false">
      <c r="A126" s="55"/>
      <c r="B126" s="25"/>
      <c r="C126" s="25"/>
      <c r="D126" s="25"/>
      <c r="E126" s="25"/>
      <c r="F126" s="25"/>
      <c r="G126" s="25"/>
      <c r="H126" s="20"/>
      <c r="J126" s="55"/>
      <c r="K126" s="25"/>
      <c r="L126" s="25"/>
      <c r="M126" s="25"/>
      <c r="N126" s="25"/>
      <c r="O126" s="25"/>
      <c r="P126" s="25"/>
      <c r="Q126" s="20"/>
      <c r="S126" s="55"/>
      <c r="T126" s="25"/>
      <c r="U126" s="25"/>
      <c r="V126" s="25"/>
      <c r="W126" s="25"/>
      <c r="X126" s="25"/>
      <c r="Y126" s="25"/>
      <c r="Z126" s="20"/>
      <c r="AB126" s="55"/>
      <c r="AC126" s="25"/>
      <c r="AD126" s="25"/>
      <c r="AE126" s="25"/>
      <c r="AF126" s="25"/>
      <c r="AG126" s="25"/>
      <c r="AH126" s="25"/>
      <c r="AI126" s="20"/>
    </row>
    <row r="127" customFormat="false" ht="19.7" hidden="false" customHeight="false" outlineLevel="0" collapsed="false">
      <c r="A127" s="140"/>
      <c r="B127" s="141"/>
      <c r="C127" s="141"/>
      <c r="D127" s="141"/>
      <c r="E127" s="141"/>
      <c r="F127" s="141"/>
      <c r="G127" s="29" t="s">
        <v>119</v>
      </c>
      <c r="H127" s="142" t="s">
        <v>120</v>
      </c>
      <c r="J127" s="140"/>
      <c r="K127" s="141"/>
      <c r="L127" s="141"/>
      <c r="M127" s="141"/>
      <c r="N127" s="141"/>
      <c r="O127" s="141"/>
      <c r="P127" s="29" t="s">
        <v>119</v>
      </c>
      <c r="Q127" s="142" t="s">
        <v>120</v>
      </c>
      <c r="S127" s="140"/>
      <c r="T127" s="141"/>
      <c r="U127" s="141"/>
      <c r="V127" s="141"/>
      <c r="W127" s="141"/>
      <c r="X127" s="141"/>
      <c r="Y127" s="29" t="s">
        <v>119</v>
      </c>
      <c r="Z127" s="142" t="s">
        <v>120</v>
      </c>
      <c r="AB127" s="140"/>
      <c r="AC127" s="141"/>
      <c r="AD127" s="141"/>
      <c r="AE127" s="141"/>
      <c r="AF127" s="141"/>
      <c r="AG127" s="141"/>
      <c r="AH127" s="29" t="s">
        <v>119</v>
      </c>
      <c r="AI127" s="142" t="s">
        <v>120</v>
      </c>
    </row>
    <row r="128" customFormat="false" ht="17.35" hidden="false" customHeight="false" outlineLevel="0" collapsed="false">
      <c r="A128" s="143" t="s">
        <v>126</v>
      </c>
      <c r="B128" s="144"/>
      <c r="C128" s="144"/>
      <c r="D128" s="144"/>
      <c r="E128" s="144"/>
      <c r="F128" s="144"/>
      <c r="G128" s="145" t="n">
        <f aca="false">H121</f>
        <v>0</v>
      </c>
      <c r="H128" s="146" t="n">
        <f aca="false">SUM(H131:H133)</f>
        <v>0</v>
      </c>
      <c r="J128" s="143" t="s">
        <v>126</v>
      </c>
      <c r="K128" s="144"/>
      <c r="L128" s="144"/>
      <c r="M128" s="144"/>
      <c r="N128" s="144"/>
      <c r="O128" s="144"/>
      <c r="P128" s="145" t="n">
        <f aca="false">Q121</f>
        <v>0</v>
      </c>
      <c r="Q128" s="146" t="n">
        <f aca="false">SUM(Q131:Q133)</f>
        <v>0</v>
      </c>
      <c r="S128" s="143" t="s">
        <v>126</v>
      </c>
      <c r="T128" s="144"/>
      <c r="U128" s="144"/>
      <c r="V128" s="144"/>
      <c r="W128" s="144"/>
      <c r="X128" s="144"/>
      <c r="Y128" s="145" t="n">
        <f aca="false">Z121</f>
        <v>0</v>
      </c>
      <c r="Z128" s="146" t="n">
        <f aca="false">SUM(Z131:Z133)</f>
        <v>0</v>
      </c>
      <c r="AB128" s="143" t="s">
        <v>126</v>
      </c>
      <c r="AC128" s="144"/>
      <c r="AD128" s="144"/>
      <c r="AE128" s="144"/>
      <c r="AF128" s="144"/>
      <c r="AG128" s="144"/>
      <c r="AH128" s="145" t="n">
        <f aca="false">AI121</f>
        <v>0</v>
      </c>
      <c r="AI128" s="146" t="n">
        <f aca="false">SUM(AI131:AI133)</f>
        <v>0</v>
      </c>
    </row>
    <row r="129" customFormat="false" ht="17.35" hidden="false" customHeight="false" outlineLevel="0" collapsed="false">
      <c r="A129" s="55"/>
      <c r="B129" s="25"/>
      <c r="C129" s="25"/>
      <c r="D129" s="25"/>
      <c r="E129" s="25"/>
      <c r="F129" s="25"/>
      <c r="G129" s="147"/>
      <c r="H129" s="148"/>
      <c r="J129" s="55"/>
      <c r="K129" s="25"/>
      <c r="L129" s="25"/>
      <c r="M129" s="25"/>
      <c r="N129" s="25"/>
      <c r="O129" s="25"/>
      <c r="P129" s="147"/>
      <c r="Q129" s="148"/>
      <c r="S129" s="55"/>
      <c r="T129" s="25"/>
      <c r="U129" s="25"/>
      <c r="V129" s="25"/>
      <c r="W129" s="25"/>
      <c r="X129" s="25"/>
      <c r="Y129" s="147"/>
      <c r="Z129" s="148"/>
      <c r="AB129" s="55"/>
      <c r="AC129" s="25"/>
      <c r="AD129" s="25"/>
      <c r="AE129" s="25"/>
      <c r="AF129" s="25"/>
      <c r="AG129" s="25"/>
      <c r="AH129" s="147"/>
      <c r="AI129" s="148"/>
    </row>
    <row r="130" customFormat="false" ht="17.35" hidden="false" customHeight="false" outlineLevel="0" collapsed="false">
      <c r="A130" s="149" t="s">
        <v>127</v>
      </c>
      <c r="B130" s="147" t="s">
        <v>128</v>
      </c>
      <c r="C130" s="147"/>
      <c r="D130" s="147" t="s">
        <v>129</v>
      </c>
      <c r="E130" s="147"/>
      <c r="F130" s="147" t="s">
        <v>123</v>
      </c>
      <c r="G130" s="147"/>
      <c r="H130" s="148" t="s">
        <v>120</v>
      </c>
      <c r="J130" s="149" t="s">
        <v>127</v>
      </c>
      <c r="K130" s="147" t="s">
        <v>128</v>
      </c>
      <c r="L130" s="147"/>
      <c r="M130" s="147" t="s">
        <v>129</v>
      </c>
      <c r="N130" s="147"/>
      <c r="O130" s="147" t="s">
        <v>123</v>
      </c>
      <c r="P130" s="147"/>
      <c r="Q130" s="148" t="s">
        <v>120</v>
      </c>
      <c r="S130" s="149" t="s">
        <v>127</v>
      </c>
      <c r="T130" s="147" t="s">
        <v>128</v>
      </c>
      <c r="U130" s="147"/>
      <c r="V130" s="147" t="s">
        <v>129</v>
      </c>
      <c r="W130" s="147"/>
      <c r="X130" s="147" t="s">
        <v>123</v>
      </c>
      <c r="Y130" s="147"/>
      <c r="Z130" s="148" t="s">
        <v>120</v>
      </c>
      <c r="AB130" s="149" t="s">
        <v>127</v>
      </c>
      <c r="AC130" s="147" t="s">
        <v>128</v>
      </c>
      <c r="AD130" s="147"/>
      <c r="AE130" s="147" t="s">
        <v>129</v>
      </c>
      <c r="AF130" s="147"/>
      <c r="AG130" s="147" t="s">
        <v>123</v>
      </c>
      <c r="AH130" s="147"/>
      <c r="AI130" s="148" t="s">
        <v>120</v>
      </c>
    </row>
    <row r="131" customFormat="false" ht="17.35" hidden="false" customHeight="false" outlineLevel="0" collapsed="false">
      <c r="A131" s="55" t="s">
        <v>130</v>
      </c>
      <c r="B131" s="150" t="n">
        <f aca="false">G128</f>
        <v>0</v>
      </c>
      <c r="C131" s="150"/>
      <c r="D131" s="151" t="n">
        <v>0</v>
      </c>
      <c r="E131" s="151"/>
      <c r="F131" s="150" t="n">
        <v>0</v>
      </c>
      <c r="G131" s="150"/>
      <c r="H131" s="152" t="n">
        <f aca="false">(B131-(B131*D131))-F131</f>
        <v>0</v>
      </c>
      <c r="J131" s="55" t="s">
        <v>130</v>
      </c>
      <c r="K131" s="150" t="n">
        <f aca="false">P128</f>
        <v>0</v>
      </c>
      <c r="L131" s="150"/>
      <c r="M131" s="151" t="n">
        <v>0</v>
      </c>
      <c r="N131" s="151"/>
      <c r="O131" s="150" t="n">
        <v>0</v>
      </c>
      <c r="P131" s="150"/>
      <c r="Q131" s="152" t="n">
        <f aca="false">(K131-(K131*M131))-O131</f>
        <v>0</v>
      </c>
      <c r="S131" s="55" t="s">
        <v>130</v>
      </c>
      <c r="T131" s="150" t="n">
        <f aca="false">Y128</f>
        <v>0</v>
      </c>
      <c r="U131" s="150"/>
      <c r="V131" s="151" t="n">
        <v>0</v>
      </c>
      <c r="W131" s="151"/>
      <c r="X131" s="150" t="n">
        <v>0</v>
      </c>
      <c r="Y131" s="150"/>
      <c r="Z131" s="152" t="n">
        <f aca="false">(T131-(T131*V131))-X131</f>
        <v>0</v>
      </c>
      <c r="AB131" s="55" t="s">
        <v>130</v>
      </c>
      <c r="AC131" s="150" t="n">
        <f aca="false">AH128</f>
        <v>0</v>
      </c>
      <c r="AD131" s="150"/>
      <c r="AE131" s="151" t="n">
        <v>0</v>
      </c>
      <c r="AF131" s="151"/>
      <c r="AG131" s="150" t="n">
        <v>0</v>
      </c>
      <c r="AH131" s="150"/>
      <c r="AI131" s="152" t="n">
        <f aca="false">(AC131-(AC131*AE131))-AG131</f>
        <v>0</v>
      </c>
    </row>
    <row r="132" customFormat="false" ht="17.35" hidden="false" customHeight="false" outlineLevel="0" collapsed="false">
      <c r="A132" s="55" t="s">
        <v>131</v>
      </c>
      <c r="B132" s="150" t="n">
        <v>0</v>
      </c>
      <c r="C132" s="150"/>
      <c r="D132" s="151" t="n">
        <v>0</v>
      </c>
      <c r="E132" s="151"/>
      <c r="F132" s="150" t="n">
        <v>0</v>
      </c>
      <c r="G132" s="150"/>
      <c r="H132" s="152" t="n">
        <f aca="false">(B132-(B132*D132))-F132</f>
        <v>0</v>
      </c>
      <c r="J132" s="55" t="s">
        <v>131</v>
      </c>
      <c r="K132" s="150" t="n">
        <v>0</v>
      </c>
      <c r="L132" s="150"/>
      <c r="M132" s="151" t="n">
        <v>0</v>
      </c>
      <c r="N132" s="151"/>
      <c r="O132" s="150" t="n">
        <v>0</v>
      </c>
      <c r="P132" s="150"/>
      <c r="Q132" s="152" t="n">
        <f aca="false">(K132-(K132*M132))-O132</f>
        <v>0</v>
      </c>
      <c r="S132" s="55" t="s">
        <v>131</v>
      </c>
      <c r="T132" s="150" t="n">
        <v>0</v>
      </c>
      <c r="U132" s="150"/>
      <c r="V132" s="151" t="n">
        <v>0</v>
      </c>
      <c r="W132" s="151"/>
      <c r="X132" s="150" t="n">
        <v>0</v>
      </c>
      <c r="Y132" s="150"/>
      <c r="Z132" s="152" t="n">
        <f aca="false">(T132-(T132*V132))-X132</f>
        <v>0</v>
      </c>
      <c r="AB132" s="55" t="s">
        <v>131</v>
      </c>
      <c r="AC132" s="150" t="n">
        <v>0</v>
      </c>
      <c r="AD132" s="150"/>
      <c r="AE132" s="151" t="n">
        <v>0</v>
      </c>
      <c r="AF132" s="151"/>
      <c r="AG132" s="150" t="n">
        <v>0</v>
      </c>
      <c r="AH132" s="150"/>
      <c r="AI132" s="152" t="n">
        <f aca="false">(AC132-(AC132*AE132))-AG132</f>
        <v>0</v>
      </c>
    </row>
    <row r="133" customFormat="false" ht="17.35" hidden="false" customHeight="false" outlineLevel="0" collapsed="false">
      <c r="A133" s="55" t="s">
        <v>132</v>
      </c>
      <c r="B133" s="150" t="n">
        <v>0</v>
      </c>
      <c r="C133" s="150"/>
      <c r="D133" s="151" t="n">
        <v>0</v>
      </c>
      <c r="E133" s="151"/>
      <c r="F133" s="150" t="n">
        <v>0</v>
      </c>
      <c r="G133" s="150"/>
      <c r="H133" s="152" t="n">
        <f aca="false">(B133-(B133*D133))-F133</f>
        <v>0</v>
      </c>
      <c r="J133" s="55" t="s">
        <v>132</v>
      </c>
      <c r="K133" s="150" t="n">
        <v>0</v>
      </c>
      <c r="L133" s="150"/>
      <c r="M133" s="151" t="n">
        <v>0</v>
      </c>
      <c r="N133" s="151"/>
      <c r="O133" s="150" t="n">
        <v>0</v>
      </c>
      <c r="P133" s="150"/>
      <c r="Q133" s="152" t="n">
        <f aca="false">(K133-(K133*M133))-O133</f>
        <v>0</v>
      </c>
      <c r="S133" s="55" t="s">
        <v>132</v>
      </c>
      <c r="T133" s="150" t="n">
        <v>0</v>
      </c>
      <c r="U133" s="150"/>
      <c r="V133" s="151" t="n">
        <v>0</v>
      </c>
      <c r="W133" s="151"/>
      <c r="X133" s="150" t="n">
        <v>0</v>
      </c>
      <c r="Y133" s="150"/>
      <c r="Z133" s="152" t="n">
        <f aca="false">(T133-(T133*V133))-X133</f>
        <v>0</v>
      </c>
      <c r="AB133" s="55" t="s">
        <v>132</v>
      </c>
      <c r="AC133" s="150" t="n">
        <v>0</v>
      </c>
      <c r="AD133" s="150"/>
      <c r="AE133" s="151" t="n">
        <v>0</v>
      </c>
      <c r="AF133" s="151"/>
      <c r="AG133" s="150" t="n">
        <v>0</v>
      </c>
      <c r="AH133" s="150"/>
      <c r="AI133" s="152" t="n">
        <f aca="false">(AC133-(AC133*AE133))-AG133</f>
        <v>0</v>
      </c>
    </row>
    <row r="134" customFormat="false" ht="17.35" hidden="false" customHeight="false" outlineLevel="0" collapsed="false">
      <c r="A134" s="55"/>
      <c r="B134" s="25"/>
      <c r="C134" s="25"/>
      <c r="D134" s="25"/>
      <c r="E134" s="25"/>
      <c r="F134" s="25"/>
      <c r="G134" s="147"/>
      <c r="H134" s="148"/>
      <c r="J134" s="55"/>
      <c r="K134" s="25"/>
      <c r="L134" s="25"/>
      <c r="M134" s="25"/>
      <c r="N134" s="25"/>
      <c r="O134" s="25"/>
      <c r="P134" s="147"/>
      <c r="Q134" s="148"/>
      <c r="S134" s="55"/>
      <c r="T134" s="25"/>
      <c r="U134" s="25"/>
      <c r="V134" s="25"/>
      <c r="W134" s="25"/>
      <c r="X134" s="25"/>
      <c r="Y134" s="147"/>
      <c r="Z134" s="148"/>
      <c r="AB134" s="55"/>
      <c r="AC134" s="25"/>
      <c r="AD134" s="25"/>
      <c r="AE134" s="25"/>
      <c r="AF134" s="25"/>
      <c r="AG134" s="25"/>
      <c r="AH134" s="147"/>
      <c r="AI134" s="148"/>
    </row>
    <row r="135" customFormat="false" ht="19.7" hidden="false" customHeight="false" outlineLevel="0" collapsed="false">
      <c r="A135" s="153" t="s">
        <v>133</v>
      </c>
      <c r="B135" s="153"/>
      <c r="C135" s="153"/>
      <c r="D135" s="153"/>
      <c r="E135" s="153"/>
      <c r="F135" s="153"/>
      <c r="G135" s="29" t="n">
        <f aca="false">B121</f>
        <v>23958.33</v>
      </c>
      <c r="H135" s="154" t="n">
        <f aca="false">C125+E125+G125+H128</f>
        <v>25833.33</v>
      </c>
      <c r="J135" s="153" t="s">
        <v>133</v>
      </c>
      <c r="K135" s="153"/>
      <c r="L135" s="153"/>
      <c r="M135" s="153"/>
      <c r="N135" s="153"/>
      <c r="O135" s="153"/>
      <c r="P135" s="29" t="n">
        <f aca="false">H9</f>
        <v>0</v>
      </c>
      <c r="Q135" s="154" t="e">
        <f aca="false">L125+N125+P125+Q128</f>
        <v>#VALUE!</v>
      </c>
      <c r="S135" s="153" t="s">
        <v>133</v>
      </c>
      <c r="T135" s="153"/>
      <c r="U135" s="153"/>
      <c r="V135" s="153"/>
      <c r="W135" s="153"/>
      <c r="X135" s="153"/>
      <c r="Y135" s="29" t="n">
        <f aca="false">H9</f>
        <v>0</v>
      </c>
      <c r="Z135" s="154" t="e">
        <f aca="false">U125+W125+Y125+Z128</f>
        <v>#VALUE!</v>
      </c>
      <c r="AB135" s="153" t="s">
        <v>133</v>
      </c>
      <c r="AC135" s="153"/>
      <c r="AD135" s="153"/>
      <c r="AE135" s="153"/>
      <c r="AF135" s="153"/>
      <c r="AG135" s="153"/>
      <c r="AH135" s="29" t="n">
        <f aca="false">H9</f>
        <v>0</v>
      </c>
      <c r="AI135" s="154" t="e">
        <f aca="false">AD125+AF125+AH125+AI128</f>
        <v>#VALUE!</v>
      </c>
    </row>
    <row r="136" customFormat="false" ht="17.35" hidden="false" customHeight="false" outlineLevel="0" collapsed="false">
      <c r="A136" s="155" t="s">
        <v>134</v>
      </c>
      <c r="B136" s="155"/>
      <c r="C136" s="155"/>
      <c r="D136" s="155"/>
      <c r="E136" s="155"/>
      <c r="F136" s="155"/>
      <c r="G136" s="21" t="n">
        <f aca="false">H10</f>
        <v>0</v>
      </c>
      <c r="H136" s="20" t="n">
        <f aca="false">G136</f>
        <v>0</v>
      </c>
      <c r="J136" s="155" t="s">
        <v>134</v>
      </c>
      <c r="K136" s="155"/>
      <c r="L136" s="155"/>
      <c r="M136" s="155"/>
      <c r="N136" s="155"/>
      <c r="O136" s="155"/>
      <c r="P136" s="21" t="n">
        <f aca="false">H10</f>
        <v>0</v>
      </c>
      <c r="Q136" s="20" t="n">
        <f aca="false">P136</f>
        <v>0</v>
      </c>
      <c r="S136" s="155" t="s">
        <v>134</v>
      </c>
      <c r="T136" s="155"/>
      <c r="U136" s="155"/>
      <c r="V136" s="155"/>
      <c r="W136" s="155"/>
      <c r="X136" s="155"/>
      <c r="Y136" s="21" t="n">
        <f aca="false">H10</f>
        <v>0</v>
      </c>
      <c r="Z136" s="20" t="n">
        <f aca="false">Y136</f>
        <v>0</v>
      </c>
      <c r="AB136" s="155" t="s">
        <v>134</v>
      </c>
      <c r="AC136" s="155"/>
      <c r="AD136" s="155"/>
      <c r="AE136" s="155"/>
      <c r="AF136" s="155"/>
      <c r="AG136" s="155"/>
      <c r="AH136" s="21" t="n">
        <f aca="false">H10</f>
        <v>0</v>
      </c>
      <c r="AI136" s="20" t="n">
        <f aca="false">AH136</f>
        <v>0</v>
      </c>
    </row>
    <row r="137" customFormat="false" ht="17.35" hidden="false" customHeight="false" outlineLevel="0" collapsed="false">
      <c r="A137" s="155" t="s">
        <v>135</v>
      </c>
      <c r="B137" s="155"/>
      <c r="C137" s="155"/>
      <c r="D137" s="155"/>
      <c r="E137" s="155"/>
      <c r="F137" s="155"/>
      <c r="G137" s="20" t="n">
        <f aca="false">(G135+G136)*20%</f>
        <v>4791.666</v>
      </c>
      <c r="H137" s="20" t="n">
        <f aca="false">(H135+H136)*20%</f>
        <v>5166.666</v>
      </c>
      <c r="J137" s="155" t="s">
        <v>135</v>
      </c>
      <c r="K137" s="155"/>
      <c r="L137" s="155"/>
      <c r="M137" s="155"/>
      <c r="N137" s="155"/>
      <c r="O137" s="155"/>
      <c r="P137" s="21" t="n">
        <f aca="false">H11</f>
        <v>0</v>
      </c>
      <c r="Q137" s="20" t="e">
        <f aca="false">(Q135+Q136)*20%</f>
        <v>#VALUE!</v>
      </c>
      <c r="S137" s="155" t="s">
        <v>135</v>
      </c>
      <c r="T137" s="155"/>
      <c r="U137" s="155"/>
      <c r="V137" s="155"/>
      <c r="W137" s="155"/>
      <c r="X137" s="155"/>
      <c r="Y137" s="21" t="n">
        <f aca="false">H11</f>
        <v>0</v>
      </c>
      <c r="Z137" s="20" t="e">
        <f aca="false">(Z135+Z136)*20%</f>
        <v>#VALUE!</v>
      </c>
      <c r="AB137" s="155" t="s">
        <v>135</v>
      </c>
      <c r="AC137" s="155"/>
      <c r="AD137" s="155"/>
      <c r="AE137" s="155"/>
      <c r="AF137" s="155"/>
      <c r="AG137" s="155"/>
      <c r="AH137" s="21" t="n">
        <f aca="false">H11</f>
        <v>0</v>
      </c>
      <c r="AI137" s="20" t="e">
        <f aca="false">(AI135+AI136)*20%</f>
        <v>#VALUE!</v>
      </c>
    </row>
    <row r="138" customFormat="false" ht="17.35" hidden="false" customHeight="false" outlineLevel="0" collapsed="false">
      <c r="A138" s="155" t="s">
        <v>136</v>
      </c>
      <c r="B138" s="155"/>
      <c r="C138" s="155"/>
      <c r="D138" s="155"/>
      <c r="E138" s="155"/>
      <c r="F138" s="155"/>
      <c r="G138" s="21" t="n">
        <f aca="false">H12</f>
        <v>0</v>
      </c>
      <c r="H138" s="20" t="n">
        <v>0</v>
      </c>
      <c r="J138" s="155" t="s">
        <v>136</v>
      </c>
      <c r="K138" s="155"/>
      <c r="L138" s="155"/>
      <c r="M138" s="155"/>
      <c r="N138" s="155"/>
      <c r="O138" s="155"/>
      <c r="P138" s="21" t="n">
        <f aca="false">H12</f>
        <v>0</v>
      </c>
      <c r="Q138" s="20" t="n">
        <f aca="false">P138</f>
        <v>0</v>
      </c>
      <c r="S138" s="155" t="s">
        <v>136</v>
      </c>
      <c r="T138" s="155"/>
      <c r="U138" s="155"/>
      <c r="V138" s="155"/>
      <c r="W138" s="155"/>
      <c r="X138" s="155"/>
      <c r="Y138" s="21" t="n">
        <f aca="false">H12</f>
        <v>0</v>
      </c>
      <c r="Z138" s="20" t="n">
        <f aca="false">Y138</f>
        <v>0</v>
      </c>
      <c r="AB138" s="155" t="s">
        <v>136</v>
      </c>
      <c r="AC138" s="155"/>
      <c r="AD138" s="155"/>
      <c r="AE138" s="155"/>
      <c r="AF138" s="155"/>
      <c r="AG138" s="155"/>
      <c r="AH138" s="21" t="n">
        <f aca="false">H12</f>
        <v>0</v>
      </c>
      <c r="AI138" s="20" t="n">
        <f aca="false">AH138</f>
        <v>0</v>
      </c>
    </row>
    <row r="139" customFormat="false" ht="17.35" hidden="false" customHeight="false" outlineLevel="0" collapsed="false">
      <c r="A139" s="155" t="s">
        <v>137</v>
      </c>
      <c r="B139" s="155"/>
      <c r="C139" s="155"/>
      <c r="D139" s="155"/>
      <c r="E139" s="155"/>
      <c r="F139" s="155"/>
      <c r="G139" s="21" t="n">
        <f aca="false">H13</f>
        <v>0</v>
      </c>
      <c r="H139" s="20" t="n">
        <f aca="false">G139</f>
        <v>0</v>
      </c>
      <c r="J139" s="155" t="s">
        <v>137</v>
      </c>
      <c r="K139" s="155"/>
      <c r="L139" s="155"/>
      <c r="M139" s="155"/>
      <c r="N139" s="155"/>
      <c r="O139" s="155"/>
      <c r="P139" s="21" t="n">
        <f aca="false">H13</f>
        <v>0</v>
      </c>
      <c r="Q139" s="20" t="n">
        <f aca="false">P139</f>
        <v>0</v>
      </c>
      <c r="S139" s="155" t="s">
        <v>137</v>
      </c>
      <c r="T139" s="155"/>
      <c r="U139" s="155"/>
      <c r="V139" s="155"/>
      <c r="W139" s="155"/>
      <c r="X139" s="155"/>
      <c r="Y139" s="21" t="n">
        <f aca="false">H13</f>
        <v>0</v>
      </c>
      <c r="Z139" s="20" t="n">
        <f aca="false">Y139</f>
        <v>0</v>
      </c>
      <c r="AB139" s="155" t="s">
        <v>137</v>
      </c>
      <c r="AC139" s="155"/>
      <c r="AD139" s="155"/>
      <c r="AE139" s="155"/>
      <c r="AF139" s="155"/>
      <c r="AG139" s="155"/>
      <c r="AH139" s="21" t="n">
        <f aca="false">H13</f>
        <v>0</v>
      </c>
      <c r="AI139" s="20" t="n">
        <f aca="false">AH139</f>
        <v>0</v>
      </c>
    </row>
    <row r="140" customFormat="false" ht="17.35" hidden="false" customHeight="false" outlineLevel="0" collapsed="false">
      <c r="A140" s="155" t="s">
        <v>138</v>
      </c>
      <c r="B140" s="155"/>
      <c r="C140" s="155"/>
      <c r="D140" s="155"/>
      <c r="E140" s="155"/>
      <c r="F140" s="155"/>
      <c r="G140" s="21" t="n">
        <f aca="false">H14</f>
        <v>0</v>
      </c>
      <c r="H140" s="20" t="n">
        <v>0</v>
      </c>
      <c r="J140" s="155" t="s">
        <v>138</v>
      </c>
      <c r="K140" s="155"/>
      <c r="L140" s="155"/>
      <c r="M140" s="155"/>
      <c r="N140" s="155"/>
      <c r="O140" s="155"/>
      <c r="P140" s="21" t="n">
        <f aca="false">H14</f>
        <v>0</v>
      </c>
      <c r="Q140" s="20" t="n">
        <v>55</v>
      </c>
      <c r="S140" s="155" t="s">
        <v>138</v>
      </c>
      <c r="T140" s="155"/>
      <c r="U140" s="155"/>
      <c r="V140" s="155"/>
      <c r="W140" s="155"/>
      <c r="X140" s="155"/>
      <c r="Y140" s="21" t="n">
        <f aca="false">H14</f>
        <v>0</v>
      </c>
      <c r="Z140" s="20" t="n">
        <v>55</v>
      </c>
      <c r="AB140" s="155" t="s">
        <v>138</v>
      </c>
      <c r="AC140" s="155"/>
      <c r="AD140" s="155"/>
      <c r="AE140" s="155"/>
      <c r="AF140" s="155"/>
      <c r="AG140" s="155"/>
      <c r="AH140" s="21" t="n">
        <f aca="false">H14</f>
        <v>0</v>
      </c>
      <c r="AI140" s="20" t="n">
        <v>55</v>
      </c>
    </row>
    <row r="141" customFormat="false" ht="19.7" hidden="false" customHeight="false" outlineLevel="0" collapsed="false">
      <c r="A141" s="155" t="s">
        <v>139</v>
      </c>
      <c r="B141" s="155"/>
      <c r="C141" s="155"/>
      <c r="D141" s="155"/>
      <c r="E141" s="155"/>
      <c r="F141" s="155"/>
      <c r="G141" s="156" t="n">
        <f aca="false">(G135+G136+G139+G140+G137)-G138</f>
        <v>28749.996</v>
      </c>
      <c r="H141" s="156" t="n">
        <f aca="false">(H135+H136+H139+H140+H137)-H138</f>
        <v>30999.996</v>
      </c>
      <c r="J141" s="155" t="s">
        <v>139</v>
      </c>
      <c r="K141" s="155"/>
      <c r="L141" s="155"/>
      <c r="M141" s="155"/>
      <c r="N141" s="155"/>
      <c r="O141" s="155"/>
      <c r="P141" s="157" t="n">
        <f aca="false">H15</f>
        <v>0</v>
      </c>
      <c r="Q141" s="156" t="e">
        <f aca="false">(Q135+Q136+Q139+Q140+Q137)-Q138</f>
        <v>#VALUE!</v>
      </c>
      <c r="S141" s="155" t="s">
        <v>139</v>
      </c>
      <c r="T141" s="155"/>
      <c r="U141" s="155"/>
      <c r="V141" s="155"/>
      <c r="W141" s="155"/>
      <c r="X141" s="155"/>
      <c r="Y141" s="157" t="n">
        <f aca="false">H15</f>
        <v>0</v>
      </c>
      <c r="Z141" s="156" t="e">
        <f aca="false">(Z135+Z136+Z139+Z140+Z137)-Z138</f>
        <v>#VALUE!</v>
      </c>
      <c r="AB141" s="155" t="s">
        <v>139</v>
      </c>
      <c r="AC141" s="155"/>
      <c r="AD141" s="155"/>
      <c r="AE141" s="155"/>
      <c r="AF141" s="155"/>
      <c r="AG141" s="155"/>
      <c r="AH141" s="157" t="n">
        <f aca="false">H15</f>
        <v>0</v>
      </c>
      <c r="AI141" s="156" t="e">
        <f aca="false">(AI135+AI136+AI139+AI140+AI137)-AI138</f>
        <v>#VALUE!</v>
      </c>
    </row>
    <row r="142" customFormat="false" ht="17.35" hidden="false" customHeight="false" outlineLevel="0" collapsed="false">
      <c r="A142" s="155" t="s">
        <v>140</v>
      </c>
      <c r="B142" s="155"/>
      <c r="C142" s="155"/>
      <c r="D142" s="155"/>
      <c r="E142" s="155"/>
      <c r="F142" s="155"/>
      <c r="G142" s="21" t="n">
        <f aca="false">H16</f>
        <v>0</v>
      </c>
      <c r="H142" s="52" t="n">
        <f aca="false">G142</f>
        <v>0</v>
      </c>
      <c r="J142" s="155" t="s">
        <v>140</v>
      </c>
      <c r="K142" s="155"/>
      <c r="L142" s="155"/>
      <c r="M142" s="155"/>
      <c r="N142" s="155"/>
      <c r="O142" s="155"/>
      <c r="P142" s="21" t="n">
        <f aca="false">H16</f>
        <v>0</v>
      </c>
      <c r="Q142" s="52" t="n">
        <f aca="false">P142</f>
        <v>0</v>
      </c>
      <c r="S142" s="155" t="s">
        <v>140</v>
      </c>
      <c r="T142" s="155"/>
      <c r="U142" s="155"/>
      <c r="V142" s="155"/>
      <c r="W142" s="155"/>
      <c r="X142" s="155"/>
      <c r="Y142" s="21" t="n">
        <f aca="false">H16</f>
        <v>0</v>
      </c>
      <c r="Z142" s="52" t="n">
        <f aca="false">Y142</f>
        <v>0</v>
      </c>
      <c r="AB142" s="155" t="s">
        <v>140</v>
      </c>
      <c r="AC142" s="155"/>
      <c r="AD142" s="155"/>
      <c r="AE142" s="155"/>
      <c r="AF142" s="155"/>
      <c r="AG142" s="155"/>
      <c r="AH142" s="21" t="n">
        <f aca="false">H16</f>
        <v>0</v>
      </c>
      <c r="AI142" s="52" t="n">
        <f aca="false">AH142</f>
        <v>0</v>
      </c>
    </row>
    <row r="143" customFormat="false" ht="17.35" hidden="false" customHeight="false" outlineLevel="0" collapsed="false">
      <c r="A143" s="70" t="s">
        <v>141</v>
      </c>
      <c r="B143" s="70"/>
      <c r="C143" s="70"/>
      <c r="D143" s="70"/>
      <c r="E143" s="70"/>
      <c r="F143" s="70"/>
      <c r="G143" s="37"/>
      <c r="H143" s="20"/>
      <c r="J143" s="70" t="s">
        <v>141</v>
      </c>
      <c r="K143" s="70"/>
      <c r="L143" s="70"/>
      <c r="M143" s="70"/>
      <c r="N143" s="70"/>
      <c r="O143" s="70"/>
      <c r="P143" s="37"/>
      <c r="Q143" s="20"/>
      <c r="S143" s="70" t="s">
        <v>141</v>
      </c>
      <c r="T143" s="70"/>
      <c r="U143" s="70"/>
      <c r="V143" s="70"/>
      <c r="W143" s="70"/>
      <c r="X143" s="70"/>
      <c r="Y143" s="37"/>
      <c r="Z143" s="20"/>
      <c r="AB143" s="70" t="s">
        <v>141</v>
      </c>
      <c r="AC143" s="70"/>
      <c r="AD143" s="70"/>
      <c r="AE143" s="70"/>
      <c r="AF143" s="70"/>
      <c r="AG143" s="70"/>
      <c r="AH143" s="37"/>
      <c r="AI143" s="20"/>
    </row>
    <row r="144" customFormat="false" ht="17.35" hidden="false" customHeight="false" outlineLevel="0" collapsed="false">
      <c r="A144" s="158" t="s">
        <v>15</v>
      </c>
      <c r="B144" s="159" t="n">
        <v>0</v>
      </c>
      <c r="C144" s="159"/>
      <c r="D144" s="159"/>
      <c r="E144" s="159"/>
      <c r="F144" s="159"/>
      <c r="G144" s="21" t="n">
        <f aca="false">H18</f>
        <v>0</v>
      </c>
      <c r="H144" s="52" t="n">
        <v>0</v>
      </c>
      <c r="J144" s="158" t="s">
        <v>15</v>
      </c>
      <c r="K144" s="159" t="s">
        <v>142</v>
      </c>
      <c r="L144" s="159"/>
      <c r="M144" s="159"/>
      <c r="N144" s="159"/>
      <c r="O144" s="159"/>
      <c r="P144" s="21" t="n">
        <f aca="false">H18</f>
        <v>0</v>
      </c>
      <c r="Q144" s="52" t="n">
        <f aca="false">P144</f>
        <v>0</v>
      </c>
      <c r="S144" s="158" t="s">
        <v>15</v>
      </c>
      <c r="T144" s="159" t="s">
        <v>142</v>
      </c>
      <c r="U144" s="159"/>
      <c r="V144" s="159"/>
      <c r="W144" s="159"/>
      <c r="X144" s="159"/>
      <c r="Y144" s="21" t="n">
        <f aca="false">H18</f>
        <v>0</v>
      </c>
      <c r="Z144" s="52" t="n">
        <f aca="false">Y144</f>
        <v>0</v>
      </c>
      <c r="AB144" s="158" t="s">
        <v>15</v>
      </c>
      <c r="AC144" s="159" t="s">
        <v>142</v>
      </c>
      <c r="AD144" s="159"/>
      <c r="AE144" s="159"/>
      <c r="AF144" s="159"/>
      <c r="AG144" s="159"/>
      <c r="AH144" s="21" t="n">
        <f aca="false">H18</f>
        <v>0</v>
      </c>
      <c r="AI144" s="52" t="n">
        <f aca="false">AH144</f>
        <v>0</v>
      </c>
    </row>
    <row r="145" customFormat="false" ht="17.35" hidden="false" customHeight="false" outlineLevel="0" collapsed="false">
      <c r="A145" s="158" t="s">
        <v>17</v>
      </c>
      <c r="B145" s="159" t="s">
        <v>142</v>
      </c>
      <c r="C145" s="159"/>
      <c r="D145" s="159"/>
      <c r="E145" s="159"/>
      <c r="F145" s="159"/>
      <c r="G145" s="21" t="n">
        <f aca="false">H19</f>
        <v>0</v>
      </c>
      <c r="H145" s="52" t="n">
        <v>0</v>
      </c>
      <c r="I145" s="1" t="n">
        <f aca="false">(G142+G145+G146+G144)</f>
        <v>0</v>
      </c>
      <c r="J145" s="158" t="s">
        <v>17</v>
      </c>
      <c r="K145" s="159" t="s">
        <v>142</v>
      </c>
      <c r="L145" s="159"/>
      <c r="M145" s="159"/>
      <c r="N145" s="159"/>
      <c r="O145" s="159"/>
      <c r="P145" s="21" t="n">
        <f aca="false">H19</f>
        <v>0</v>
      </c>
      <c r="Q145" s="52" t="n">
        <f aca="false">P145</f>
        <v>0</v>
      </c>
      <c r="S145" s="158" t="s">
        <v>17</v>
      </c>
      <c r="T145" s="159" t="s">
        <v>142</v>
      </c>
      <c r="U145" s="159"/>
      <c r="V145" s="159"/>
      <c r="W145" s="159"/>
      <c r="X145" s="159"/>
      <c r="Y145" s="21" t="n">
        <f aca="false">H19</f>
        <v>0</v>
      </c>
      <c r="Z145" s="52" t="n">
        <f aca="false">Y145</f>
        <v>0</v>
      </c>
      <c r="AB145" s="158" t="s">
        <v>17</v>
      </c>
      <c r="AC145" s="159" t="s">
        <v>142</v>
      </c>
      <c r="AD145" s="159"/>
      <c r="AE145" s="159"/>
      <c r="AF145" s="159"/>
      <c r="AG145" s="159"/>
      <c r="AH145" s="21" t="n">
        <f aca="false">H19</f>
        <v>0</v>
      </c>
      <c r="AI145" s="52" t="n">
        <f aca="false">AH145</f>
        <v>0</v>
      </c>
    </row>
    <row r="146" customFormat="false" ht="17.35" hidden="false" customHeight="false" outlineLevel="0" collapsed="false">
      <c r="A146" s="160" t="s">
        <v>18</v>
      </c>
      <c r="B146" s="161" t="s">
        <v>142</v>
      </c>
      <c r="C146" s="161"/>
      <c r="D146" s="161"/>
      <c r="E146" s="161"/>
      <c r="F146" s="161"/>
      <c r="G146" s="21" t="n">
        <f aca="false">H20</f>
        <v>0</v>
      </c>
      <c r="H146" s="52" t="n">
        <v>0</v>
      </c>
      <c r="I146" s="1" t="n">
        <f aca="false">(H142+H144+H145+H146)</f>
        <v>0</v>
      </c>
      <c r="J146" s="160" t="s">
        <v>18</v>
      </c>
      <c r="K146" s="161" t="s">
        <v>142</v>
      </c>
      <c r="L146" s="161"/>
      <c r="M146" s="161"/>
      <c r="N146" s="161"/>
      <c r="O146" s="161"/>
      <c r="P146" s="21" t="n">
        <f aca="false">H20</f>
        <v>0</v>
      </c>
      <c r="Q146" s="52" t="n">
        <f aca="false">P146</f>
        <v>0</v>
      </c>
      <c r="S146" s="160" t="s">
        <v>18</v>
      </c>
      <c r="T146" s="161" t="s">
        <v>142</v>
      </c>
      <c r="U146" s="161"/>
      <c r="V146" s="161"/>
      <c r="W146" s="161"/>
      <c r="X146" s="161"/>
      <c r="Y146" s="21" t="n">
        <f aca="false">H20</f>
        <v>0</v>
      </c>
      <c r="Z146" s="52" t="n">
        <f aca="false">Y146</f>
        <v>0</v>
      </c>
      <c r="AB146" s="160" t="s">
        <v>18</v>
      </c>
      <c r="AC146" s="161" t="s">
        <v>142</v>
      </c>
      <c r="AD146" s="161"/>
      <c r="AE146" s="161"/>
      <c r="AF146" s="161"/>
      <c r="AG146" s="161"/>
      <c r="AH146" s="21" t="n">
        <f aca="false">H20</f>
        <v>0</v>
      </c>
      <c r="AI146" s="52" t="n">
        <f aca="false">AH146</f>
        <v>0</v>
      </c>
    </row>
    <row r="147" customFormat="false" ht="19.7" hidden="false" customHeight="false" outlineLevel="0" collapsed="false">
      <c r="A147" s="155" t="s">
        <v>143</v>
      </c>
      <c r="B147" s="155"/>
      <c r="C147" s="155"/>
      <c r="D147" s="155"/>
      <c r="E147" s="155"/>
      <c r="F147" s="155"/>
      <c r="G147" s="157" t="n">
        <f aca="false">G141-((G144*1.2)+(G145*1.2)+(G146*1.2)+(G142*1.2))</f>
        <v>28749.996</v>
      </c>
      <c r="H147" s="162" t="n">
        <f aca="false">H141-((H144*1.2)+(H145*1.2)+(H146*1.2)+(H142*1.2))</f>
        <v>30999.996</v>
      </c>
      <c r="J147" s="155" t="s">
        <v>143</v>
      </c>
      <c r="K147" s="155"/>
      <c r="L147" s="155"/>
      <c r="M147" s="155"/>
      <c r="N147" s="155"/>
      <c r="O147" s="155"/>
      <c r="P147" s="157" t="n">
        <f aca="false">P141-((P144*1.2)+(P145*1.2)+(P146*1.2)+(P142*1.2))</f>
        <v>0</v>
      </c>
      <c r="Q147" s="162" t="e">
        <f aca="false">Q141-((Q144*1.2)+(Q145*1.2)+(Q146*1.2)+(Q142*1.2))</f>
        <v>#VALUE!</v>
      </c>
      <c r="S147" s="155" t="s">
        <v>143</v>
      </c>
      <c r="T147" s="155"/>
      <c r="U147" s="155"/>
      <c r="V147" s="155"/>
      <c r="W147" s="155"/>
      <c r="X147" s="155"/>
      <c r="Y147" s="157" t="n">
        <f aca="false">Y141-((Y144*1.2)+(Y145*1.2)+(Y146*1.2)+(Y142*1.2))</f>
        <v>0</v>
      </c>
      <c r="Z147" s="162" t="e">
        <f aca="false">Z141-((Z144*1.2)+(Z145*1.2)+(Z146*1.2)+(Z142*1.2))</f>
        <v>#VALUE!</v>
      </c>
      <c r="AB147" s="155" t="s">
        <v>143</v>
      </c>
      <c r="AC147" s="155"/>
      <c r="AD147" s="155"/>
      <c r="AE147" s="155"/>
      <c r="AF147" s="155"/>
      <c r="AG147" s="155"/>
      <c r="AH147" s="157" t="n">
        <f aca="false">AH141-((AH144*1.2)+(AH145*1.2)+(AH146*1.2)+(AH142*1.2))</f>
        <v>0</v>
      </c>
      <c r="AI147" s="162" t="e">
        <f aca="false">AI141-((AI144*1.2)+(AI145*1.2)+(AI146*1.2)+(AI142*1.2))</f>
        <v>#VALUE!</v>
      </c>
    </row>
    <row r="148" customFormat="false" ht="17.35" hidden="false" customHeight="false" outlineLevel="0" collapsed="false">
      <c r="A148" s="155" t="s">
        <v>144</v>
      </c>
      <c r="B148" s="155"/>
      <c r="C148" s="155"/>
      <c r="D148" s="155"/>
      <c r="E148" s="155"/>
      <c r="F148" s="155"/>
      <c r="G148" s="21"/>
      <c r="H148" s="52" t="n">
        <f aca="false">((H147-G147)-(H137-G137))+((I146-I145)*0.2)</f>
        <v>1875</v>
      </c>
      <c r="I148" s="1" t="n">
        <f aca="false">(H148-G81)/1.2</f>
        <v>1562.5</v>
      </c>
      <c r="J148" s="155" t="s">
        <v>144</v>
      </c>
      <c r="K148" s="155"/>
      <c r="L148" s="155"/>
      <c r="M148" s="155"/>
      <c r="N148" s="155"/>
      <c r="O148" s="155"/>
      <c r="P148" s="21"/>
      <c r="Q148" s="52" t="e">
        <f aca="false">Q147-P147</f>
        <v>#VALUE!</v>
      </c>
      <c r="S148" s="155" t="s">
        <v>144</v>
      </c>
      <c r="T148" s="155"/>
      <c r="U148" s="155"/>
      <c r="V148" s="155"/>
      <c r="W148" s="155"/>
      <c r="X148" s="155"/>
      <c r="Y148" s="21"/>
      <c r="Z148" s="52" t="e">
        <f aca="false">Z147-Y147</f>
        <v>#VALUE!</v>
      </c>
      <c r="AB148" s="155" t="s">
        <v>144</v>
      </c>
      <c r="AC148" s="155"/>
      <c r="AD148" s="155"/>
      <c r="AE148" s="155"/>
      <c r="AF148" s="155"/>
      <c r="AG148" s="155"/>
      <c r="AH148" s="21"/>
      <c r="AI148" s="52" t="e">
        <f aca="false">AI147-AH147</f>
        <v>#VALUE!</v>
      </c>
    </row>
    <row r="149" customFormat="false" ht="17.35" hidden="false" customHeight="false" outlineLevel="0" collapsed="false">
      <c r="A149" s="55"/>
      <c r="B149" s="25"/>
      <c r="C149" s="25"/>
      <c r="D149" s="25"/>
      <c r="E149" s="45"/>
      <c r="F149" s="45"/>
      <c r="G149" s="45"/>
      <c r="H149" s="20"/>
      <c r="J149" s="55"/>
      <c r="K149" s="25"/>
      <c r="L149" s="25"/>
      <c r="M149" s="25"/>
      <c r="N149" s="45"/>
      <c r="O149" s="45"/>
      <c r="P149" s="45"/>
      <c r="Q149" s="20"/>
      <c r="S149" s="55"/>
      <c r="T149" s="25"/>
      <c r="U149" s="25"/>
      <c r="V149" s="25"/>
      <c r="W149" s="45"/>
      <c r="X149" s="45"/>
      <c r="Y149" s="45"/>
      <c r="Z149" s="20"/>
      <c r="AB149" s="55"/>
      <c r="AC149" s="25"/>
      <c r="AD149" s="25"/>
      <c r="AE149" s="25"/>
      <c r="AF149" s="45"/>
      <c r="AG149" s="45"/>
      <c r="AH149" s="45"/>
      <c r="AI149" s="20"/>
    </row>
    <row r="150" customFormat="false" ht="22.05" hidden="false" customHeight="false" outlineLevel="0" collapsed="false">
      <c r="A150" s="58" t="s">
        <v>145</v>
      </c>
      <c r="B150" s="58"/>
      <c r="C150" s="58"/>
      <c r="D150" s="58"/>
      <c r="E150" s="58"/>
      <c r="F150" s="58"/>
      <c r="G150" s="58"/>
      <c r="H150" s="58"/>
      <c r="J150" s="58" t="s">
        <v>145</v>
      </c>
      <c r="K150" s="58"/>
      <c r="L150" s="58"/>
      <c r="M150" s="58"/>
      <c r="N150" s="58"/>
      <c r="O150" s="58"/>
      <c r="P150" s="58"/>
      <c r="Q150" s="58"/>
      <c r="S150" s="58" t="s">
        <v>145</v>
      </c>
      <c r="T150" s="58"/>
      <c r="U150" s="58"/>
      <c r="V150" s="58"/>
      <c r="W150" s="58"/>
      <c r="X150" s="58"/>
      <c r="Y150" s="58"/>
      <c r="Z150" s="58"/>
      <c r="AB150" s="58" t="s">
        <v>145</v>
      </c>
      <c r="AC150" s="58"/>
      <c r="AD150" s="58"/>
      <c r="AE150" s="58"/>
      <c r="AF150" s="58"/>
      <c r="AG150" s="58"/>
      <c r="AH150" s="58"/>
      <c r="AI150" s="58"/>
    </row>
    <row r="151" customFormat="false" ht="17.35" hidden="false" customHeight="false" outlineLevel="0" collapsed="false">
      <c r="A151" s="55"/>
      <c r="B151" s="25"/>
      <c r="C151" s="25"/>
      <c r="D151" s="25"/>
      <c r="E151" s="45"/>
      <c r="F151" s="45"/>
      <c r="G151" s="45"/>
      <c r="H151" s="20"/>
      <c r="J151" s="55"/>
      <c r="K151" s="25"/>
      <c r="L151" s="25"/>
      <c r="M151" s="25"/>
      <c r="N151" s="45"/>
      <c r="O151" s="45"/>
      <c r="P151" s="45"/>
      <c r="Q151" s="20"/>
      <c r="S151" s="55"/>
      <c r="T151" s="25"/>
      <c r="U151" s="25"/>
      <c r="V151" s="25"/>
      <c r="W151" s="45"/>
      <c r="X151" s="45"/>
      <c r="Y151" s="45"/>
      <c r="Z151" s="20"/>
      <c r="AB151" s="55"/>
      <c r="AC151" s="25"/>
      <c r="AD151" s="25"/>
      <c r="AE151" s="25"/>
      <c r="AF151" s="45"/>
      <c r="AG151" s="45"/>
      <c r="AH151" s="45"/>
      <c r="AI151" s="20"/>
    </row>
    <row r="152" customFormat="false" ht="17.35" hidden="false" customHeight="false" outlineLevel="0" collapsed="false">
      <c r="A152" s="55" t="s">
        <v>146</v>
      </c>
      <c r="B152" s="25"/>
      <c r="C152" s="25"/>
      <c r="D152" s="45"/>
      <c r="E152" s="72" t="n">
        <v>2000</v>
      </c>
      <c r="F152" s="72"/>
      <c r="G152" s="72" t="n">
        <v>1000</v>
      </c>
      <c r="H152" s="72"/>
      <c r="J152" s="55" t="s">
        <v>146</v>
      </c>
      <c r="K152" s="25"/>
      <c r="L152" s="25"/>
      <c r="M152" s="45"/>
      <c r="N152" s="72" t="n">
        <v>10000</v>
      </c>
      <c r="O152" s="72"/>
      <c r="P152" s="72" t="n">
        <v>5000</v>
      </c>
      <c r="Q152" s="72"/>
      <c r="S152" s="55" t="s">
        <v>146</v>
      </c>
      <c r="T152" s="25"/>
      <c r="U152" s="25"/>
      <c r="V152" s="45"/>
      <c r="W152" s="72" t="n">
        <v>10000</v>
      </c>
      <c r="X152" s="72"/>
      <c r="Y152" s="72" t="n">
        <v>5000</v>
      </c>
      <c r="Z152" s="72"/>
      <c r="AB152" s="55" t="s">
        <v>146</v>
      </c>
      <c r="AC152" s="25"/>
      <c r="AD152" s="25"/>
      <c r="AE152" s="45"/>
      <c r="AF152" s="72" t="n">
        <v>10000</v>
      </c>
      <c r="AG152" s="72"/>
      <c r="AH152" s="72" t="n">
        <v>5000</v>
      </c>
      <c r="AI152" s="72"/>
    </row>
    <row r="153" customFormat="false" ht="17.35" hidden="false" customHeight="false" outlineLevel="0" collapsed="false">
      <c r="A153" s="55" t="s">
        <v>147</v>
      </c>
      <c r="B153" s="25"/>
      <c r="C153" s="25"/>
      <c r="D153" s="45"/>
      <c r="E153" s="38" t="n">
        <f aca="false">G153</f>
        <v>0</v>
      </c>
      <c r="F153" s="38"/>
      <c r="G153" s="72" t="n">
        <v>500</v>
      </c>
      <c r="H153" s="72"/>
      <c r="J153" s="55" t="s">
        <v>147</v>
      </c>
      <c r="K153" s="25"/>
      <c r="L153" s="25"/>
      <c r="M153" s="45"/>
      <c r="N153" s="38" t="n">
        <f aca="false">P153</f>
        <v>7000</v>
      </c>
      <c r="O153" s="38"/>
      <c r="P153" s="72" t="n">
        <v>7000</v>
      </c>
      <c r="Q153" s="72"/>
      <c r="S153" s="55" t="s">
        <v>147</v>
      </c>
      <c r="T153" s="25"/>
      <c r="U153" s="25"/>
      <c r="V153" s="45"/>
      <c r="W153" s="38" t="n">
        <f aca="false">Y153</f>
        <v>7000</v>
      </c>
      <c r="X153" s="38"/>
      <c r="Y153" s="72" t="n">
        <v>7000</v>
      </c>
      <c r="Z153" s="72"/>
      <c r="AB153" s="55" t="s">
        <v>147</v>
      </c>
      <c r="AC153" s="25"/>
      <c r="AD153" s="25"/>
      <c r="AE153" s="45"/>
      <c r="AF153" s="38" t="n">
        <f aca="false">AH153</f>
        <v>7000</v>
      </c>
      <c r="AG153" s="38"/>
      <c r="AH153" s="72" t="n">
        <v>7000</v>
      </c>
      <c r="AI153" s="72"/>
    </row>
    <row r="154" customFormat="false" ht="17.35" hidden="false" customHeight="false" outlineLevel="0" collapsed="false">
      <c r="A154" s="55" t="s">
        <v>148</v>
      </c>
      <c r="B154" s="25"/>
      <c r="C154" s="25"/>
      <c r="D154" s="45"/>
      <c r="E154" s="38" t="n">
        <f aca="false">E152-E153</f>
        <v>0</v>
      </c>
      <c r="F154" s="38"/>
      <c r="G154" s="163" t="n">
        <f aca="false">G152-G153</f>
        <v>0</v>
      </c>
      <c r="H154" s="163"/>
      <c r="J154" s="55" t="s">
        <v>148</v>
      </c>
      <c r="K154" s="25"/>
      <c r="L154" s="25"/>
      <c r="M154" s="45"/>
      <c r="N154" s="38" t="n">
        <f aca="false">N152-N153</f>
        <v>3000</v>
      </c>
      <c r="O154" s="38"/>
      <c r="P154" s="163" t="n">
        <f aca="false">P152-P153</f>
        <v>-2000</v>
      </c>
      <c r="Q154" s="163"/>
      <c r="S154" s="55" t="s">
        <v>148</v>
      </c>
      <c r="T154" s="25"/>
      <c r="U154" s="25"/>
      <c r="V154" s="45"/>
      <c r="W154" s="38" t="n">
        <f aca="false">W152-W153</f>
        <v>3000</v>
      </c>
      <c r="X154" s="38"/>
      <c r="Y154" s="163" t="n">
        <f aca="false">Y152-Y153</f>
        <v>-2000</v>
      </c>
      <c r="Z154" s="163"/>
      <c r="AB154" s="55" t="s">
        <v>148</v>
      </c>
      <c r="AC154" s="25"/>
      <c r="AD154" s="25"/>
      <c r="AE154" s="45"/>
      <c r="AF154" s="38" t="n">
        <f aca="false">AF152-AF153</f>
        <v>3000</v>
      </c>
      <c r="AG154" s="38"/>
      <c r="AH154" s="163" t="n">
        <f aca="false">AH152-AH153</f>
        <v>-2000</v>
      </c>
      <c r="AI154" s="163"/>
    </row>
    <row r="155" customFormat="false" ht="17.35" hidden="false" customHeight="false" outlineLevel="0" collapsed="false">
      <c r="A155" s="55" t="s">
        <v>149</v>
      </c>
      <c r="B155" s="25"/>
      <c r="C155" s="25"/>
      <c r="D155" s="45"/>
      <c r="E155" s="38" t="n">
        <f aca="false">E154-G154</f>
        <v>0</v>
      </c>
      <c r="F155" s="38"/>
      <c r="G155" s="45"/>
      <c r="H155" s="20"/>
      <c r="J155" s="55" t="s">
        <v>149</v>
      </c>
      <c r="K155" s="25"/>
      <c r="L155" s="25"/>
      <c r="M155" s="45"/>
      <c r="N155" s="38" t="n">
        <f aca="false">N154-P154</f>
        <v>5000</v>
      </c>
      <c r="O155" s="38"/>
      <c r="P155" s="45"/>
      <c r="Q155" s="20"/>
      <c r="S155" s="55" t="s">
        <v>149</v>
      </c>
      <c r="T155" s="25"/>
      <c r="U155" s="25"/>
      <c r="V155" s="45"/>
      <c r="W155" s="38" t="n">
        <f aca="false">W154-Y154</f>
        <v>5000</v>
      </c>
      <c r="X155" s="38"/>
      <c r="Y155" s="45"/>
      <c r="Z155" s="20"/>
      <c r="AB155" s="55" t="s">
        <v>149</v>
      </c>
      <c r="AC155" s="25"/>
      <c r="AD155" s="25"/>
      <c r="AE155" s="45"/>
      <c r="AF155" s="38" t="n">
        <f aca="false">AF154-AH154</f>
        <v>5000</v>
      </c>
      <c r="AG155" s="38"/>
      <c r="AH155" s="45"/>
      <c r="AI155" s="20"/>
    </row>
    <row r="156" customFormat="false" ht="17.35" hidden="false" customHeight="false" outlineLevel="0" collapsed="false">
      <c r="A156" s="55"/>
      <c r="B156" s="25"/>
      <c r="C156" s="25"/>
      <c r="D156" s="45"/>
      <c r="E156" s="25"/>
      <c r="F156" s="45"/>
      <c r="G156" s="45"/>
      <c r="H156" s="20"/>
      <c r="J156" s="55"/>
      <c r="K156" s="25"/>
      <c r="L156" s="25"/>
      <c r="M156" s="45"/>
      <c r="N156" s="25"/>
      <c r="O156" s="45"/>
      <c r="P156" s="45"/>
      <c r="Q156" s="20"/>
      <c r="S156" s="55"/>
      <c r="T156" s="25"/>
      <c r="U156" s="25"/>
      <c r="V156" s="45"/>
      <c r="W156" s="25"/>
      <c r="X156" s="45"/>
      <c r="Y156" s="45"/>
      <c r="Z156" s="20"/>
      <c r="AB156" s="55"/>
      <c r="AC156" s="25"/>
      <c r="AD156" s="25"/>
      <c r="AE156" s="45"/>
      <c r="AF156" s="25"/>
      <c r="AG156" s="45"/>
      <c r="AH156" s="45"/>
      <c r="AI156" s="20"/>
    </row>
    <row r="157" customFormat="false" ht="17.35" hidden="false" customHeight="false" outlineLevel="0" collapsed="false">
      <c r="A157" s="48" t="s">
        <v>150</v>
      </c>
      <c r="B157" s="49"/>
      <c r="C157" s="49"/>
      <c r="D157" s="93"/>
      <c r="E157" s="49"/>
      <c r="F157" s="93"/>
      <c r="G157" s="164" t="n">
        <f aca="false">A114</f>
        <v>0</v>
      </c>
      <c r="H157" s="164"/>
      <c r="J157" s="48" t="s">
        <v>150</v>
      </c>
      <c r="K157" s="49"/>
      <c r="L157" s="49"/>
      <c r="M157" s="93"/>
      <c r="N157" s="49"/>
      <c r="O157" s="93"/>
      <c r="P157" s="164" t="n">
        <f aca="false">J114</f>
        <v>1000</v>
      </c>
      <c r="Q157" s="164"/>
      <c r="S157" s="48" t="s">
        <v>150</v>
      </c>
      <c r="T157" s="49"/>
      <c r="U157" s="49"/>
      <c r="V157" s="93"/>
      <c r="W157" s="49"/>
      <c r="X157" s="93"/>
      <c r="Y157" s="164" t="n">
        <f aca="false">S114</f>
        <v>1000</v>
      </c>
      <c r="Z157" s="164"/>
      <c r="AB157" s="48" t="s">
        <v>150</v>
      </c>
      <c r="AC157" s="49"/>
      <c r="AD157" s="49"/>
      <c r="AE157" s="93"/>
      <c r="AF157" s="49"/>
      <c r="AG157" s="93"/>
      <c r="AH157" s="164" t="n">
        <f aca="false">AB114</f>
        <v>1000</v>
      </c>
      <c r="AI157" s="164"/>
    </row>
    <row r="158" customFormat="false" ht="19.7" hidden="false" customHeight="false" outlineLevel="0" collapsed="false">
      <c r="A158" s="165" t="s">
        <v>151</v>
      </c>
      <c r="B158" s="25"/>
      <c r="C158" s="25"/>
      <c r="D158" s="94"/>
      <c r="E158" s="25"/>
      <c r="F158" s="94"/>
      <c r="G158" s="166" t="n">
        <f aca="false">H147-G154-G157</f>
        <v>30999.996</v>
      </c>
      <c r="H158" s="166"/>
      <c r="J158" s="165" t="s">
        <v>151</v>
      </c>
      <c r="K158" s="25"/>
      <c r="L158" s="25"/>
      <c r="M158" s="94"/>
      <c r="N158" s="25"/>
      <c r="O158" s="94"/>
      <c r="P158" s="166" t="e">
        <f aca="false">Q147-P154-P157</f>
        <v>#VALUE!</v>
      </c>
      <c r="Q158" s="166"/>
      <c r="S158" s="165" t="s">
        <v>151</v>
      </c>
      <c r="T158" s="25"/>
      <c r="U158" s="25"/>
      <c r="V158" s="94"/>
      <c r="W158" s="25"/>
      <c r="X158" s="94"/>
      <c r="Y158" s="166" t="e">
        <f aca="false">Z147-Y154-Y157</f>
        <v>#VALUE!</v>
      </c>
      <c r="Z158" s="166"/>
      <c r="AB158" s="165" t="s">
        <v>151</v>
      </c>
      <c r="AC158" s="25"/>
      <c r="AD158" s="25"/>
      <c r="AE158" s="94"/>
      <c r="AF158" s="25"/>
      <c r="AG158" s="94"/>
      <c r="AH158" s="166" t="e">
        <f aca="false">AI147-AH154-AH157</f>
        <v>#VALUE!</v>
      </c>
      <c r="AI158" s="166"/>
    </row>
    <row r="159" customFormat="false" ht="17.35" hidden="false" customHeight="false" outlineLevel="0" collapsed="false">
      <c r="A159" s="74" t="s">
        <v>152</v>
      </c>
      <c r="B159" s="75"/>
      <c r="C159" s="75"/>
      <c r="D159" s="116"/>
      <c r="E159" s="75"/>
      <c r="F159" s="116"/>
      <c r="G159" s="167" t="str">
        <f aca="false">B114</f>
        <v>199.99</v>
      </c>
      <c r="H159" s="167"/>
      <c r="J159" s="74" t="s">
        <v>152</v>
      </c>
      <c r="K159" s="75"/>
      <c r="L159" s="75"/>
      <c r="M159" s="116"/>
      <c r="N159" s="75"/>
      <c r="O159" s="116"/>
      <c r="P159" s="167" t="n">
        <f aca="false">K114</f>
        <v>239.99</v>
      </c>
      <c r="Q159" s="167"/>
      <c r="S159" s="74" t="s">
        <v>152</v>
      </c>
      <c r="T159" s="75"/>
      <c r="U159" s="75"/>
      <c r="V159" s="116"/>
      <c r="W159" s="75"/>
      <c r="X159" s="116"/>
      <c r="Y159" s="167" t="n">
        <f aca="false">T114</f>
        <v>199.99</v>
      </c>
      <c r="Z159" s="167"/>
      <c r="AB159" s="74" t="s">
        <v>152</v>
      </c>
      <c r="AC159" s="75"/>
      <c r="AD159" s="75"/>
      <c r="AE159" s="116"/>
      <c r="AF159" s="75"/>
      <c r="AG159" s="116"/>
      <c r="AH159" s="167" t="n">
        <f aca="false">AC114</f>
        <v>239.99</v>
      </c>
      <c r="AI159" s="167"/>
    </row>
    <row r="160" customFormat="false" ht="17.35" hidden="false" customHeight="false" outlineLevel="0" collapsed="false">
      <c r="A160" s="55"/>
      <c r="B160" s="25"/>
      <c r="C160" s="25"/>
      <c r="D160" s="25"/>
      <c r="E160" s="45"/>
      <c r="F160" s="45"/>
      <c r="G160" s="45"/>
      <c r="H160" s="20"/>
      <c r="J160" s="55"/>
      <c r="K160" s="25"/>
      <c r="L160" s="25"/>
      <c r="M160" s="25"/>
      <c r="N160" s="45"/>
      <c r="O160" s="45"/>
      <c r="P160" s="45"/>
      <c r="Q160" s="20"/>
      <c r="S160" s="55"/>
      <c r="T160" s="25"/>
      <c r="U160" s="25"/>
      <c r="V160" s="25"/>
      <c r="W160" s="45"/>
      <c r="X160" s="45"/>
      <c r="Y160" s="45"/>
      <c r="Z160" s="20"/>
      <c r="AB160" s="55"/>
      <c r="AC160" s="25"/>
      <c r="AD160" s="25"/>
      <c r="AE160" s="25"/>
      <c r="AF160" s="45"/>
      <c r="AG160" s="45"/>
      <c r="AH160" s="45"/>
      <c r="AI160" s="20"/>
    </row>
    <row r="161" customFormat="false" ht="17.35" hidden="false" customHeight="false" outlineLevel="0" collapsed="false">
      <c r="A161" s="55"/>
      <c r="B161" s="25"/>
      <c r="C161" s="25"/>
      <c r="D161" s="25"/>
      <c r="E161" s="45"/>
      <c r="F161" s="45"/>
      <c r="G161" s="45"/>
      <c r="H161" s="20"/>
      <c r="J161" s="55"/>
      <c r="K161" s="25"/>
      <c r="L161" s="25"/>
      <c r="M161" s="25"/>
      <c r="N161" s="45"/>
      <c r="O161" s="45"/>
      <c r="P161" s="45"/>
      <c r="Q161" s="20"/>
      <c r="S161" s="55"/>
      <c r="T161" s="25"/>
      <c r="U161" s="25"/>
      <c r="V161" s="25"/>
      <c r="W161" s="45"/>
      <c r="X161" s="45"/>
      <c r="Y161" s="45"/>
      <c r="Z161" s="20"/>
      <c r="AB161" s="55"/>
      <c r="AC161" s="25"/>
      <c r="AD161" s="25"/>
      <c r="AE161" s="25"/>
      <c r="AF161" s="45"/>
      <c r="AG161" s="45"/>
      <c r="AH161" s="45"/>
      <c r="AI161" s="20"/>
    </row>
    <row r="162" customFormat="false" ht="22.05" hidden="false" customHeight="false" outlineLevel="0" collapsed="false">
      <c r="A162" s="58" t="s">
        <v>153</v>
      </c>
      <c r="B162" s="58"/>
      <c r="C162" s="58"/>
      <c r="D162" s="58"/>
      <c r="E162" s="58"/>
      <c r="F162" s="58"/>
      <c r="G162" s="58"/>
      <c r="H162" s="58"/>
      <c r="J162" s="58" t="s">
        <v>153</v>
      </c>
      <c r="K162" s="58"/>
      <c r="L162" s="58"/>
      <c r="M162" s="58"/>
      <c r="N162" s="58"/>
      <c r="O162" s="58"/>
      <c r="P162" s="58"/>
      <c r="Q162" s="58"/>
      <c r="S162" s="58" t="s">
        <v>153</v>
      </c>
      <c r="T162" s="58"/>
      <c r="U162" s="58"/>
      <c r="V162" s="58"/>
      <c r="W162" s="58"/>
      <c r="X162" s="58"/>
      <c r="Y162" s="58"/>
      <c r="Z162" s="58"/>
      <c r="AB162" s="58" t="s">
        <v>153</v>
      </c>
      <c r="AC162" s="58"/>
      <c r="AD162" s="58"/>
      <c r="AE162" s="58"/>
      <c r="AF162" s="58"/>
      <c r="AG162" s="58"/>
      <c r="AH162" s="58"/>
      <c r="AI162" s="58"/>
    </row>
    <row r="163" customFormat="false" ht="17.35" hidden="false" customHeight="false" outlineLevel="0" collapsed="false">
      <c r="A163" s="55"/>
      <c r="B163" s="25"/>
      <c r="C163" s="25"/>
      <c r="D163" s="25"/>
      <c r="E163" s="45"/>
      <c r="F163" s="45"/>
      <c r="G163" s="45"/>
      <c r="H163" s="20"/>
      <c r="J163" s="55"/>
      <c r="K163" s="25"/>
      <c r="L163" s="25"/>
      <c r="M163" s="25"/>
      <c r="N163" s="45"/>
      <c r="O163" s="45"/>
      <c r="P163" s="45"/>
      <c r="Q163" s="20"/>
      <c r="S163" s="55"/>
      <c r="T163" s="25"/>
      <c r="U163" s="25"/>
      <c r="V163" s="25"/>
      <c r="W163" s="45"/>
      <c r="X163" s="45"/>
      <c r="Y163" s="45"/>
      <c r="Z163" s="20"/>
      <c r="AB163" s="55"/>
      <c r="AC163" s="25"/>
      <c r="AD163" s="25"/>
      <c r="AE163" s="25"/>
      <c r="AF163" s="45"/>
      <c r="AG163" s="45"/>
      <c r="AH163" s="45"/>
      <c r="AI163" s="20"/>
    </row>
    <row r="164" customFormat="false" ht="17.35" hidden="false" customHeight="false" outlineLevel="0" collapsed="false">
      <c r="A164" s="55" t="s">
        <v>29</v>
      </c>
      <c r="B164" s="168" t="n">
        <v>0</v>
      </c>
      <c r="C164" s="168"/>
      <c r="D164" s="25"/>
      <c r="E164" s="45"/>
      <c r="F164" s="45"/>
      <c r="G164" s="45"/>
      <c r="H164" s="20"/>
      <c r="J164" s="55" t="s">
        <v>29</v>
      </c>
      <c r="K164" s="168" t="n">
        <v>0</v>
      </c>
      <c r="L164" s="168"/>
      <c r="M164" s="25"/>
      <c r="N164" s="45"/>
      <c r="O164" s="45"/>
      <c r="P164" s="45"/>
      <c r="Q164" s="20"/>
      <c r="S164" s="55" t="s">
        <v>29</v>
      </c>
      <c r="T164" s="168" t="n">
        <v>0</v>
      </c>
      <c r="U164" s="168"/>
      <c r="V164" s="25"/>
      <c r="W164" s="45"/>
      <c r="X164" s="45"/>
      <c r="Y164" s="45"/>
      <c r="Z164" s="20"/>
      <c r="AB164" s="55" t="s">
        <v>29</v>
      </c>
      <c r="AC164" s="168" t="n">
        <v>0</v>
      </c>
      <c r="AD164" s="168"/>
      <c r="AE164" s="25"/>
      <c r="AF164" s="45"/>
      <c r="AG164" s="45"/>
      <c r="AH164" s="45"/>
      <c r="AI164" s="20"/>
    </row>
    <row r="165" customFormat="false" ht="17.35" hidden="false" customHeight="false" outlineLevel="0" collapsed="false">
      <c r="A165" s="55"/>
      <c r="B165" s="25"/>
      <c r="C165" s="25"/>
      <c r="D165" s="25"/>
      <c r="E165" s="45"/>
      <c r="F165" s="45"/>
      <c r="G165" s="45"/>
      <c r="H165" s="20"/>
      <c r="J165" s="55"/>
      <c r="K165" s="25"/>
      <c r="L165" s="25"/>
      <c r="M165" s="25"/>
      <c r="N165" s="45"/>
      <c r="O165" s="45"/>
      <c r="P165" s="45"/>
      <c r="Q165" s="20"/>
      <c r="S165" s="55"/>
      <c r="T165" s="25"/>
      <c r="U165" s="25"/>
      <c r="V165" s="25"/>
      <c r="W165" s="45"/>
      <c r="X165" s="45"/>
      <c r="Y165" s="45"/>
      <c r="Z165" s="20"/>
      <c r="AB165" s="55"/>
      <c r="AC165" s="25"/>
      <c r="AD165" s="25"/>
      <c r="AE165" s="25"/>
      <c r="AF165" s="45"/>
      <c r="AG165" s="45"/>
      <c r="AH165" s="45"/>
      <c r="AI165" s="20"/>
    </row>
    <row r="166" customFormat="false" ht="17.35" hidden="false" customHeight="false" outlineLevel="0" collapsed="false">
      <c r="A166" s="169" t="s">
        <v>154</v>
      </c>
      <c r="B166" s="170" t="s">
        <v>155</v>
      </c>
      <c r="C166" s="170"/>
      <c r="D166" s="170"/>
      <c r="E166" s="170" t="s">
        <v>156</v>
      </c>
      <c r="F166" s="45"/>
      <c r="G166" s="45"/>
      <c r="H166" s="20"/>
      <c r="J166" s="169" t="s">
        <v>154</v>
      </c>
      <c r="K166" s="170" t="s">
        <v>155</v>
      </c>
      <c r="L166" s="170"/>
      <c r="M166" s="170"/>
      <c r="N166" s="170" t="s">
        <v>156</v>
      </c>
      <c r="O166" s="45"/>
      <c r="P166" s="45"/>
      <c r="Q166" s="20"/>
      <c r="S166" s="169" t="s">
        <v>154</v>
      </c>
      <c r="T166" s="170" t="s">
        <v>155</v>
      </c>
      <c r="U166" s="170"/>
      <c r="V166" s="170"/>
      <c r="W166" s="170" t="s">
        <v>156</v>
      </c>
      <c r="X166" s="45"/>
      <c r="Y166" s="45"/>
      <c r="Z166" s="20"/>
      <c r="AB166" s="169" t="s">
        <v>154</v>
      </c>
      <c r="AC166" s="170" t="s">
        <v>155</v>
      </c>
      <c r="AD166" s="170"/>
      <c r="AE166" s="170"/>
      <c r="AF166" s="170" t="s">
        <v>156</v>
      </c>
      <c r="AG166" s="45"/>
      <c r="AH166" s="45"/>
      <c r="AI166" s="20"/>
    </row>
    <row r="167" customFormat="false" ht="17.35" hidden="false" customHeight="false" outlineLevel="0" collapsed="false">
      <c r="A167" s="171" t="n">
        <f aca="false">B95</f>
        <v>2960.31527449002</v>
      </c>
      <c r="B167" s="172" t="n">
        <f aca="false">B94</f>
        <v>30</v>
      </c>
      <c r="C167" s="170"/>
      <c r="D167" s="170"/>
      <c r="E167" s="172" t="n">
        <f aca="false">B96</f>
        <v>2990.31527449002</v>
      </c>
      <c r="F167" s="45"/>
      <c r="G167" s="45"/>
      <c r="H167" s="20"/>
      <c r="J167" s="173" t="e">
        <f aca="false">K95</f>
        <v>#VALUE!</v>
      </c>
      <c r="K167" s="172" t="n">
        <f aca="false">K94</f>
        <v>35.75</v>
      </c>
      <c r="L167" s="170"/>
      <c r="M167" s="170"/>
      <c r="N167" s="172" t="e">
        <f aca="false">K96</f>
        <v>#VALUE!</v>
      </c>
      <c r="O167" s="45"/>
      <c r="P167" s="45"/>
      <c r="Q167" s="20"/>
      <c r="S167" s="173" t="e">
        <f aca="false">T95</f>
        <v>#VALUE!</v>
      </c>
      <c r="T167" s="172" t="n">
        <f aca="false">T94</f>
        <v>30</v>
      </c>
      <c r="U167" s="170"/>
      <c r="V167" s="170"/>
      <c r="W167" s="172" t="e">
        <f aca="false">T96</f>
        <v>#VALUE!</v>
      </c>
      <c r="X167" s="45"/>
      <c r="Y167" s="45"/>
      <c r="Z167" s="20"/>
      <c r="AB167" s="173" t="e">
        <f aca="false">AC95</f>
        <v>#VALUE!</v>
      </c>
      <c r="AC167" s="172" t="n">
        <f aca="false">AC94</f>
        <v>36</v>
      </c>
      <c r="AD167" s="170"/>
      <c r="AE167" s="170"/>
      <c r="AF167" s="172" t="e">
        <f aca="false">AC96</f>
        <v>#VALUE!</v>
      </c>
      <c r="AG167" s="45"/>
      <c r="AH167" s="45"/>
      <c r="AI167" s="20"/>
    </row>
    <row r="168" customFormat="false" ht="17.35" hidden="false" customHeight="false" outlineLevel="0" collapsed="false">
      <c r="A168" s="55"/>
      <c r="B168" s="25"/>
      <c r="C168" s="25"/>
      <c r="D168" s="25"/>
      <c r="E168" s="45"/>
      <c r="F168" s="45"/>
      <c r="G168" s="45"/>
      <c r="H168" s="20"/>
      <c r="J168" s="55"/>
      <c r="K168" s="25"/>
      <c r="L168" s="25"/>
      <c r="M168" s="25"/>
      <c r="N168" s="45"/>
      <c r="O168" s="45"/>
      <c r="P168" s="45"/>
      <c r="Q168" s="20"/>
      <c r="S168" s="55"/>
      <c r="T168" s="25"/>
      <c r="U168" s="25"/>
      <c r="V168" s="25"/>
      <c r="W168" s="45"/>
      <c r="X168" s="45"/>
      <c r="Y168" s="45"/>
      <c r="Z168" s="20"/>
      <c r="AB168" s="55"/>
      <c r="AC168" s="25"/>
      <c r="AD168" s="25"/>
      <c r="AE168" s="25"/>
      <c r="AF168" s="45"/>
      <c r="AG168" s="45"/>
      <c r="AH168" s="45"/>
      <c r="AI168" s="20"/>
    </row>
    <row r="169" customFormat="false" ht="17.35" hidden="false" customHeight="false" outlineLevel="0" collapsed="false">
      <c r="A169" s="55" t="s">
        <v>28</v>
      </c>
      <c r="B169" s="25" t="s">
        <v>33</v>
      </c>
      <c r="C169" s="25"/>
      <c r="D169" s="45"/>
      <c r="E169" s="25" t="s">
        <v>157</v>
      </c>
      <c r="F169" s="45"/>
      <c r="G169" s="45"/>
      <c r="H169" s="20"/>
      <c r="J169" s="55" t="s">
        <v>28</v>
      </c>
      <c r="K169" s="25" t="s">
        <v>33</v>
      </c>
      <c r="L169" s="25"/>
      <c r="M169" s="45"/>
      <c r="N169" s="25" t="s">
        <v>157</v>
      </c>
      <c r="O169" s="45"/>
      <c r="P169" s="45"/>
      <c r="Q169" s="20"/>
      <c r="S169" s="55" t="s">
        <v>28</v>
      </c>
      <c r="T169" s="25" t="s">
        <v>33</v>
      </c>
      <c r="U169" s="25"/>
      <c r="V169" s="45"/>
      <c r="W169" s="25" t="s">
        <v>157</v>
      </c>
      <c r="X169" s="45"/>
      <c r="Y169" s="45"/>
      <c r="Z169" s="20"/>
      <c r="AB169" s="55" t="s">
        <v>28</v>
      </c>
      <c r="AC169" s="25" t="s">
        <v>33</v>
      </c>
      <c r="AD169" s="25"/>
      <c r="AE169" s="45"/>
      <c r="AF169" s="25" t="s">
        <v>157</v>
      </c>
      <c r="AG169" s="45"/>
      <c r="AH169" s="45"/>
      <c r="AI169" s="20"/>
    </row>
    <row r="170" customFormat="false" ht="17.35" hidden="false" customHeight="false" outlineLevel="0" collapsed="false">
      <c r="A170" s="63" t="n">
        <f aca="false">K29</f>
        <v>12</v>
      </c>
      <c r="B170" s="174" t="n">
        <f aca="false">K30</f>
        <v>10000</v>
      </c>
      <c r="C170" s="175"/>
      <c r="D170" s="45"/>
      <c r="E170" s="73" t="n">
        <f aca="false">IF(A111="YES", A40, 0)</f>
        <v>0</v>
      </c>
      <c r="F170" s="45"/>
      <c r="G170" s="45"/>
      <c r="H170" s="20"/>
      <c r="J170" s="63" t="n">
        <f aca="false">K29</f>
        <v>12</v>
      </c>
      <c r="K170" s="176" t="n">
        <f aca="false">K30</f>
        <v>10000</v>
      </c>
      <c r="L170" s="175"/>
      <c r="M170" s="45"/>
      <c r="N170" s="73" t="n">
        <f aca="false">IF(A111="YES", A40, 0)</f>
        <v>0</v>
      </c>
      <c r="O170" s="45"/>
      <c r="P170" s="45"/>
      <c r="Q170" s="20"/>
      <c r="S170" s="63" t="n">
        <f aca="false">K29</f>
        <v>12</v>
      </c>
      <c r="T170" s="176" t="n">
        <f aca="false">K30</f>
        <v>10000</v>
      </c>
      <c r="U170" s="175"/>
      <c r="V170" s="45"/>
      <c r="W170" s="73" t="n">
        <f aca="false">IF(A111="YES", A40, 0)</f>
        <v>0</v>
      </c>
      <c r="X170" s="45"/>
      <c r="Y170" s="45"/>
      <c r="Z170" s="20"/>
      <c r="AB170" s="63" t="n">
        <f aca="false">K29</f>
        <v>12</v>
      </c>
      <c r="AC170" s="176" t="n">
        <f aca="false">K30</f>
        <v>10000</v>
      </c>
      <c r="AD170" s="175"/>
      <c r="AE170" s="45"/>
      <c r="AF170" s="73" t="n">
        <f aca="false">IF(A111="YES", A40, 0)</f>
        <v>0</v>
      </c>
      <c r="AG170" s="45"/>
      <c r="AH170" s="45"/>
      <c r="AI170" s="20"/>
    </row>
    <row r="171" customFormat="false" ht="17.35" hidden="false" customHeight="false" outlineLevel="0" collapsed="false">
      <c r="A171" s="55"/>
      <c r="B171" s="25"/>
      <c r="C171" s="25"/>
      <c r="D171" s="45"/>
      <c r="E171" s="25"/>
      <c r="F171" s="45"/>
      <c r="G171" s="45"/>
      <c r="H171" s="20"/>
      <c r="J171" s="55"/>
      <c r="K171" s="25"/>
      <c r="L171" s="25"/>
      <c r="M171" s="45"/>
      <c r="N171" s="25"/>
      <c r="O171" s="45"/>
      <c r="P171" s="45"/>
      <c r="Q171" s="20"/>
      <c r="S171" s="55"/>
      <c r="T171" s="25"/>
      <c r="U171" s="25"/>
      <c r="V171" s="45"/>
      <c r="W171" s="25"/>
      <c r="X171" s="45"/>
      <c r="Y171" s="45"/>
      <c r="Z171" s="20"/>
      <c r="AB171" s="55"/>
      <c r="AC171" s="25"/>
      <c r="AD171" s="25"/>
      <c r="AE171" s="45"/>
      <c r="AF171" s="25"/>
      <c r="AG171" s="45"/>
      <c r="AH171" s="45"/>
      <c r="AI171" s="20"/>
    </row>
    <row r="172" customFormat="false" ht="17.35" hidden="false" customHeight="false" outlineLevel="0" collapsed="false">
      <c r="A172" s="55" t="s">
        <v>158</v>
      </c>
      <c r="B172" s="25" t="s">
        <v>159</v>
      </c>
      <c r="C172" s="25"/>
      <c r="D172" s="45"/>
      <c r="E172" s="25" t="s">
        <v>160</v>
      </c>
      <c r="F172" s="45"/>
      <c r="G172" s="45"/>
      <c r="H172" s="20"/>
      <c r="J172" s="55" t="s">
        <v>158</v>
      </c>
      <c r="K172" s="25" t="s">
        <v>159</v>
      </c>
      <c r="L172" s="25"/>
      <c r="M172" s="45"/>
      <c r="N172" s="25" t="s">
        <v>160</v>
      </c>
      <c r="O172" s="45"/>
      <c r="P172" s="45"/>
      <c r="Q172" s="20"/>
      <c r="S172" s="55" t="s">
        <v>158</v>
      </c>
      <c r="T172" s="25" t="s">
        <v>159</v>
      </c>
      <c r="U172" s="25"/>
      <c r="V172" s="45"/>
      <c r="W172" s="25" t="s">
        <v>160</v>
      </c>
      <c r="X172" s="45"/>
      <c r="Y172" s="45"/>
      <c r="Z172" s="20"/>
      <c r="AB172" s="55" t="s">
        <v>158</v>
      </c>
      <c r="AC172" s="25" t="s">
        <v>159</v>
      </c>
      <c r="AD172" s="25"/>
      <c r="AE172" s="45"/>
      <c r="AF172" s="25" t="s">
        <v>160</v>
      </c>
      <c r="AG172" s="45"/>
      <c r="AH172" s="45"/>
      <c r="AI172" s="20"/>
    </row>
    <row r="173" customFormat="false" ht="17.35" hidden="false" customHeight="false" outlineLevel="0" collapsed="false">
      <c r="A173" s="69" t="n">
        <f aca="false">H141-H137-H139-H140</f>
        <v>25833.33</v>
      </c>
      <c r="B173" s="37" t="n">
        <f aca="false">H137</f>
        <v>5166.666</v>
      </c>
      <c r="C173" s="67"/>
      <c r="D173" s="45"/>
      <c r="E173" s="73" t="n">
        <f aca="false">H139+H140</f>
        <v>0</v>
      </c>
      <c r="F173" s="45"/>
      <c r="G173" s="45"/>
      <c r="H173" s="20"/>
      <c r="J173" s="69" t="e">
        <f aca="false">Q141-Q137-Q139-Q140</f>
        <v>#VALUE!</v>
      </c>
      <c r="K173" s="37" t="e">
        <f aca="false">Q137</f>
        <v>#VALUE!</v>
      </c>
      <c r="L173" s="67"/>
      <c r="M173" s="45"/>
      <c r="N173" s="73" t="n">
        <f aca="false">Q139+Q140</f>
        <v>55</v>
      </c>
      <c r="O173" s="45"/>
      <c r="P173" s="45"/>
      <c r="Q173" s="20"/>
      <c r="S173" s="69" t="e">
        <f aca="false">Z141-Z137-Z139-Z140</f>
        <v>#VALUE!</v>
      </c>
      <c r="T173" s="37" t="e">
        <f aca="false">Z137</f>
        <v>#VALUE!</v>
      </c>
      <c r="U173" s="67"/>
      <c r="V173" s="45"/>
      <c r="W173" s="73" t="n">
        <f aca="false">Z139+Z140</f>
        <v>55</v>
      </c>
      <c r="X173" s="45"/>
      <c r="Y173" s="45"/>
      <c r="Z173" s="20"/>
      <c r="AB173" s="69" t="e">
        <f aca="false">AI141-AI137-AI139-AI140</f>
        <v>#VALUE!</v>
      </c>
      <c r="AC173" s="37" t="e">
        <f aca="false">AI137</f>
        <v>#VALUE!</v>
      </c>
      <c r="AD173" s="67"/>
      <c r="AE173" s="45"/>
      <c r="AF173" s="73" t="n">
        <f aca="false">AI139+AI140</f>
        <v>55</v>
      </c>
      <c r="AG173" s="45"/>
      <c r="AH173" s="45"/>
      <c r="AI173" s="20"/>
    </row>
    <row r="174" customFormat="false" ht="17.35" hidden="false" customHeight="false" outlineLevel="0" collapsed="false">
      <c r="A174" s="55"/>
      <c r="B174" s="25"/>
      <c r="C174" s="25"/>
      <c r="D174" s="45"/>
      <c r="E174" s="25"/>
      <c r="F174" s="45"/>
      <c r="G174" s="45"/>
      <c r="H174" s="20"/>
      <c r="J174" s="55"/>
      <c r="K174" s="25"/>
      <c r="L174" s="25"/>
      <c r="M174" s="45"/>
      <c r="N174" s="25"/>
      <c r="O174" s="45"/>
      <c r="P174" s="45"/>
      <c r="Q174" s="20"/>
      <c r="S174" s="55"/>
      <c r="T174" s="25"/>
      <c r="U174" s="25"/>
      <c r="V174" s="45"/>
      <c r="W174" s="25"/>
      <c r="X174" s="45"/>
      <c r="Y174" s="45"/>
      <c r="Z174" s="20"/>
      <c r="AB174" s="55"/>
      <c r="AC174" s="25"/>
      <c r="AD174" s="25"/>
      <c r="AE174" s="45"/>
      <c r="AF174" s="25"/>
      <c r="AG174" s="45"/>
      <c r="AH174" s="45"/>
      <c r="AI174" s="20"/>
    </row>
    <row r="175" customFormat="false" ht="17.35" hidden="false" customHeight="false" outlineLevel="0" collapsed="false">
      <c r="A175" s="55" t="s">
        <v>161</v>
      </c>
      <c r="B175" s="25" t="s">
        <v>108</v>
      </c>
      <c r="C175" s="25"/>
      <c r="D175" s="45"/>
      <c r="E175" s="25" t="s">
        <v>109</v>
      </c>
      <c r="F175" s="45"/>
      <c r="G175" s="45"/>
      <c r="H175" s="20"/>
      <c r="J175" s="55" t="s">
        <v>161</v>
      </c>
      <c r="K175" s="25" t="s">
        <v>108</v>
      </c>
      <c r="L175" s="25"/>
      <c r="M175" s="45"/>
      <c r="N175" s="25" t="s">
        <v>109</v>
      </c>
      <c r="O175" s="45"/>
      <c r="P175" s="45"/>
      <c r="Q175" s="20"/>
      <c r="S175" s="55" t="s">
        <v>161</v>
      </c>
      <c r="T175" s="25" t="s">
        <v>108</v>
      </c>
      <c r="U175" s="25"/>
      <c r="V175" s="45"/>
      <c r="W175" s="25" t="s">
        <v>109</v>
      </c>
      <c r="X175" s="45"/>
      <c r="Y175" s="45"/>
      <c r="Z175" s="20"/>
      <c r="AB175" s="55" t="s">
        <v>161</v>
      </c>
      <c r="AC175" s="25" t="s">
        <v>108</v>
      </c>
      <c r="AD175" s="25"/>
      <c r="AE175" s="45"/>
      <c r="AF175" s="25" t="s">
        <v>109</v>
      </c>
      <c r="AG175" s="45"/>
      <c r="AH175" s="45"/>
      <c r="AI175" s="20"/>
    </row>
    <row r="176" customFormat="false" ht="17.35" hidden="false" customHeight="false" outlineLevel="0" collapsed="false">
      <c r="A176" s="69" t="n">
        <f aca="false">H147</f>
        <v>30999.996</v>
      </c>
      <c r="B176" s="37" t="n">
        <f aca="false">B111</f>
        <v>0</v>
      </c>
      <c r="C176" s="37"/>
      <c r="D176" s="45"/>
      <c r="E176" s="37" t="n">
        <f aca="false">E111</f>
        <v>0</v>
      </c>
      <c r="F176" s="45"/>
      <c r="G176" s="45"/>
      <c r="H176" s="177"/>
      <c r="J176" s="69" t="e">
        <f aca="false">Q141</f>
        <v>#VALUE!</v>
      </c>
      <c r="K176" s="37" t="n">
        <f aca="false">K111</f>
        <v>1000</v>
      </c>
      <c r="L176" s="37"/>
      <c r="M176" s="45"/>
      <c r="N176" s="37" t="n">
        <f aca="false">N111</f>
        <v>0</v>
      </c>
      <c r="O176" s="45"/>
      <c r="P176" s="45"/>
      <c r="Q176" s="177"/>
      <c r="S176" s="69" t="e">
        <f aca="false">Z141</f>
        <v>#VALUE!</v>
      </c>
      <c r="T176" s="37" t="n">
        <f aca="false">T111</f>
        <v>1000</v>
      </c>
      <c r="U176" s="37"/>
      <c r="V176" s="45"/>
      <c r="W176" s="37" t="n">
        <f aca="false">W111</f>
        <v>0</v>
      </c>
      <c r="X176" s="45"/>
      <c r="Y176" s="45"/>
      <c r="Z176" s="177"/>
      <c r="AB176" s="69" t="e">
        <f aca="false">AI141</f>
        <v>#VALUE!</v>
      </c>
      <c r="AC176" s="37" t="n">
        <f aca="false">AC111</f>
        <v>1000</v>
      </c>
      <c r="AD176" s="37"/>
      <c r="AE176" s="45"/>
      <c r="AF176" s="37" t="n">
        <f aca="false">AF111</f>
        <v>0</v>
      </c>
      <c r="AG176" s="45"/>
      <c r="AH176" s="45"/>
      <c r="AI176" s="177"/>
    </row>
    <row r="177" customFormat="false" ht="17.35" hidden="false" customHeight="false" outlineLevel="0" collapsed="false">
      <c r="A177" s="55"/>
      <c r="B177" s="25"/>
      <c r="C177" s="25"/>
      <c r="D177" s="45"/>
      <c r="E177" s="25"/>
      <c r="F177" s="45"/>
      <c r="G177" s="45"/>
      <c r="H177" s="20"/>
      <c r="J177" s="55"/>
      <c r="K177" s="25"/>
      <c r="L177" s="25"/>
      <c r="M177" s="45"/>
      <c r="N177" s="25"/>
      <c r="O177" s="45"/>
      <c r="P177" s="45"/>
      <c r="Q177" s="20"/>
      <c r="S177" s="55"/>
      <c r="T177" s="25"/>
      <c r="U177" s="25"/>
      <c r="V177" s="45"/>
      <c r="W177" s="25"/>
      <c r="X177" s="45"/>
      <c r="Y177" s="45"/>
      <c r="Z177" s="20"/>
      <c r="AB177" s="55"/>
      <c r="AC177" s="25"/>
      <c r="AD177" s="25"/>
      <c r="AE177" s="45"/>
      <c r="AF177" s="25"/>
      <c r="AG177" s="45"/>
      <c r="AH177" s="45"/>
      <c r="AI177" s="20"/>
    </row>
    <row r="178" customFormat="false" ht="17.35" hidden="false" customHeight="false" outlineLevel="0" collapsed="false">
      <c r="A178" s="55" t="s">
        <v>110</v>
      </c>
      <c r="B178" s="25" t="s">
        <v>146</v>
      </c>
      <c r="C178" s="25"/>
      <c r="D178" s="45"/>
      <c r="E178" s="25" t="s">
        <v>151</v>
      </c>
      <c r="F178" s="45"/>
      <c r="G178" s="45"/>
      <c r="H178" s="20"/>
      <c r="J178" s="55" t="s">
        <v>110</v>
      </c>
      <c r="K178" s="25" t="s">
        <v>146</v>
      </c>
      <c r="L178" s="25"/>
      <c r="M178" s="45"/>
      <c r="N178" s="25" t="s">
        <v>151</v>
      </c>
      <c r="O178" s="45"/>
      <c r="P178" s="45"/>
      <c r="Q178" s="20"/>
      <c r="S178" s="55" t="s">
        <v>110</v>
      </c>
      <c r="T178" s="25" t="s">
        <v>146</v>
      </c>
      <c r="U178" s="25"/>
      <c r="V178" s="45"/>
      <c r="W178" s="25" t="s">
        <v>151</v>
      </c>
      <c r="X178" s="45"/>
      <c r="Y178" s="45"/>
      <c r="Z178" s="20"/>
      <c r="AB178" s="55" t="s">
        <v>110</v>
      </c>
      <c r="AC178" s="25" t="s">
        <v>146</v>
      </c>
      <c r="AD178" s="25"/>
      <c r="AE178" s="45"/>
      <c r="AF178" s="25" t="s">
        <v>151</v>
      </c>
      <c r="AG178" s="45"/>
      <c r="AH178" s="45"/>
      <c r="AI178" s="20"/>
    </row>
    <row r="179" customFormat="false" ht="17.35" hidden="false" customHeight="false" outlineLevel="0" collapsed="false">
      <c r="A179" s="70" t="n">
        <f aca="false">B176+E176</f>
        <v>0</v>
      </c>
      <c r="B179" s="37" t="n">
        <f aca="false">G154</f>
        <v>0</v>
      </c>
      <c r="C179" s="37"/>
      <c r="D179" s="45"/>
      <c r="E179" s="37" t="n">
        <f aca="false">A176-A179-B179</f>
        <v>30999.996</v>
      </c>
      <c r="F179" s="45"/>
      <c r="G179" s="45"/>
      <c r="H179" s="177"/>
      <c r="J179" s="70" t="n">
        <f aca="false">K176+N176</f>
        <v>1000</v>
      </c>
      <c r="K179" s="37" t="n">
        <f aca="false">P154</f>
        <v>-2000</v>
      </c>
      <c r="L179" s="37"/>
      <c r="M179" s="45"/>
      <c r="N179" s="37" t="e">
        <f aca="false">J176-J179-K179</f>
        <v>#VALUE!</v>
      </c>
      <c r="O179" s="45"/>
      <c r="P179" s="45"/>
      <c r="Q179" s="177"/>
      <c r="S179" s="70" t="n">
        <f aca="false">T176+W176</f>
        <v>1000</v>
      </c>
      <c r="T179" s="37" t="n">
        <f aca="false">Y154</f>
        <v>-2000</v>
      </c>
      <c r="U179" s="37"/>
      <c r="V179" s="45"/>
      <c r="W179" s="37" t="e">
        <f aca="false">S176-S179-T179</f>
        <v>#VALUE!</v>
      </c>
      <c r="X179" s="45"/>
      <c r="Y179" s="45"/>
      <c r="Z179" s="177"/>
      <c r="AB179" s="70" t="n">
        <f aca="false">AC176+AF176</f>
        <v>1000</v>
      </c>
      <c r="AC179" s="37" t="n">
        <f aca="false">AH154</f>
        <v>-2000</v>
      </c>
      <c r="AD179" s="37"/>
      <c r="AE179" s="45"/>
      <c r="AF179" s="37" t="e">
        <f aca="false">AB176-AB179-AC179</f>
        <v>#VALUE!</v>
      </c>
      <c r="AG179" s="45"/>
      <c r="AH179" s="45"/>
      <c r="AI179" s="177"/>
    </row>
    <row r="180" customFormat="false" ht="17.35" hidden="false" customHeight="false" outlineLevel="0" collapsed="false">
      <c r="A180" s="55"/>
      <c r="B180" s="25"/>
      <c r="C180" s="25"/>
      <c r="D180" s="45"/>
      <c r="E180" s="25"/>
      <c r="F180" s="45"/>
      <c r="G180" s="45"/>
      <c r="H180" s="20"/>
      <c r="J180" s="55"/>
      <c r="K180" s="25"/>
      <c r="L180" s="25"/>
      <c r="M180" s="45"/>
      <c r="N180" s="25"/>
      <c r="O180" s="45"/>
      <c r="P180" s="45"/>
      <c r="Q180" s="20"/>
      <c r="S180" s="55"/>
      <c r="T180" s="25"/>
      <c r="U180" s="25"/>
      <c r="V180" s="45"/>
      <c r="W180" s="25"/>
      <c r="X180" s="45"/>
      <c r="Y180" s="45"/>
      <c r="Z180" s="20"/>
      <c r="AB180" s="55"/>
      <c r="AC180" s="25"/>
      <c r="AD180" s="25"/>
      <c r="AE180" s="45"/>
      <c r="AF180" s="25"/>
      <c r="AG180" s="45"/>
      <c r="AH180" s="45"/>
      <c r="AI180" s="20"/>
    </row>
    <row r="181" customFormat="false" ht="17.35" hidden="false" customHeight="false" outlineLevel="0" collapsed="false">
      <c r="A181" s="55" t="s">
        <v>162</v>
      </c>
      <c r="B181" s="25" t="s">
        <v>152</v>
      </c>
      <c r="C181" s="25"/>
      <c r="D181" s="45"/>
      <c r="E181" s="25" t="s">
        <v>163</v>
      </c>
      <c r="F181" s="45"/>
      <c r="G181" s="45"/>
      <c r="H181" s="20"/>
      <c r="J181" s="55" t="s">
        <v>162</v>
      </c>
      <c r="K181" s="25" t="s">
        <v>152</v>
      </c>
      <c r="L181" s="25"/>
      <c r="M181" s="45"/>
      <c r="N181" s="25" t="s">
        <v>163</v>
      </c>
      <c r="O181" s="45"/>
      <c r="P181" s="45"/>
      <c r="Q181" s="20"/>
      <c r="S181" s="55" t="s">
        <v>162</v>
      </c>
      <c r="T181" s="25" t="s">
        <v>152</v>
      </c>
      <c r="U181" s="25"/>
      <c r="V181" s="45"/>
      <c r="W181" s="25" t="s">
        <v>163</v>
      </c>
      <c r="X181" s="45"/>
      <c r="Y181" s="45"/>
      <c r="Z181" s="20"/>
      <c r="AB181" s="55" t="s">
        <v>162</v>
      </c>
      <c r="AC181" s="25" t="s">
        <v>152</v>
      </c>
      <c r="AD181" s="25"/>
      <c r="AE181" s="45"/>
      <c r="AF181" s="25" t="s">
        <v>163</v>
      </c>
      <c r="AG181" s="45"/>
      <c r="AH181" s="45"/>
      <c r="AI181" s="20"/>
    </row>
    <row r="182" customFormat="false" ht="17.35" hidden="false" customHeight="false" outlineLevel="0" collapsed="false">
      <c r="A182" s="70" t="n">
        <f aca="false">(A167*B59)+E185-E179-A185</f>
        <v>4553.78729388026</v>
      </c>
      <c r="B182" s="37" t="str">
        <f aca="false">B114</f>
        <v>199.99</v>
      </c>
      <c r="C182" s="37"/>
      <c r="D182" s="45"/>
      <c r="E182" s="37" t="n">
        <f aca="false">E179+A182+B182+A185</f>
        <v>35763.7732938803</v>
      </c>
      <c r="F182" s="45"/>
      <c r="G182" s="45"/>
      <c r="H182" s="177"/>
      <c r="J182" s="70" t="e">
        <f aca="false">(J167*K59)+N185-N179-J185</f>
        <v>#VALUE!</v>
      </c>
      <c r="K182" s="37" t="n">
        <f aca="false">K114</f>
        <v>239.99</v>
      </c>
      <c r="L182" s="37"/>
      <c r="M182" s="45"/>
      <c r="N182" s="37" t="e">
        <f aca="false">N179+J182+K182+J185</f>
        <v>#VALUE!</v>
      </c>
      <c r="O182" s="45"/>
      <c r="P182" s="45"/>
      <c r="Q182" s="177"/>
      <c r="S182" s="70" t="e">
        <f aca="false">(S167*T59)+W185-W179-S185</f>
        <v>#VALUE!</v>
      </c>
      <c r="T182" s="37" t="n">
        <f aca="false">T114</f>
        <v>199.99</v>
      </c>
      <c r="U182" s="37"/>
      <c r="V182" s="45"/>
      <c r="W182" s="37" t="e">
        <f aca="false">W179+S182+T182+S185</f>
        <v>#VALUE!</v>
      </c>
      <c r="X182" s="45"/>
      <c r="Y182" s="45"/>
      <c r="Z182" s="177"/>
      <c r="AB182" s="70" t="e">
        <f aca="false">(AB167*AC59)+AF185-AF179-AB185</f>
        <v>#VALUE!</v>
      </c>
      <c r="AC182" s="37" t="n">
        <f aca="false">AC114</f>
        <v>239.99</v>
      </c>
      <c r="AD182" s="37"/>
      <c r="AE182" s="45"/>
      <c r="AF182" s="37" t="e">
        <f aca="false">AF179+AB182+AC182+AB185</f>
        <v>#VALUE!</v>
      </c>
      <c r="AG182" s="45"/>
      <c r="AH182" s="45"/>
      <c r="AI182" s="177"/>
    </row>
    <row r="183" customFormat="false" ht="17.35" hidden="false" customHeight="false" outlineLevel="0" collapsed="false">
      <c r="A183" s="55"/>
      <c r="B183" s="25"/>
      <c r="C183" s="25"/>
      <c r="D183" s="45"/>
      <c r="E183" s="25"/>
      <c r="F183" s="45"/>
      <c r="G183" s="45"/>
      <c r="H183" s="20"/>
      <c r="J183" s="55"/>
      <c r="K183" s="25"/>
      <c r="L183" s="25"/>
      <c r="M183" s="45"/>
      <c r="N183" s="25"/>
      <c r="O183" s="45"/>
      <c r="P183" s="45"/>
      <c r="Q183" s="20"/>
      <c r="S183" s="55"/>
      <c r="T183" s="25"/>
      <c r="U183" s="25"/>
      <c r="V183" s="45"/>
      <c r="W183" s="25"/>
      <c r="X183" s="45"/>
      <c r="Y183" s="45"/>
      <c r="Z183" s="20"/>
      <c r="AB183" s="55"/>
      <c r="AC183" s="25"/>
      <c r="AD183" s="25"/>
      <c r="AE183" s="45"/>
      <c r="AF183" s="25"/>
      <c r="AG183" s="45"/>
      <c r="AH183" s="45"/>
      <c r="AI183" s="20"/>
    </row>
    <row r="184" customFormat="false" ht="17.35" hidden="false" customHeight="false" outlineLevel="0" collapsed="false">
      <c r="A184" s="55" t="s">
        <v>164</v>
      </c>
      <c r="B184" s="25" t="s">
        <v>165</v>
      </c>
      <c r="C184" s="25"/>
      <c r="D184" s="45"/>
      <c r="E184" s="25" t="s">
        <v>166</v>
      </c>
      <c r="F184" s="45"/>
      <c r="G184" s="45"/>
      <c r="H184" s="20"/>
      <c r="J184" s="55" t="s">
        <v>164</v>
      </c>
      <c r="K184" s="25" t="s">
        <v>165</v>
      </c>
      <c r="L184" s="25"/>
      <c r="M184" s="45"/>
      <c r="N184" s="25" t="s">
        <v>166</v>
      </c>
      <c r="O184" s="45"/>
      <c r="P184" s="45"/>
      <c r="Q184" s="20"/>
      <c r="S184" s="55" t="s">
        <v>164</v>
      </c>
      <c r="T184" s="25" t="s">
        <v>165</v>
      </c>
      <c r="U184" s="25"/>
      <c r="V184" s="45"/>
      <c r="W184" s="25" t="s">
        <v>166</v>
      </c>
      <c r="X184" s="45"/>
      <c r="Y184" s="45"/>
      <c r="Z184" s="20"/>
      <c r="AB184" s="55" t="s">
        <v>164</v>
      </c>
      <c r="AC184" s="25" t="s">
        <v>165</v>
      </c>
      <c r="AD184" s="25"/>
      <c r="AE184" s="45"/>
      <c r="AF184" s="25" t="s">
        <v>166</v>
      </c>
      <c r="AG184" s="45"/>
      <c r="AH184" s="45"/>
      <c r="AI184" s="20"/>
    </row>
    <row r="185" customFormat="false" ht="17.35" hidden="false" customHeight="false" outlineLevel="0" collapsed="false">
      <c r="A185" s="70" t="n">
        <f aca="false">B60</f>
        <v>10</v>
      </c>
      <c r="B185" s="37" t="n">
        <f aca="false">A179+(B182*1.2)</f>
        <v>239.988</v>
      </c>
      <c r="C185" s="37"/>
      <c r="D185" s="45"/>
      <c r="E185" s="37" t="n">
        <f aca="false">E167+A185</f>
        <v>3000.31527449002</v>
      </c>
      <c r="F185" s="45"/>
      <c r="G185" s="45"/>
      <c r="H185" s="177"/>
      <c r="J185" s="70" t="n">
        <f aca="false">K60</f>
        <v>20</v>
      </c>
      <c r="K185" s="37" t="n">
        <f aca="false">J179+K182</f>
        <v>1239.99</v>
      </c>
      <c r="L185" s="37"/>
      <c r="M185" s="45"/>
      <c r="N185" s="37" t="n">
        <f aca="false">N170+J185</f>
        <v>20</v>
      </c>
      <c r="O185" s="45"/>
      <c r="P185" s="45"/>
      <c r="Q185" s="177"/>
      <c r="S185" s="70" t="n">
        <f aca="false">T60</f>
        <v>10</v>
      </c>
      <c r="T185" s="37" t="n">
        <f aca="false">S179+T182</f>
        <v>1199.99</v>
      </c>
      <c r="U185" s="37"/>
      <c r="V185" s="45"/>
      <c r="W185" s="37" t="n">
        <f aca="false">W170+S185</f>
        <v>10</v>
      </c>
      <c r="X185" s="45"/>
      <c r="Y185" s="45"/>
      <c r="Z185" s="177"/>
      <c r="AB185" s="70" t="n">
        <f aca="false">AC60</f>
        <v>10</v>
      </c>
      <c r="AC185" s="37" t="n">
        <f aca="false">AB179+AC182</f>
        <v>1239.99</v>
      </c>
      <c r="AD185" s="37"/>
      <c r="AE185" s="45"/>
      <c r="AF185" s="37" t="n">
        <f aca="false">AF170+AB185</f>
        <v>10</v>
      </c>
      <c r="AG185" s="45"/>
      <c r="AH185" s="45"/>
      <c r="AI185" s="177"/>
    </row>
    <row r="186" customFormat="false" ht="17.35" hidden="false" customHeight="false" outlineLevel="0" collapsed="false">
      <c r="A186" s="55"/>
      <c r="B186" s="25"/>
      <c r="C186" s="25"/>
      <c r="D186" s="25"/>
      <c r="E186" s="45"/>
      <c r="F186" s="45"/>
      <c r="G186" s="45"/>
      <c r="H186" s="20"/>
      <c r="J186" s="55"/>
      <c r="K186" s="25"/>
      <c r="L186" s="25"/>
      <c r="M186" s="25"/>
      <c r="N186" s="45"/>
      <c r="O186" s="45"/>
      <c r="P186" s="45"/>
      <c r="Q186" s="20"/>
      <c r="S186" s="55"/>
      <c r="T186" s="25"/>
      <c r="U186" s="25"/>
      <c r="V186" s="25"/>
      <c r="W186" s="45"/>
      <c r="X186" s="178"/>
      <c r="Y186" s="178"/>
      <c r="Z186" s="20"/>
      <c r="AB186" s="55"/>
      <c r="AC186" s="25"/>
      <c r="AD186" s="25"/>
      <c r="AE186" s="25"/>
      <c r="AF186" s="45"/>
      <c r="AG186" s="45"/>
      <c r="AH186" s="45"/>
      <c r="AI186" s="20"/>
    </row>
    <row r="187" customFormat="false" ht="17.35" hidden="false" customHeight="false" outlineLevel="0" collapsed="false">
      <c r="A187" s="55" t="s">
        <v>167</v>
      </c>
      <c r="B187" s="25" t="s">
        <v>168</v>
      </c>
      <c r="C187" s="25"/>
      <c r="D187" s="25"/>
      <c r="E187" s="38" t="s">
        <v>169</v>
      </c>
      <c r="F187" s="45"/>
      <c r="G187" s="45"/>
      <c r="H187" s="20"/>
      <c r="J187" s="55" t="s">
        <v>167</v>
      </c>
      <c r="K187" s="25" t="s">
        <v>168</v>
      </c>
      <c r="L187" s="25"/>
      <c r="M187" s="25"/>
      <c r="N187" s="38" t="s">
        <v>169</v>
      </c>
      <c r="O187" s="45"/>
      <c r="P187" s="45"/>
      <c r="Q187" s="20"/>
      <c r="S187" s="55" t="s">
        <v>167</v>
      </c>
      <c r="T187" s="25" t="s">
        <v>168</v>
      </c>
      <c r="U187" s="25"/>
      <c r="V187" s="25"/>
      <c r="W187" s="38" t="s">
        <v>169</v>
      </c>
      <c r="X187" s="178"/>
      <c r="Y187" s="178"/>
      <c r="Z187" s="20"/>
      <c r="AB187" s="55" t="s">
        <v>167</v>
      </c>
      <c r="AC187" s="25" t="s">
        <v>168</v>
      </c>
      <c r="AD187" s="25"/>
      <c r="AE187" s="25"/>
      <c r="AF187" s="38" t="s">
        <v>169</v>
      </c>
      <c r="AG187" s="178"/>
      <c r="AH187" s="178"/>
      <c r="AI187" s="20"/>
    </row>
    <row r="188" customFormat="false" ht="17.35" hidden="false" customHeight="false" outlineLevel="0" collapsed="false">
      <c r="A188" s="70" t="n">
        <f aca="false">IF(E105="YES", B61*0.000002, 0)*100</f>
        <v>7.481</v>
      </c>
      <c r="B188" s="37" t="n">
        <f aca="false">(G158*B67)/1.2</f>
        <v>129.16665</v>
      </c>
      <c r="C188" s="25"/>
      <c r="D188" s="25"/>
      <c r="E188" s="37" t="n">
        <f aca="false">(E40*A108)*0.1</f>
        <v>5.5</v>
      </c>
      <c r="F188" s="45"/>
      <c r="G188" s="45"/>
      <c r="H188" s="20"/>
      <c r="J188" s="70" t="n">
        <f aca="false">IF(N105="YES", H15*0.000002, 0)</f>
        <v>0</v>
      </c>
      <c r="K188" s="37" t="e">
        <f aca="false">(P158*K67)/1.2</f>
        <v>#VALUE!</v>
      </c>
      <c r="L188" s="25"/>
      <c r="M188" s="25"/>
      <c r="N188" s="37" t="n">
        <f aca="false">(E40*J108)*0.1</f>
        <v>8.25</v>
      </c>
      <c r="O188" s="45"/>
      <c r="P188" s="45"/>
      <c r="Q188" s="20"/>
      <c r="S188" s="70" t="n">
        <f aca="false">IF(W105="YES", Z15*0.000002, 0)</f>
        <v>0</v>
      </c>
      <c r="T188" s="37" t="e">
        <f aca="false">(Y158*T67)/1.2</f>
        <v>#VALUE!</v>
      </c>
      <c r="U188" s="25"/>
      <c r="V188" s="25"/>
      <c r="W188" s="37" t="n">
        <f aca="false">(E40*S108)*0.1</f>
        <v>5.5</v>
      </c>
      <c r="X188" s="178"/>
      <c r="Y188" s="178"/>
      <c r="Z188" s="20"/>
      <c r="AB188" s="70" t="n">
        <f aca="false">IF(AF105="YES", AI15*0.000002, 0)</f>
        <v>0</v>
      </c>
      <c r="AC188" s="37" t="e">
        <f aca="false">(AH158*AC67)/1.2</f>
        <v>#VALUE!</v>
      </c>
      <c r="AD188" s="25"/>
      <c r="AE188" s="25"/>
      <c r="AF188" s="37" t="n">
        <f aca="false">(E40*AB108)*0.1</f>
        <v>5.5</v>
      </c>
      <c r="AG188" s="178"/>
      <c r="AH188" s="178"/>
      <c r="AI188" s="20"/>
    </row>
    <row r="189" customFormat="false" ht="17.35" hidden="false" customHeight="false" outlineLevel="0" collapsed="false">
      <c r="A189" s="70"/>
      <c r="B189" s="37"/>
      <c r="C189" s="25"/>
      <c r="D189" s="25"/>
      <c r="E189" s="45"/>
      <c r="F189" s="45"/>
      <c r="G189" s="45"/>
      <c r="H189" s="20"/>
      <c r="J189" s="70"/>
      <c r="K189" s="37"/>
      <c r="L189" s="25"/>
      <c r="M189" s="25"/>
      <c r="N189" s="45"/>
      <c r="O189" s="45"/>
      <c r="P189" s="45"/>
      <c r="Q189" s="20"/>
      <c r="S189" s="70"/>
      <c r="T189" s="37"/>
      <c r="U189" s="25"/>
      <c r="V189" s="25"/>
      <c r="W189" s="45"/>
      <c r="X189" s="178"/>
      <c r="Y189" s="178"/>
      <c r="Z189" s="20"/>
      <c r="AB189" s="70"/>
      <c r="AC189" s="37"/>
      <c r="AD189" s="25"/>
      <c r="AE189" s="25"/>
      <c r="AF189" s="45"/>
      <c r="AG189" s="178"/>
      <c r="AH189" s="178"/>
      <c r="AI189" s="20"/>
    </row>
    <row r="190" customFormat="false" ht="17.35" hidden="false" customHeight="false" outlineLevel="0" collapsed="false">
      <c r="A190" s="78" t="s">
        <v>170</v>
      </c>
      <c r="B190" s="38" t="s">
        <v>171</v>
      </c>
      <c r="C190" s="25"/>
      <c r="D190" s="25"/>
      <c r="E190" s="38" t="s">
        <v>172</v>
      </c>
      <c r="F190" s="45"/>
      <c r="G190" s="45"/>
      <c r="H190" s="20"/>
      <c r="J190" s="78" t="s">
        <v>170</v>
      </c>
      <c r="K190" s="38" t="s">
        <v>171</v>
      </c>
      <c r="L190" s="25"/>
      <c r="M190" s="25"/>
      <c r="N190" s="38" t="s">
        <v>172</v>
      </c>
      <c r="O190" s="45"/>
      <c r="P190" s="45"/>
      <c r="Q190" s="20"/>
      <c r="S190" s="78" t="s">
        <v>170</v>
      </c>
      <c r="T190" s="38" t="s">
        <v>171</v>
      </c>
      <c r="U190" s="25"/>
      <c r="V190" s="25"/>
      <c r="W190" s="38" t="s">
        <v>172</v>
      </c>
      <c r="X190" s="178"/>
      <c r="Y190" s="178"/>
      <c r="Z190" s="20"/>
      <c r="AB190" s="78" t="s">
        <v>170</v>
      </c>
      <c r="AC190" s="38" t="s">
        <v>171</v>
      </c>
      <c r="AD190" s="25"/>
      <c r="AE190" s="25"/>
      <c r="AF190" s="38" t="s">
        <v>172</v>
      </c>
      <c r="AG190" s="178"/>
      <c r="AH190" s="178"/>
      <c r="AI190" s="20"/>
    </row>
    <row r="191" customFormat="false" ht="17.35" hidden="false" customHeight="false" outlineLevel="0" collapsed="false">
      <c r="A191" s="70" t="n">
        <f aca="false">B182-100</f>
        <v>99.99</v>
      </c>
      <c r="B191" s="37" t="n">
        <f aca="false">B188+E188+A191</f>
        <v>234.65665</v>
      </c>
      <c r="C191" s="25"/>
      <c r="D191" s="25"/>
      <c r="E191" s="37" t="n">
        <f aca="false">H148</f>
        <v>1875</v>
      </c>
      <c r="F191" s="45"/>
      <c r="G191" s="45"/>
      <c r="H191" s="20"/>
      <c r="J191" s="70" t="n">
        <f aca="false">K185-100</f>
        <v>1139.99</v>
      </c>
      <c r="K191" s="37" t="e">
        <f aca="false">K188+N188+J191</f>
        <v>#VALUE!</v>
      </c>
      <c r="L191" s="25"/>
      <c r="M191" s="25"/>
      <c r="N191" s="37" t="e">
        <f aca="false">Q148</f>
        <v>#VALUE!</v>
      </c>
      <c r="O191" s="45"/>
      <c r="P191" s="45"/>
      <c r="Q191" s="20"/>
      <c r="S191" s="70" t="n">
        <f aca="false">T185-100</f>
        <v>1099.99</v>
      </c>
      <c r="T191" s="37" t="e">
        <f aca="false">T188+W188+S191</f>
        <v>#VALUE!</v>
      </c>
      <c r="U191" s="25"/>
      <c r="V191" s="25"/>
      <c r="W191" s="37" t="e">
        <f aca="false">Z148</f>
        <v>#VALUE!</v>
      </c>
      <c r="X191" s="178"/>
      <c r="Y191" s="178"/>
      <c r="Z191" s="20"/>
      <c r="AB191" s="70" t="n">
        <f aca="false">AC185-100</f>
        <v>1139.99</v>
      </c>
      <c r="AC191" s="37" t="e">
        <f aca="false">AC188+AF188+AB191</f>
        <v>#VALUE!</v>
      </c>
      <c r="AD191" s="25"/>
      <c r="AE191" s="25"/>
      <c r="AF191" s="37" t="e">
        <f aca="false">AI148</f>
        <v>#VALUE!</v>
      </c>
      <c r="AG191" s="178"/>
      <c r="AH191" s="178"/>
      <c r="AI191" s="20"/>
    </row>
    <row r="192" customFormat="false" ht="17.35" hidden="false" customHeight="false" outlineLevel="0" collapsed="false">
      <c r="A192" s="55"/>
      <c r="B192" s="25"/>
      <c r="C192" s="25"/>
      <c r="D192" s="25"/>
      <c r="E192" s="45"/>
      <c r="F192" s="45"/>
      <c r="G192" s="45"/>
      <c r="H192" s="20"/>
      <c r="J192" s="55"/>
      <c r="K192" s="25"/>
      <c r="L192" s="25"/>
      <c r="M192" s="25"/>
      <c r="N192" s="45"/>
      <c r="O192" s="45"/>
      <c r="P192" s="45"/>
      <c r="Q192" s="20"/>
      <c r="S192" s="55"/>
      <c r="T192" s="25"/>
      <c r="U192" s="25"/>
      <c r="V192" s="25"/>
      <c r="W192" s="45"/>
      <c r="X192" s="45"/>
      <c r="Y192" s="45"/>
      <c r="Z192" s="20"/>
      <c r="AB192" s="55"/>
      <c r="AC192" s="25"/>
      <c r="AD192" s="25"/>
      <c r="AE192" s="25"/>
      <c r="AF192" s="45"/>
      <c r="AG192" s="45"/>
      <c r="AH192" s="45"/>
      <c r="AI192" s="20"/>
    </row>
    <row r="193" customFormat="false" ht="17.35" hidden="false" customHeight="false" outlineLevel="0" collapsed="false">
      <c r="A193" s="83" t="s">
        <v>173</v>
      </c>
      <c r="B193" s="25"/>
      <c r="C193" s="25"/>
      <c r="D193" s="84"/>
      <c r="E193" s="84"/>
      <c r="F193" s="84"/>
      <c r="G193" s="84"/>
      <c r="H193" s="85"/>
      <c r="J193" s="83" t="s">
        <v>173</v>
      </c>
      <c r="K193" s="25"/>
      <c r="L193" s="25"/>
      <c r="M193" s="84"/>
      <c r="N193" s="84"/>
      <c r="O193" s="84"/>
      <c r="P193" s="84"/>
      <c r="Q193" s="85"/>
      <c r="S193" s="83" t="s">
        <v>173</v>
      </c>
      <c r="T193" s="25"/>
      <c r="U193" s="25"/>
      <c r="V193" s="84"/>
      <c r="W193" s="84"/>
      <c r="X193" s="84"/>
      <c r="Y193" s="84"/>
      <c r="Z193" s="85"/>
      <c r="AB193" s="83" t="s">
        <v>173</v>
      </c>
      <c r="AC193" s="25"/>
      <c r="AD193" s="25"/>
      <c r="AE193" s="84"/>
      <c r="AF193" s="84"/>
      <c r="AG193" s="84"/>
      <c r="AH193" s="84"/>
      <c r="AI193" s="85"/>
    </row>
    <row r="194" customFormat="false" ht="17.35" hidden="false" customHeight="false" outlineLevel="0" collapsed="false">
      <c r="A194" s="55"/>
      <c r="B194" s="87"/>
      <c r="C194" s="87"/>
      <c r="D194" s="25"/>
      <c r="E194" s="45"/>
      <c r="F194" s="45"/>
      <c r="G194" s="45"/>
      <c r="H194" s="20"/>
      <c r="J194" s="55"/>
      <c r="K194" s="87"/>
      <c r="L194" s="87"/>
      <c r="M194" s="25"/>
      <c r="N194" s="45"/>
      <c r="O194" s="45"/>
      <c r="P194" s="45"/>
      <c r="Q194" s="20"/>
      <c r="S194" s="55"/>
      <c r="T194" s="87"/>
      <c r="U194" s="87"/>
      <c r="V194" s="25"/>
      <c r="W194" s="45"/>
      <c r="X194" s="45"/>
      <c r="Y194" s="45"/>
      <c r="Z194" s="20"/>
      <c r="AB194" s="55"/>
      <c r="AC194" s="87"/>
      <c r="AD194" s="87"/>
      <c r="AE194" s="25"/>
      <c r="AF194" s="45"/>
      <c r="AG194" s="45"/>
      <c r="AH194" s="45"/>
      <c r="AI194" s="20"/>
    </row>
    <row r="195" customFormat="false" ht="19.7" hidden="false" customHeight="false" outlineLevel="0" collapsed="false">
      <c r="A195" s="88" t="s">
        <v>28</v>
      </c>
      <c r="B195" s="89" t="s">
        <v>33</v>
      </c>
      <c r="C195" s="89"/>
      <c r="D195" s="89"/>
      <c r="E195" s="45"/>
      <c r="F195" s="45"/>
      <c r="G195" s="45"/>
      <c r="H195" s="20"/>
      <c r="J195" s="88" t="s">
        <v>28</v>
      </c>
      <c r="K195" s="89" t="s">
        <v>33</v>
      </c>
      <c r="L195" s="89"/>
      <c r="M195" s="89"/>
      <c r="N195" s="45"/>
      <c r="O195" s="45"/>
      <c r="P195" s="45"/>
      <c r="Q195" s="20"/>
      <c r="S195" s="88" t="s">
        <v>28</v>
      </c>
      <c r="T195" s="89" t="s">
        <v>33</v>
      </c>
      <c r="U195" s="89"/>
      <c r="V195" s="89"/>
      <c r="W195" s="45"/>
      <c r="X195" s="45"/>
      <c r="Y195" s="45"/>
      <c r="Z195" s="20"/>
      <c r="AB195" s="88" t="s">
        <v>28</v>
      </c>
      <c r="AC195" s="89" t="s">
        <v>33</v>
      </c>
      <c r="AD195" s="89"/>
      <c r="AE195" s="89"/>
      <c r="AF195" s="45"/>
      <c r="AG195" s="45"/>
      <c r="AH195" s="45"/>
      <c r="AI195" s="20"/>
    </row>
    <row r="196" customFormat="false" ht="19.5" hidden="false" customHeight="true" outlineLevel="0" collapsed="false">
      <c r="A196" s="88"/>
      <c r="B196" s="90" t="n">
        <f aca="false">K30</f>
        <v>10000</v>
      </c>
      <c r="C196" s="90"/>
      <c r="D196" s="90"/>
      <c r="E196" s="45"/>
      <c r="F196" s="45"/>
      <c r="G196" s="45"/>
      <c r="H196" s="20"/>
      <c r="J196" s="88"/>
      <c r="K196" s="90" t="n">
        <f aca="false">K30</f>
        <v>10000</v>
      </c>
      <c r="L196" s="90"/>
      <c r="M196" s="90"/>
      <c r="N196" s="45"/>
      <c r="O196" s="45"/>
      <c r="P196" s="45"/>
      <c r="Q196" s="20"/>
      <c r="S196" s="88"/>
      <c r="T196" s="90" t="n">
        <f aca="false">K30</f>
        <v>10000</v>
      </c>
      <c r="U196" s="90"/>
      <c r="V196" s="90"/>
      <c r="W196" s="45"/>
      <c r="X196" s="45"/>
      <c r="Y196" s="45"/>
      <c r="Z196" s="20"/>
      <c r="AB196" s="88"/>
      <c r="AC196" s="90" t="n">
        <f aca="false">K30</f>
        <v>10000</v>
      </c>
      <c r="AD196" s="90"/>
      <c r="AE196" s="90"/>
      <c r="AF196" s="45"/>
      <c r="AG196" s="45"/>
      <c r="AH196" s="45"/>
      <c r="AI196" s="20"/>
    </row>
    <row r="197" customFormat="false" ht="17.35" hidden="false" customHeight="false" outlineLevel="0" collapsed="false">
      <c r="A197" s="91" t="n">
        <f aca="false">K29</f>
        <v>12</v>
      </c>
      <c r="B197" s="92" t="n">
        <f aca="false">B96</f>
        <v>2990.31527449002</v>
      </c>
      <c r="C197" s="92"/>
      <c r="D197" s="92"/>
      <c r="E197" s="45"/>
      <c r="F197" s="45"/>
      <c r="G197" s="45"/>
      <c r="H197" s="20"/>
      <c r="J197" s="91" t="n">
        <f aca="false">K29</f>
        <v>12</v>
      </c>
      <c r="K197" s="92" t="e">
        <f aca="false">K96</f>
        <v>#VALUE!</v>
      </c>
      <c r="L197" s="92"/>
      <c r="M197" s="92"/>
      <c r="N197" s="45"/>
      <c r="O197" s="45"/>
      <c r="P197" s="45"/>
      <c r="Q197" s="20"/>
      <c r="S197" s="91" t="n">
        <f aca="false">K29</f>
        <v>12</v>
      </c>
      <c r="T197" s="92" t="e">
        <f aca="false">T96</f>
        <v>#VALUE!</v>
      </c>
      <c r="U197" s="92"/>
      <c r="V197" s="92"/>
      <c r="W197" s="45"/>
      <c r="X197" s="45"/>
      <c r="Y197" s="45"/>
      <c r="Z197" s="20"/>
      <c r="AB197" s="91" t="n">
        <f aca="false">K29</f>
        <v>12</v>
      </c>
      <c r="AC197" s="92" t="e">
        <f aca="false">AC96</f>
        <v>#VALUE!</v>
      </c>
      <c r="AD197" s="92"/>
      <c r="AE197" s="92"/>
      <c r="AF197" s="45"/>
      <c r="AG197" s="45"/>
      <c r="AH197" s="45"/>
      <c r="AI197" s="20"/>
    </row>
    <row r="198" customFormat="false" ht="17.35" hidden="false" customHeight="false" outlineLevel="0" collapsed="false">
      <c r="A198" s="55"/>
      <c r="B198" s="25"/>
      <c r="C198" s="25"/>
      <c r="D198" s="25"/>
      <c r="E198" s="45"/>
      <c r="F198" s="45"/>
      <c r="G198" s="45"/>
      <c r="H198" s="20"/>
      <c r="J198" s="55"/>
      <c r="K198" s="25"/>
      <c r="L198" s="25"/>
      <c r="M198" s="25"/>
      <c r="N198" s="45"/>
      <c r="O198" s="45"/>
      <c r="P198" s="45"/>
      <c r="Q198" s="20"/>
      <c r="S198" s="55"/>
      <c r="T198" s="25"/>
      <c r="U198" s="25"/>
      <c r="V198" s="25"/>
      <c r="W198" s="45"/>
      <c r="X198" s="45"/>
      <c r="Y198" s="45"/>
      <c r="Z198" s="20"/>
      <c r="AB198" s="55"/>
      <c r="AC198" s="25"/>
      <c r="AD198" s="25"/>
      <c r="AE198" s="25"/>
      <c r="AF198" s="45"/>
      <c r="AG198" s="45"/>
      <c r="AH198" s="45"/>
      <c r="AI198" s="20"/>
    </row>
    <row r="199" customFormat="false" ht="17.35" hidden="false" customHeight="false" outlineLevel="0" collapsed="false">
      <c r="A199" s="55"/>
      <c r="B199" s="25"/>
      <c r="C199" s="25"/>
      <c r="D199" s="25"/>
      <c r="E199" s="45"/>
      <c r="F199" s="45"/>
      <c r="G199" s="45"/>
      <c r="H199" s="20"/>
      <c r="J199" s="55"/>
      <c r="K199" s="25"/>
      <c r="L199" s="25"/>
      <c r="M199" s="25"/>
      <c r="N199" s="45"/>
      <c r="O199" s="45"/>
      <c r="P199" s="45"/>
      <c r="Q199" s="20"/>
      <c r="S199" s="55"/>
      <c r="T199" s="25"/>
      <c r="U199" s="25"/>
      <c r="V199" s="25"/>
      <c r="W199" s="45"/>
      <c r="X199" s="45"/>
      <c r="Y199" s="45"/>
      <c r="Z199" s="20"/>
      <c r="AB199" s="55"/>
      <c r="AC199" s="25"/>
      <c r="AD199" s="25"/>
      <c r="AE199" s="25"/>
      <c r="AF199" s="45"/>
      <c r="AG199" s="45"/>
      <c r="AH199" s="45"/>
      <c r="AI199" s="20"/>
    </row>
    <row r="200" customFormat="false" ht="17.35" hidden="false" customHeight="false" outlineLevel="0" collapsed="false">
      <c r="A200" s="55"/>
      <c r="B200" s="25"/>
      <c r="C200" s="25"/>
      <c r="D200" s="25"/>
      <c r="E200" s="45"/>
      <c r="F200" s="45"/>
      <c r="G200" s="45"/>
      <c r="H200" s="20"/>
      <c r="J200" s="55"/>
      <c r="K200" s="25"/>
      <c r="L200" s="25"/>
      <c r="M200" s="25"/>
      <c r="N200" s="45"/>
      <c r="O200" s="45"/>
      <c r="P200" s="45"/>
      <c r="Q200" s="20"/>
      <c r="S200" s="55"/>
      <c r="T200" s="25"/>
      <c r="U200" s="25"/>
      <c r="V200" s="25"/>
      <c r="W200" s="45"/>
      <c r="X200" s="45"/>
      <c r="Y200" s="45"/>
      <c r="Z200" s="20"/>
      <c r="AB200" s="55"/>
      <c r="AC200" s="25"/>
      <c r="AD200" s="25"/>
      <c r="AE200" s="25"/>
      <c r="AF200" s="45"/>
      <c r="AG200" s="45"/>
      <c r="AH200" s="45"/>
      <c r="AI200" s="20"/>
    </row>
    <row r="201" customFormat="false" ht="17.35" hidden="false" customHeight="false" outlineLevel="0" collapsed="false">
      <c r="A201" s="55"/>
      <c r="B201" s="25"/>
      <c r="C201" s="25"/>
      <c r="D201" s="25"/>
      <c r="E201" s="45"/>
      <c r="F201" s="45"/>
      <c r="G201" s="45"/>
      <c r="H201" s="20"/>
      <c r="J201" s="55"/>
      <c r="K201" s="25"/>
      <c r="L201" s="25"/>
      <c r="M201" s="25"/>
      <c r="N201" s="45"/>
      <c r="O201" s="45"/>
      <c r="P201" s="45"/>
      <c r="Q201" s="20"/>
      <c r="S201" s="55"/>
      <c r="T201" s="25"/>
      <c r="U201" s="25"/>
      <c r="V201" s="25"/>
      <c r="W201" s="45"/>
      <c r="X201" s="45"/>
      <c r="Y201" s="45"/>
      <c r="Z201" s="20"/>
      <c r="AB201" s="55"/>
      <c r="AC201" s="25"/>
      <c r="AD201" s="25"/>
      <c r="AE201" s="25"/>
      <c r="AF201" s="45"/>
      <c r="AG201" s="45"/>
      <c r="AH201" s="45"/>
      <c r="AI201" s="20"/>
    </row>
    <row r="202" customFormat="false" ht="17.35" hidden="false" customHeight="false" outlineLevel="0" collapsed="false">
      <c r="A202" s="74"/>
      <c r="B202" s="75"/>
      <c r="C202" s="75"/>
      <c r="D202" s="75"/>
      <c r="E202" s="75"/>
      <c r="F202" s="75"/>
      <c r="G202" s="75"/>
      <c r="H202" s="82"/>
      <c r="J202" s="74"/>
      <c r="K202" s="75"/>
      <c r="L202" s="75"/>
      <c r="M202" s="75"/>
      <c r="N202" s="75"/>
      <c r="O202" s="75"/>
      <c r="P202" s="75"/>
      <c r="Q202" s="82"/>
      <c r="S202" s="74"/>
      <c r="T202" s="75"/>
      <c r="U202" s="75"/>
      <c r="V202" s="75"/>
      <c r="W202" s="75"/>
      <c r="X202" s="75"/>
      <c r="Y202" s="75"/>
      <c r="Z202" s="82"/>
      <c r="AB202" s="74"/>
      <c r="AC202" s="75"/>
      <c r="AD202" s="75"/>
      <c r="AE202" s="75"/>
      <c r="AF202" s="75"/>
      <c r="AG202" s="75"/>
      <c r="AH202" s="75"/>
      <c r="AI202" s="82"/>
    </row>
    <row r="206" customFormat="false" ht="22.05" hidden="false" customHeight="false" outlineLevel="0" collapsed="false">
      <c r="A206" s="179" t="s">
        <v>153</v>
      </c>
      <c r="B206" s="179"/>
      <c r="C206" s="179"/>
      <c r="D206" s="179"/>
      <c r="E206" s="179"/>
      <c r="F206" s="179"/>
      <c r="G206" s="179"/>
      <c r="H206" s="179"/>
    </row>
    <row r="207" customFormat="false" ht="17.35" hidden="false" customHeight="false" outlineLevel="0" collapsed="false">
      <c r="A207" s="55"/>
      <c r="B207" s="25"/>
      <c r="C207" s="25"/>
      <c r="D207" s="25"/>
      <c r="E207" s="94"/>
      <c r="F207" s="94"/>
      <c r="G207" s="94"/>
      <c r="H207" s="20"/>
    </row>
    <row r="208" customFormat="false" ht="17.35" hidden="false" customHeight="false" outlineLevel="0" collapsed="false">
      <c r="A208" s="180" t="s">
        <v>98</v>
      </c>
      <c r="B208" s="181" t="s">
        <v>174</v>
      </c>
      <c r="C208" s="181"/>
      <c r="D208" s="181"/>
      <c r="E208" s="181" t="s">
        <v>175</v>
      </c>
      <c r="F208" s="182"/>
      <c r="G208" s="94"/>
      <c r="H208" s="20"/>
    </row>
    <row r="209" customFormat="false" ht="17.35" hidden="false" customHeight="false" outlineLevel="0" collapsed="false">
      <c r="A209" s="183" t="s">
        <v>176</v>
      </c>
      <c r="B209" s="170" t="n">
        <f aca="false">A197</f>
        <v>12</v>
      </c>
      <c r="C209" s="170"/>
      <c r="D209" s="170"/>
      <c r="E209" s="170" t="n">
        <f aca="false">B196</f>
        <v>10000</v>
      </c>
      <c r="F209" s="182"/>
      <c r="G209" s="94"/>
      <c r="H209" s="20"/>
    </row>
    <row r="210" customFormat="false" ht="17.35" hidden="false" customHeight="false" outlineLevel="0" collapsed="false">
      <c r="A210" s="55"/>
      <c r="B210" s="25"/>
      <c r="C210" s="25"/>
      <c r="D210" s="25"/>
      <c r="E210" s="94"/>
      <c r="F210" s="94"/>
      <c r="G210" s="94"/>
      <c r="H210" s="20"/>
    </row>
    <row r="211" customFormat="false" ht="17.35" hidden="false" customHeight="false" outlineLevel="0" collapsed="false">
      <c r="A211" s="180" t="s">
        <v>154</v>
      </c>
      <c r="B211" s="181" t="s">
        <v>155</v>
      </c>
      <c r="C211" s="181"/>
      <c r="D211" s="181"/>
      <c r="E211" s="181" t="s">
        <v>156</v>
      </c>
      <c r="F211" s="94"/>
      <c r="G211" s="94"/>
      <c r="H211" s="20"/>
    </row>
    <row r="212" customFormat="false" ht="17.35" hidden="false" customHeight="false" outlineLevel="0" collapsed="false">
      <c r="A212" s="173" t="n">
        <f aca="false">A167</f>
        <v>2960.31527449002</v>
      </c>
      <c r="B212" s="172" t="n">
        <f aca="false">B167</f>
        <v>30</v>
      </c>
      <c r="C212" s="170"/>
      <c r="D212" s="170"/>
      <c r="E212" s="172" t="n">
        <f aca="false">E167</f>
        <v>2990.31527449002</v>
      </c>
      <c r="F212" s="94"/>
      <c r="G212" s="94"/>
      <c r="H212" s="20"/>
    </row>
    <row r="213" customFormat="false" ht="17.35" hidden="false" customHeight="false" outlineLevel="0" collapsed="false">
      <c r="A213" s="55"/>
      <c r="B213" s="25"/>
      <c r="C213" s="25"/>
      <c r="D213" s="25"/>
      <c r="E213" s="94"/>
      <c r="F213" s="94"/>
      <c r="G213" s="94"/>
      <c r="H213" s="20"/>
    </row>
    <row r="214" customFormat="false" ht="17.35" hidden="false" customHeight="false" outlineLevel="0" collapsed="false">
      <c r="A214" s="55" t="s">
        <v>158</v>
      </c>
      <c r="B214" s="25" t="s">
        <v>159</v>
      </c>
      <c r="C214" s="25"/>
      <c r="D214" s="94"/>
      <c r="E214" s="25" t="s">
        <v>160</v>
      </c>
      <c r="F214" s="94"/>
      <c r="G214" s="94"/>
      <c r="H214" s="20"/>
    </row>
    <row r="215" customFormat="false" ht="17.35" hidden="false" customHeight="false" outlineLevel="0" collapsed="false">
      <c r="A215" s="69" t="n">
        <f aca="false">A173</f>
        <v>25833.33</v>
      </c>
      <c r="B215" s="37" t="n">
        <f aca="false">B173</f>
        <v>5166.666</v>
      </c>
      <c r="C215" s="67"/>
      <c r="D215" s="94"/>
      <c r="E215" s="73" t="n">
        <f aca="false">E173</f>
        <v>0</v>
      </c>
      <c r="F215" s="94"/>
      <c r="G215" s="94"/>
      <c r="H215" s="20"/>
    </row>
    <row r="216" customFormat="false" ht="17.35" hidden="false" customHeight="false" outlineLevel="0" collapsed="false">
      <c r="A216" s="55"/>
      <c r="B216" s="25"/>
      <c r="C216" s="25"/>
      <c r="D216" s="94"/>
      <c r="E216" s="25"/>
      <c r="F216" s="94"/>
      <c r="G216" s="94"/>
      <c r="H216" s="20"/>
    </row>
    <row r="217" customFormat="false" ht="17.35" hidden="false" customHeight="false" outlineLevel="0" collapsed="false">
      <c r="A217" s="55" t="s">
        <v>161</v>
      </c>
      <c r="B217" s="25" t="s">
        <v>108</v>
      </c>
      <c r="C217" s="25"/>
      <c r="D217" s="94"/>
      <c r="E217" s="25" t="s">
        <v>109</v>
      </c>
      <c r="F217" s="94"/>
      <c r="G217" s="94"/>
      <c r="H217" s="20"/>
    </row>
    <row r="218" customFormat="false" ht="17.35" hidden="false" customHeight="false" outlineLevel="0" collapsed="false">
      <c r="A218" s="69" t="n">
        <f aca="false">A176</f>
        <v>30999.996</v>
      </c>
      <c r="B218" s="37" t="n">
        <f aca="false">B176</f>
        <v>0</v>
      </c>
      <c r="C218" s="37"/>
      <c r="D218" s="94"/>
      <c r="E218" s="37" t="n">
        <f aca="false">E176</f>
        <v>0</v>
      </c>
      <c r="F218" s="94"/>
      <c r="G218" s="94"/>
      <c r="H218" s="177"/>
    </row>
    <row r="219" customFormat="false" ht="17.35" hidden="false" customHeight="false" outlineLevel="0" collapsed="false">
      <c r="A219" s="55"/>
      <c r="B219" s="25"/>
      <c r="C219" s="25"/>
      <c r="D219" s="94"/>
      <c r="E219" s="25"/>
      <c r="F219" s="94"/>
      <c r="G219" s="94"/>
      <c r="H219" s="20"/>
    </row>
    <row r="220" customFormat="false" ht="17.35" hidden="false" customHeight="false" outlineLevel="0" collapsed="false">
      <c r="A220" s="55" t="s">
        <v>110</v>
      </c>
      <c r="B220" s="25" t="s">
        <v>146</v>
      </c>
      <c r="C220" s="25"/>
      <c r="D220" s="94"/>
      <c r="E220" s="25" t="s">
        <v>151</v>
      </c>
      <c r="F220" s="94"/>
      <c r="G220" s="94"/>
      <c r="H220" s="20"/>
    </row>
    <row r="221" customFormat="false" ht="17.35" hidden="false" customHeight="false" outlineLevel="0" collapsed="false">
      <c r="A221" s="70" t="n">
        <f aca="false">A179</f>
        <v>0</v>
      </c>
      <c r="B221" s="37" t="n">
        <f aca="false">B179</f>
        <v>0</v>
      </c>
      <c r="C221" s="37"/>
      <c r="D221" s="94"/>
      <c r="E221" s="37" t="n">
        <f aca="false">E179</f>
        <v>30999.996</v>
      </c>
      <c r="F221" s="94"/>
      <c r="G221" s="94"/>
      <c r="H221" s="177"/>
    </row>
    <row r="222" customFormat="false" ht="17.35" hidden="false" customHeight="false" outlineLevel="0" collapsed="false">
      <c r="A222" s="55"/>
      <c r="B222" s="25"/>
      <c r="C222" s="25"/>
      <c r="D222" s="94"/>
      <c r="E222" s="25"/>
      <c r="F222" s="94"/>
      <c r="G222" s="94"/>
      <c r="H222" s="20"/>
    </row>
    <row r="223" customFormat="false" ht="17.35" hidden="false" customHeight="false" outlineLevel="0" collapsed="false">
      <c r="A223" s="55" t="s">
        <v>162</v>
      </c>
      <c r="B223" s="25" t="s">
        <v>152</v>
      </c>
      <c r="C223" s="25"/>
      <c r="D223" s="94"/>
      <c r="E223" s="25" t="s">
        <v>163</v>
      </c>
      <c r="F223" s="94"/>
      <c r="G223" s="94"/>
      <c r="H223" s="20"/>
    </row>
    <row r="224" customFormat="false" ht="17.35" hidden="false" customHeight="false" outlineLevel="0" collapsed="false">
      <c r="A224" s="70" t="n">
        <f aca="false">A182</f>
        <v>4553.78729388026</v>
      </c>
      <c r="B224" s="37" t="str">
        <f aca="false">B182</f>
        <v>199.99</v>
      </c>
      <c r="C224" s="37"/>
      <c r="D224" s="94"/>
      <c r="E224" s="37" t="n">
        <f aca="false">E182</f>
        <v>35763.7732938803</v>
      </c>
      <c r="F224" s="94"/>
      <c r="G224" s="94"/>
      <c r="H224" s="177"/>
    </row>
    <row r="225" customFormat="false" ht="17.35" hidden="false" customHeight="false" outlineLevel="0" collapsed="false">
      <c r="A225" s="55"/>
      <c r="B225" s="25"/>
      <c r="C225" s="25"/>
      <c r="D225" s="94"/>
      <c r="E225" s="25"/>
      <c r="F225" s="94"/>
      <c r="G225" s="94"/>
      <c r="H225" s="20"/>
    </row>
    <row r="226" customFormat="false" ht="17.35" hidden="false" customHeight="false" outlineLevel="0" collapsed="false">
      <c r="A226" s="55" t="s">
        <v>164</v>
      </c>
      <c r="B226" s="25" t="s">
        <v>165</v>
      </c>
      <c r="C226" s="25"/>
      <c r="D226" s="94"/>
      <c r="E226" s="25" t="s">
        <v>177</v>
      </c>
      <c r="F226" s="94"/>
      <c r="G226" s="94"/>
      <c r="H226" s="20"/>
    </row>
    <row r="227" customFormat="false" ht="17.35" hidden="false" customHeight="false" outlineLevel="0" collapsed="false">
      <c r="A227" s="70" t="n">
        <f aca="false">A185</f>
        <v>10</v>
      </c>
      <c r="B227" s="37" t="n">
        <f aca="false">B185</f>
        <v>239.988</v>
      </c>
      <c r="C227" s="37"/>
      <c r="D227" s="94"/>
      <c r="E227" s="37" t="n">
        <f aca="false">B59</f>
        <v>11</v>
      </c>
      <c r="F227" s="94"/>
      <c r="G227" s="94"/>
      <c r="H227" s="177"/>
    </row>
    <row r="228" customFormat="false" ht="17.35" hidden="false" customHeight="false" outlineLevel="0" collapsed="false">
      <c r="A228" s="55"/>
      <c r="B228" s="25"/>
      <c r="C228" s="25"/>
      <c r="D228" s="25"/>
      <c r="E228" s="94"/>
      <c r="F228" s="94"/>
      <c r="G228" s="94"/>
      <c r="H228" s="20"/>
    </row>
    <row r="229" customFormat="false" ht="17.35" hidden="false" customHeight="false" outlineLevel="0" collapsed="false">
      <c r="A229" s="55" t="s">
        <v>154</v>
      </c>
      <c r="B229" s="25" t="s">
        <v>155</v>
      </c>
      <c r="C229" s="25"/>
      <c r="D229" s="25"/>
      <c r="E229" s="25" t="s">
        <v>156</v>
      </c>
      <c r="F229" s="94"/>
      <c r="G229" s="94"/>
      <c r="H229" s="20"/>
    </row>
    <row r="230" customFormat="false" ht="17.35" hidden="false" customHeight="false" outlineLevel="0" collapsed="false">
      <c r="A230" s="70" t="n">
        <f aca="false">A167</f>
        <v>2960.31527449002</v>
      </c>
      <c r="B230" s="37" t="n">
        <f aca="false">B167</f>
        <v>30</v>
      </c>
      <c r="C230" s="67"/>
      <c r="D230" s="67"/>
      <c r="E230" s="37" t="n">
        <f aca="false">E167</f>
        <v>2990.31527449002</v>
      </c>
      <c r="F230" s="94"/>
      <c r="G230" s="94"/>
      <c r="H230" s="20"/>
    </row>
    <row r="231" customFormat="false" ht="17.35" hidden="false" customHeight="false" outlineLevel="0" collapsed="false">
      <c r="A231" s="55"/>
      <c r="B231" s="25"/>
      <c r="C231" s="25"/>
      <c r="D231" s="25"/>
      <c r="E231" s="94"/>
      <c r="F231" s="94"/>
      <c r="G231" s="94"/>
      <c r="H231" s="20"/>
    </row>
    <row r="232" customFormat="false" ht="17.35" hidden="false" customHeight="false" outlineLevel="0" collapsed="false">
      <c r="A232" s="55" t="s">
        <v>178</v>
      </c>
      <c r="B232" s="25" t="s">
        <v>179</v>
      </c>
      <c r="C232" s="25"/>
      <c r="D232" s="25"/>
      <c r="E232" s="25" t="s">
        <v>180</v>
      </c>
      <c r="F232" s="94"/>
      <c r="G232" s="94"/>
      <c r="H232" s="20"/>
    </row>
    <row r="233" customFormat="false" ht="17.35" hidden="false" customHeight="false" outlineLevel="0" collapsed="false">
      <c r="A233" s="70" t="n">
        <f aca="false">E170</f>
        <v>0</v>
      </c>
      <c r="B233" s="37" t="n">
        <f aca="false">E185</f>
        <v>3000.31527449002</v>
      </c>
      <c r="C233" s="25"/>
      <c r="D233" s="25"/>
      <c r="E233" s="37" t="n">
        <f aca="false">J18*0.000006*100</f>
        <v>22.443</v>
      </c>
      <c r="F233" s="94"/>
      <c r="G233" s="94"/>
      <c r="H233" s="20"/>
    </row>
    <row r="234" customFormat="false" ht="17.35" hidden="false" customHeight="false" outlineLevel="0" collapsed="false">
      <c r="A234" s="70"/>
      <c r="B234" s="37"/>
      <c r="C234" s="25"/>
      <c r="D234" s="25"/>
      <c r="E234" s="37"/>
      <c r="F234" s="94"/>
      <c r="G234" s="94"/>
      <c r="H234" s="20"/>
    </row>
    <row r="235" customFormat="false" ht="17.35" hidden="false" customHeight="false" outlineLevel="0" collapsed="false">
      <c r="A235" s="78" t="s">
        <v>181</v>
      </c>
      <c r="B235" s="38" t="s">
        <v>182</v>
      </c>
      <c r="C235" s="25"/>
      <c r="D235" s="25"/>
      <c r="E235" s="38" t="s">
        <v>102</v>
      </c>
      <c r="F235" s="94"/>
      <c r="G235" s="94"/>
      <c r="H235" s="20"/>
    </row>
    <row r="236" customFormat="false" ht="17.35" hidden="false" customHeight="false" outlineLevel="0" collapsed="false">
      <c r="A236" s="70" t="n">
        <f aca="false">IF(E105="YES", J18*0.000002, 0)*100</f>
        <v>7.481</v>
      </c>
      <c r="B236" s="37" t="n">
        <f aca="false">E233+A236</f>
        <v>29.924</v>
      </c>
      <c r="C236" s="25"/>
      <c r="D236" s="25"/>
      <c r="E236" s="37"/>
      <c r="F236" s="94"/>
      <c r="G236" s="94"/>
      <c r="H236" s="20"/>
    </row>
    <row r="237" customFormat="false" ht="17.35" hidden="false" customHeight="false" outlineLevel="0" collapsed="false">
      <c r="A237" s="70"/>
      <c r="B237" s="37"/>
      <c r="C237" s="25"/>
      <c r="D237" s="25"/>
      <c r="E237" s="37"/>
      <c r="F237" s="94"/>
      <c r="G237" s="94"/>
      <c r="H237" s="20"/>
    </row>
    <row r="238" customFormat="false" ht="22.05" hidden="false" customHeight="false" outlineLevel="0" collapsed="false">
      <c r="A238" s="184" t="s">
        <v>183</v>
      </c>
      <c r="B238" s="184"/>
      <c r="C238" s="184"/>
      <c r="D238" s="184"/>
      <c r="E238" s="184"/>
      <c r="F238" s="184"/>
      <c r="G238" s="184"/>
      <c r="H238" s="184"/>
    </row>
    <row r="239" customFormat="false" ht="17.35" hidden="false" customHeight="false" outlineLevel="0" collapsed="false">
      <c r="A239" s="55" t="s">
        <v>184</v>
      </c>
      <c r="B239" s="25" t="s">
        <v>168</v>
      </c>
      <c r="C239" s="25"/>
      <c r="D239" s="25"/>
      <c r="E239" s="38" t="s">
        <v>169</v>
      </c>
      <c r="F239" s="94"/>
      <c r="G239" s="94"/>
      <c r="H239" s="20"/>
    </row>
    <row r="240" customFormat="false" ht="17.35" hidden="false" customHeight="false" outlineLevel="0" collapsed="false">
      <c r="A240" s="70" t="n">
        <f aca="false">H148</f>
        <v>1875</v>
      </c>
      <c r="B240" s="37" t="n">
        <f aca="false">B68</f>
        <v>129.16665</v>
      </c>
      <c r="C240" s="25"/>
      <c r="D240" s="25"/>
      <c r="E240" s="37" t="n">
        <f aca="false">E188</f>
        <v>5.5</v>
      </c>
      <c r="F240" s="94"/>
      <c r="G240" s="94"/>
      <c r="H240" s="20"/>
    </row>
    <row r="241" customFormat="false" ht="17.35" hidden="false" customHeight="false" outlineLevel="0" collapsed="false">
      <c r="A241" s="70"/>
      <c r="B241" s="37"/>
      <c r="C241" s="25"/>
      <c r="D241" s="25"/>
      <c r="E241" s="94"/>
      <c r="F241" s="94"/>
      <c r="G241" s="94"/>
      <c r="H241" s="20"/>
    </row>
    <row r="242" customFormat="false" ht="17.35" hidden="false" customHeight="false" outlineLevel="0" collapsed="false">
      <c r="A242" s="78" t="s">
        <v>170</v>
      </c>
      <c r="B242" s="38" t="s">
        <v>171</v>
      </c>
      <c r="C242" s="25"/>
      <c r="D242" s="25"/>
      <c r="E242" s="38"/>
      <c r="F242" s="94"/>
      <c r="G242" s="94"/>
      <c r="H242" s="20"/>
    </row>
    <row r="243" customFormat="false" ht="17.35" hidden="false" customHeight="false" outlineLevel="0" collapsed="false">
      <c r="A243" s="70" t="n">
        <f aca="false">A191</f>
        <v>99.99</v>
      </c>
      <c r="B243" s="37" t="n">
        <f aca="false">B240+E240+A243+A240</f>
        <v>2109.65665</v>
      </c>
      <c r="C243" s="25"/>
      <c r="D243" s="25"/>
      <c r="E243" s="37"/>
      <c r="F243" s="94"/>
      <c r="G243" s="94"/>
      <c r="H243" s="20"/>
    </row>
    <row r="244" customFormat="false" ht="17.35" hidden="false" customHeight="false" outlineLevel="0" collapsed="false">
      <c r="A244" s="55"/>
      <c r="B244" s="25"/>
      <c r="C244" s="25"/>
      <c r="D244" s="25"/>
      <c r="E244" s="94"/>
      <c r="F244" s="94"/>
      <c r="G244" s="94"/>
      <c r="H244" s="20"/>
    </row>
    <row r="245" customFormat="false" ht="17.35" hidden="false" customHeight="false" outlineLevel="0" collapsed="false">
      <c r="A245" s="74"/>
      <c r="B245" s="75"/>
      <c r="C245" s="75"/>
      <c r="D245" s="75"/>
      <c r="E245" s="75"/>
      <c r="F245" s="75"/>
      <c r="G245" s="75"/>
      <c r="H245" s="82"/>
    </row>
    <row r="251" customFormat="false" ht="22.05" hidden="false" customHeight="false" outlineLevel="0" collapsed="false">
      <c r="A251" s="179" t="s">
        <v>185</v>
      </c>
      <c r="B251" s="179"/>
      <c r="C251" s="179"/>
      <c r="D251" s="179"/>
      <c r="E251" s="179"/>
      <c r="F251" s="179"/>
      <c r="G251" s="179"/>
      <c r="H251" s="179"/>
    </row>
    <row r="252" customFormat="false" ht="17.35" hidden="false" customHeight="false" outlineLevel="0" collapsed="false">
      <c r="A252" s="55"/>
      <c r="B252" s="178"/>
      <c r="C252" s="178"/>
      <c r="D252" s="178"/>
      <c r="E252" s="45"/>
      <c r="F252" s="45"/>
      <c r="G252" s="45"/>
      <c r="H252" s="20"/>
    </row>
    <row r="253" customFormat="false" ht="17.35" hidden="false" customHeight="false" outlineLevel="0" collapsed="false">
      <c r="A253" s="180" t="s">
        <v>186</v>
      </c>
      <c r="B253" s="185" t="n">
        <f aca="false">K35</f>
        <v>0.065</v>
      </c>
      <c r="C253" s="186"/>
      <c r="D253" s="187" t="s">
        <v>187</v>
      </c>
      <c r="E253" s="187"/>
      <c r="F253" s="185" t="n">
        <f aca="false">B83</f>
        <v>0.0995</v>
      </c>
      <c r="G253" s="45"/>
      <c r="H253" s="20"/>
    </row>
    <row r="254" customFormat="false" ht="17.35" hidden="false" customHeight="false" outlineLevel="0" collapsed="false">
      <c r="A254" s="180" t="s">
        <v>188</v>
      </c>
      <c r="B254" s="188"/>
      <c r="C254" s="186"/>
      <c r="D254" s="187" t="s">
        <v>189</v>
      </c>
      <c r="E254" s="187"/>
      <c r="F254" s="188" t="n">
        <f aca="false">F261+F267+F269+B270+B271</f>
        <v>154.99998</v>
      </c>
      <c r="G254" s="45"/>
      <c r="H254" s="20"/>
    </row>
    <row r="255" customFormat="false" ht="17.35" hidden="false" customHeight="false" outlineLevel="0" collapsed="false">
      <c r="A255" s="180" t="s">
        <v>190</v>
      </c>
      <c r="B255" s="188" t="n">
        <f aca="false">F262+B263</f>
        <v>154.99</v>
      </c>
      <c r="C255" s="186"/>
      <c r="D255" s="187" t="s">
        <v>191</v>
      </c>
      <c r="E255" s="187"/>
      <c r="F255" s="188" t="n">
        <f aca="false">(B254-F254)+B255</f>
        <v>-0.00998000000001298</v>
      </c>
      <c r="G255" s="45"/>
      <c r="H255" s="20"/>
    </row>
    <row r="256" customFormat="false" ht="17.35" hidden="false" customHeight="false" outlineLevel="0" collapsed="false">
      <c r="A256" s="189"/>
      <c r="B256" s="187"/>
      <c r="C256" s="190"/>
      <c r="D256" s="190"/>
      <c r="E256" s="190"/>
      <c r="F256" s="190"/>
      <c r="G256" s="191"/>
      <c r="H256" s="192"/>
    </row>
    <row r="257" customFormat="false" ht="17.35" hidden="false" customHeight="false" outlineLevel="0" collapsed="false">
      <c r="A257" s="55" t="s">
        <v>186</v>
      </c>
      <c r="B257" s="193" t="n">
        <f aca="false">B253</f>
        <v>0.065</v>
      </c>
      <c r="C257" s="186"/>
      <c r="D257" s="186"/>
      <c r="E257" s="186"/>
      <c r="F257" s="186"/>
      <c r="G257" s="45"/>
      <c r="H257" s="20"/>
    </row>
    <row r="258" customFormat="false" ht="17.35" hidden="false" customHeight="false" outlineLevel="0" collapsed="false">
      <c r="A258" s="194"/>
      <c r="B258" s="195"/>
      <c r="C258" s="196"/>
      <c r="D258" s="196"/>
      <c r="E258" s="191"/>
      <c r="F258" s="191"/>
      <c r="G258" s="191"/>
      <c r="H258" s="192"/>
    </row>
    <row r="259" customFormat="false" ht="17.35" hidden="false" customHeight="false" outlineLevel="0" collapsed="false">
      <c r="A259" s="55" t="s">
        <v>192</v>
      </c>
      <c r="B259" s="193" t="n">
        <f aca="false">B64</f>
        <v>0.024</v>
      </c>
      <c r="C259" s="178"/>
      <c r="D259" s="38" t="s">
        <v>193</v>
      </c>
      <c r="E259" s="38"/>
      <c r="F259" s="193" t="n">
        <v>0</v>
      </c>
      <c r="G259" s="45"/>
      <c r="H259" s="20"/>
    </row>
    <row r="260" customFormat="false" ht="17.35" hidden="false" customHeight="false" outlineLevel="0" collapsed="false">
      <c r="A260" s="123" t="s">
        <v>187</v>
      </c>
      <c r="B260" s="197" t="n">
        <f aca="false">B83</f>
        <v>0.0995</v>
      </c>
      <c r="C260" s="198"/>
      <c r="D260" s="38" t="s">
        <v>188</v>
      </c>
      <c r="E260" s="38"/>
      <c r="F260" s="199" t="n">
        <f aca="false">(B89*B59)-(C89*B59)</f>
        <v>32563.4680193902</v>
      </c>
      <c r="G260" s="45"/>
      <c r="H260" s="20"/>
    </row>
    <row r="261" customFormat="false" ht="17.35" hidden="false" customHeight="false" outlineLevel="0" collapsed="false">
      <c r="A261" s="55" t="s">
        <v>194</v>
      </c>
      <c r="B261" s="197" t="n">
        <f aca="false">B67</f>
        <v>0.005</v>
      </c>
      <c r="C261" s="178"/>
      <c r="D261" s="38" t="s">
        <v>194</v>
      </c>
      <c r="E261" s="38"/>
      <c r="F261" s="152" t="n">
        <f aca="false">B68*1.2</f>
        <v>154.99998</v>
      </c>
      <c r="G261" s="45"/>
      <c r="H261" s="20"/>
    </row>
    <row r="262" customFormat="false" ht="17.35" hidden="false" customHeight="false" outlineLevel="0" collapsed="false">
      <c r="A262" s="55" t="s">
        <v>195</v>
      </c>
      <c r="B262" s="193" t="n">
        <f aca="false">A108</f>
        <v>0.2</v>
      </c>
      <c r="C262" s="178"/>
      <c r="D262" s="38" t="s">
        <v>195</v>
      </c>
      <c r="E262" s="38"/>
      <c r="F262" s="199" t="n">
        <f aca="false">E240*10</f>
        <v>55</v>
      </c>
      <c r="G262" s="45"/>
      <c r="H262" s="20"/>
    </row>
    <row r="263" customFormat="false" ht="17.35" hidden="false" customHeight="false" outlineLevel="0" collapsed="false">
      <c r="A263" s="55" t="s">
        <v>196</v>
      </c>
      <c r="B263" s="199" t="n">
        <f aca="false">A243</f>
        <v>99.99</v>
      </c>
      <c r="C263" s="178"/>
      <c r="D263" s="200" t="s">
        <v>191</v>
      </c>
      <c r="E263" s="200"/>
      <c r="F263" s="199" t="n">
        <f aca="false">(B254-F254)+B255</f>
        <v>-0.00998000000001298</v>
      </c>
      <c r="G263" s="45"/>
      <c r="H263" s="20"/>
    </row>
    <row r="264" customFormat="false" ht="17.35" hidden="false" customHeight="false" outlineLevel="0" collapsed="false">
      <c r="A264" s="70"/>
      <c r="B264" s="201"/>
      <c r="C264" s="178"/>
      <c r="D264" s="178"/>
      <c r="E264" s="201"/>
      <c r="F264" s="45"/>
      <c r="G264" s="45"/>
      <c r="H264" s="20"/>
    </row>
    <row r="265" customFormat="false" ht="22.05" hidden="false" customHeight="false" outlineLevel="0" collapsed="false">
      <c r="A265" s="184" t="s">
        <v>197</v>
      </c>
      <c r="B265" s="184"/>
      <c r="C265" s="184"/>
      <c r="D265" s="184"/>
      <c r="E265" s="184"/>
      <c r="F265" s="184"/>
      <c r="G265" s="184"/>
      <c r="H265" s="184"/>
    </row>
    <row r="266" customFormat="false" ht="17.35" hidden="false" customHeight="false" outlineLevel="0" collapsed="false">
      <c r="A266" s="55" t="s">
        <v>198</v>
      </c>
      <c r="B266" s="152" t="n">
        <v>0</v>
      </c>
      <c r="C266" s="178"/>
      <c r="D266" s="202" t="s">
        <v>199</v>
      </c>
      <c r="E266" s="202"/>
      <c r="F266" s="152" t="n">
        <v>0</v>
      </c>
      <c r="G266" s="45"/>
      <c r="H266" s="20"/>
    </row>
    <row r="267" customFormat="false" ht="17.35" hidden="false" customHeight="false" outlineLevel="0" collapsed="false">
      <c r="A267" s="70"/>
      <c r="B267" s="199"/>
      <c r="C267" s="178"/>
      <c r="D267" s="38" t="s">
        <v>200</v>
      </c>
      <c r="E267" s="38"/>
      <c r="F267" s="199" t="n">
        <f aca="false">B266+F266*B209</f>
        <v>0</v>
      </c>
      <c r="G267" s="45"/>
      <c r="H267" s="20"/>
    </row>
    <row r="268" customFormat="false" ht="17.35" hidden="false" customHeight="false" outlineLevel="0" collapsed="false">
      <c r="A268" s="78" t="s">
        <v>201</v>
      </c>
      <c r="B268" s="203" t="s">
        <v>4</v>
      </c>
      <c r="C268" s="178"/>
      <c r="D268" s="38" t="s">
        <v>202</v>
      </c>
      <c r="E268" s="38"/>
      <c r="F268" s="203" t="n">
        <f aca="false">B70</f>
        <v>0</v>
      </c>
      <c r="G268" s="45"/>
      <c r="H268" s="20"/>
    </row>
    <row r="269" customFormat="false" ht="17.35" hidden="false" customHeight="false" outlineLevel="0" collapsed="false">
      <c r="A269" s="78"/>
      <c r="B269" s="204"/>
      <c r="C269" s="178"/>
      <c r="D269" s="38" t="s">
        <v>203</v>
      </c>
      <c r="E269" s="38"/>
      <c r="F269" s="199" t="n">
        <f aca="false">B91</f>
        <v>0</v>
      </c>
      <c r="G269" s="45"/>
      <c r="H269" s="20"/>
    </row>
    <row r="270" customFormat="false" ht="17.35" hidden="false" customHeight="false" outlineLevel="0" collapsed="false">
      <c r="A270" s="78" t="s">
        <v>204</v>
      </c>
      <c r="B270" s="152" t="n">
        <v>0</v>
      </c>
      <c r="C270" s="178"/>
      <c r="D270" s="178"/>
      <c r="E270" s="201"/>
      <c r="F270" s="45"/>
      <c r="G270" s="45"/>
      <c r="H270" s="20"/>
    </row>
    <row r="271" customFormat="false" ht="17.35" hidden="false" customHeight="false" outlineLevel="0" collapsed="false">
      <c r="A271" s="55" t="s">
        <v>205</v>
      </c>
      <c r="B271" s="152" t="n">
        <v>0</v>
      </c>
      <c r="C271" s="178"/>
      <c r="D271" s="178"/>
      <c r="E271" s="45"/>
      <c r="F271" s="45"/>
      <c r="G271" s="45"/>
      <c r="H271" s="20"/>
      <c r="J271" s="1" t="n">
        <v>4</v>
      </c>
    </row>
    <row r="272" customFormat="false" ht="17.35" hidden="false" customHeight="false" outlineLevel="0" collapsed="false">
      <c r="A272" s="74"/>
      <c r="B272" s="75"/>
      <c r="C272" s="75"/>
      <c r="D272" s="75"/>
      <c r="E272" s="75"/>
      <c r="F272" s="75"/>
      <c r="G272" s="75"/>
      <c r="H272" s="82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60">
    <mergeCell ref="A1:F1"/>
    <mergeCell ref="D7:E18"/>
    <mergeCell ref="A16:C18"/>
    <mergeCell ref="A19:D19"/>
    <mergeCell ref="A21:D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operator="between" showDropDown="false" showErrorMessage="true" showInputMessage="true" sqref="B105 K105 T105 AC105" type="list">
      <formula1>#ref!</formula1>
      <formula2>0</formula2>
    </dataValidation>
    <dataValidation allowBlank="true" operator="between" showDropDown="false" showErrorMessage="true" showInputMessage="true" sqref="A144:A146 J144:J146 S144:S146 AB144:AB146" type="list">
      <formula1>#ref!</formula1>
      <formula2>0</formula2>
    </dataValidation>
    <dataValidation allowBlank="true" operator="between" showDropDown="false" showErrorMessage="true" showInputMessage="true" sqref="B108:D108 K108:M108 T108:V108 AC108:AE108" type="list">
      <formula1>#ref!</formula1>
      <formula2>0</formula2>
    </dataValidation>
    <dataValidation allowBlank="true" operator="between" showDropDown="false" showErrorMessage="true" showInputMessage="true" sqref="N105 W105 AF105 J111 S111 AB111" type="list">
      <formula1>#ref!</formula1>
      <formula2>0</formula2>
    </dataValidation>
    <dataValidation allowBlank="true" operator="between" showDropDown="false" showErrorMessage="true" showInputMessage="true" sqref="B26 E105 A111" type="list">
      <formula1>HirePurchaseNonRegulated!$K$9:$K$10</formula1>
      <formula2>0</formula2>
    </dataValidation>
    <dataValidation allowBlank="true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7" colorId="64" zoomScale="75" zoomScaleNormal="75" zoomScalePageLayoutView="100" workbookViewId="0">
      <selection pane="topLeft" activeCell="B222" activeCellId="0" sqref="B222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396" t="s">
        <v>324</v>
      </c>
      <c r="B1" s="396"/>
      <c r="C1" s="396"/>
      <c r="D1" s="396"/>
      <c r="E1" s="396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8.75" hidden="false" customHeight="true" outlineLevel="0" collapsed="false">
      <c r="A2" s="261"/>
      <c r="B2" s="474" t="s">
        <v>115</v>
      </c>
      <c r="C2" s="474" t="s">
        <v>116</v>
      </c>
      <c r="D2" s="474" t="s">
        <v>117</v>
      </c>
      <c r="E2" s="399" t="s">
        <v>118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8.75" hidden="false" customHeight="true" outlineLevel="0" collapsed="false">
      <c r="A3" s="209" t="s">
        <v>121</v>
      </c>
      <c r="B3" s="475" t="n">
        <v>46854.17</v>
      </c>
      <c r="C3" s="475" t="n">
        <v>0</v>
      </c>
      <c r="D3" s="475" t="n">
        <v>833.33</v>
      </c>
      <c r="E3" s="476" t="n">
        <v>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8.75" hidden="false" customHeight="true" outlineLevel="0" collapsed="false">
      <c r="A4" s="209" t="s">
        <v>122</v>
      </c>
      <c r="B4" s="493" t="n">
        <v>0</v>
      </c>
      <c r="C4" s="493" t="n">
        <v>0</v>
      </c>
      <c r="D4" s="493" t="n">
        <v>0</v>
      </c>
      <c r="E4" s="260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8.75" hidden="false" customHeight="true" outlineLevel="0" collapsed="false">
      <c r="A5" s="209" t="s">
        <v>123</v>
      </c>
      <c r="B5" s="475" t="n">
        <v>0</v>
      </c>
      <c r="C5" s="475" t="n">
        <v>0</v>
      </c>
      <c r="D5" s="475" t="n">
        <v>0</v>
      </c>
      <c r="E5" s="273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8.75" hidden="false" customHeight="true" outlineLevel="0" collapsed="false">
      <c r="A6" s="209" t="s">
        <v>124</v>
      </c>
      <c r="B6" s="79" t="n">
        <f aca="false">(B3*B4/100)+B5</f>
        <v>0</v>
      </c>
      <c r="C6" s="79" t="n">
        <f aca="false">(C3*C4/100)+C5</f>
        <v>0</v>
      </c>
      <c r="D6" s="79" t="n">
        <f aca="false">(D3*D4/100)+D5</f>
        <v>0</v>
      </c>
      <c r="E6" s="273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8.75" hidden="false" customHeight="true" outlineLevel="0" collapsed="false">
      <c r="A7" s="209" t="s">
        <v>125</v>
      </c>
      <c r="B7" s="79" t="n">
        <f aca="false">B3-B6</f>
        <v>46854.17</v>
      </c>
      <c r="C7" s="79" t="n">
        <f aca="false">C3-C6</f>
        <v>0</v>
      </c>
      <c r="D7" s="79" t="n">
        <f aca="false">D3-D6</f>
        <v>833.33</v>
      </c>
      <c r="E7" s="273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8.75" hidden="false" customHeight="true" outlineLevel="0" collapsed="false">
      <c r="A8" s="209"/>
      <c r="B8" s="207"/>
      <c r="C8" s="207"/>
      <c r="D8" s="207"/>
      <c r="E8" s="210"/>
      <c r="F8" s="19"/>
      <c r="G8" s="19"/>
      <c r="H8" s="19"/>
      <c r="I8" s="26" t="s">
        <v>3</v>
      </c>
      <c r="J8" s="27" t="n">
        <f aca="false">E13+E14</f>
        <v>640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8.75" hidden="false" customHeight="true" outlineLevel="0" collapsed="false">
      <c r="A9" s="402" t="s">
        <v>133</v>
      </c>
      <c r="B9" s="402"/>
      <c r="C9" s="402"/>
      <c r="D9" s="402"/>
      <c r="E9" s="494" t="n">
        <f aca="false">B7+C7+D7+E3</f>
        <v>47687.5</v>
      </c>
      <c r="F9" s="19"/>
      <c r="G9" s="19"/>
      <c r="H9" s="19"/>
      <c r="I9" s="27"/>
      <c r="J9" s="27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8.75" hidden="false" customHeight="true" outlineLevel="0" collapsed="false">
      <c r="A10" s="404" t="s">
        <v>134</v>
      </c>
      <c r="B10" s="404"/>
      <c r="C10" s="404"/>
      <c r="D10" s="404"/>
      <c r="E10" s="476" t="n">
        <v>550</v>
      </c>
      <c r="F10" s="19"/>
      <c r="G10" s="19"/>
      <c r="H10" s="19"/>
      <c r="I10" s="32" t="s">
        <v>1</v>
      </c>
      <c r="J10" s="27" t="n">
        <f aca="false">E15-E11-J8</f>
        <v>48237.5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8.75" hidden="false" customHeight="true" outlineLevel="0" collapsed="false">
      <c r="A11" s="404" t="s">
        <v>135</v>
      </c>
      <c r="B11" s="404"/>
      <c r="C11" s="404"/>
      <c r="D11" s="404"/>
      <c r="E11" s="273" t="n">
        <f aca="false">(E9+E10)*20%</f>
        <v>9647.5</v>
      </c>
      <c r="F11" s="19"/>
      <c r="G11" s="19"/>
      <c r="H11" s="19"/>
      <c r="I11" s="27"/>
      <c r="J11" s="27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8.75" hidden="false" customHeight="true" outlineLevel="0" collapsed="false">
      <c r="A12" s="404" t="s">
        <v>136</v>
      </c>
      <c r="B12" s="404"/>
      <c r="C12" s="404"/>
      <c r="D12" s="404"/>
      <c r="E12" s="476" t="n"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8.75" hidden="false" customHeight="true" outlineLevel="0" collapsed="false">
      <c r="A13" s="404" t="s">
        <v>137</v>
      </c>
      <c r="B13" s="404"/>
      <c r="C13" s="404"/>
      <c r="D13" s="404"/>
      <c r="E13" s="476" t="n">
        <v>585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8.75" hidden="false" customHeight="true" outlineLevel="0" collapsed="false">
      <c r="A14" s="404" t="s">
        <v>138</v>
      </c>
      <c r="B14" s="404"/>
      <c r="C14" s="404"/>
      <c r="D14" s="404"/>
      <c r="E14" s="476" t="n">
        <v>55</v>
      </c>
      <c r="F14" s="19"/>
      <c r="G14" s="19" t="s">
        <v>13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8.75" hidden="false" customHeight="true" outlineLevel="0" collapsed="false">
      <c r="A15" s="404" t="s">
        <v>139</v>
      </c>
      <c r="B15" s="404"/>
      <c r="C15" s="404"/>
      <c r="D15" s="404"/>
      <c r="E15" s="495" t="n">
        <f aca="false">(E9+E10+E13+E14+E11)-E12</f>
        <v>58525</v>
      </c>
      <c r="F15" s="19"/>
      <c r="G15" s="205" t="n">
        <f aca="false">E15</f>
        <v>58525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8.75" hidden="false" customHeight="true" outlineLevel="0" collapsed="false">
      <c r="A16" s="404" t="s">
        <v>140</v>
      </c>
      <c r="B16" s="404"/>
      <c r="C16" s="404"/>
      <c r="D16" s="404"/>
      <c r="E16" s="476" t="n">
        <v>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6" t="s">
        <v>15</v>
      </c>
      <c r="Z16" s="19"/>
    </row>
    <row r="17" customFormat="false" ht="18.75" hidden="false" customHeight="true" outlineLevel="0" collapsed="false">
      <c r="A17" s="349" t="s">
        <v>141</v>
      </c>
      <c r="B17" s="349"/>
      <c r="C17" s="349"/>
      <c r="D17" s="349"/>
      <c r="E17" s="210"/>
      <c r="F17" s="19"/>
      <c r="G17" s="19" t="s">
        <v>16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6" t="s">
        <v>17</v>
      </c>
      <c r="Z17" s="19"/>
    </row>
    <row r="18" customFormat="false" ht="18.75" hidden="false" customHeight="true" outlineLevel="0" collapsed="false">
      <c r="A18" s="405" t="s">
        <v>15</v>
      </c>
      <c r="B18" s="406" t="s">
        <v>142</v>
      </c>
      <c r="C18" s="406"/>
      <c r="D18" s="406"/>
      <c r="E18" s="479" t="n">
        <v>0</v>
      </c>
      <c r="F18" s="19"/>
      <c r="G18" s="205" t="n">
        <f aca="false">(B3+C3+D3+E3+E10)*1.2</f>
        <v>57885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6" t="s">
        <v>18</v>
      </c>
      <c r="Z18" s="19"/>
    </row>
    <row r="19" customFormat="false" ht="18.75" hidden="false" customHeight="true" outlineLevel="0" collapsed="false">
      <c r="A19" s="405" t="s">
        <v>17</v>
      </c>
      <c r="B19" s="406" t="s">
        <v>142</v>
      </c>
      <c r="C19" s="406"/>
      <c r="D19" s="406"/>
      <c r="E19" s="479" t="n"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 t="s">
        <v>9</v>
      </c>
    </row>
    <row r="20" customFormat="false" ht="18.75" hidden="false" customHeight="true" outlineLevel="0" collapsed="false">
      <c r="A20" s="405" t="s">
        <v>18</v>
      </c>
      <c r="B20" s="406" t="s">
        <v>142</v>
      </c>
      <c r="C20" s="406"/>
      <c r="D20" s="406"/>
      <c r="E20" s="479" t="n"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 t="s">
        <v>10</v>
      </c>
    </row>
    <row r="21" customFormat="false" ht="18.75" hidden="false" customHeight="true" outlineLevel="0" collapsed="false">
      <c r="A21" s="407" t="s">
        <v>143</v>
      </c>
      <c r="B21" s="407"/>
      <c r="C21" s="407"/>
      <c r="D21" s="407"/>
      <c r="E21" s="480" t="n">
        <f aca="false">E15-((E18*1.2)+(E19*1.2)+(E20*1.2)+(E16*1.2))</f>
        <v>58525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8.75" hidden="false" customHeight="true" outlineLevel="0" collapsed="false">
      <c r="A22" s="207"/>
      <c r="B22" s="207"/>
      <c r="C22" s="207"/>
      <c r="D22" s="207"/>
      <c r="E22" s="207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7.35" hidden="false" customHeight="false" outlineLevel="0" collapsed="false">
      <c r="A23" s="207"/>
      <c r="B23" s="207"/>
      <c r="C23" s="207"/>
      <c r="D23" s="207"/>
      <c r="E23" s="207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56.7" hidden="false" customHeight="true" outlineLevel="0" collapsed="false">
      <c r="A24" s="208" t="s">
        <v>208</v>
      </c>
      <c r="B24" s="208"/>
      <c r="C24" s="208"/>
      <c r="D24" s="208"/>
      <c r="E24" s="20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8.75" hidden="false" customHeight="true" outlineLevel="0" collapsed="false">
      <c r="A25" s="209"/>
      <c r="B25" s="207"/>
      <c r="C25" s="207"/>
      <c r="D25" s="207"/>
      <c r="E25" s="21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8.75" hidden="false" customHeight="true" outlineLevel="0" collapsed="false">
      <c r="A26" s="211" t="s">
        <v>209</v>
      </c>
      <c r="B26" s="211"/>
      <c r="C26" s="211"/>
      <c r="D26" s="211"/>
      <c r="E26" s="211"/>
      <c r="F26" s="19"/>
      <c r="G26" s="212"/>
      <c r="H26" s="212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8.75" hidden="false" customHeight="true" outlineLevel="0" collapsed="false">
      <c r="A27" s="209"/>
      <c r="B27" s="207"/>
      <c r="C27" s="207"/>
      <c r="D27" s="207"/>
      <c r="E27" s="210"/>
      <c r="F27" s="19"/>
      <c r="G27" s="213" t="s">
        <v>46</v>
      </c>
      <c r="H27" s="213" t="n">
        <f aca="false">IF(A32=Y103,1,IF(A32=Y104,1,IF(A32=Y105,3,IF(A32=Y106,6,IF(A32=Y107,9,IF(A32=Y108,12,IF(A32=Y109,3,IF(A32=Y110,6,IF(A32=Y111,9,0)))))))))</f>
        <v>0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8.75" hidden="false" customHeight="true" outlineLevel="0" collapsed="false">
      <c r="A28" s="214" t="s">
        <v>210</v>
      </c>
      <c r="B28" s="215" t="s">
        <v>211</v>
      </c>
      <c r="C28" s="207"/>
      <c r="D28" s="215" t="s">
        <v>212</v>
      </c>
      <c r="E28" s="210"/>
      <c r="F28" s="19"/>
      <c r="G28" s="213" t="s">
        <v>60</v>
      </c>
      <c r="H28" s="213" t="n">
        <f aca="false">IF(A32=Y103,H29-H37,IF(A32=Y104,H29-H37,IF(A32=Y105,H29-1,IF(A32=Y106,H29-1,IF(A32=Y107,H29-1,IF(A32=Y108,H29-1,IF(A32=Y109,H29-H37,IF(A32=Y110,H29-H37,IF(A32=Y111,H29-H37,0)))))))))</f>
        <v>0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8.75" hidden="false" customHeight="true" outlineLevel="0" collapsed="false">
      <c r="A29" s="216" t="s">
        <v>213</v>
      </c>
      <c r="B29" s="217" t="n">
        <v>12345</v>
      </c>
      <c r="C29" s="217"/>
      <c r="D29" s="218" t="n">
        <f aca="true">TODAY()+1</f>
        <v>45008</v>
      </c>
      <c r="E29" s="218"/>
      <c r="F29" s="19"/>
      <c r="G29" s="212" t="s">
        <v>214</v>
      </c>
      <c r="H29" s="212" t="n">
        <f aca="false">B35</f>
        <v>12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8.75" hidden="false" customHeight="true" outlineLevel="0" collapsed="false">
      <c r="A30" s="209"/>
      <c r="B30" s="21"/>
      <c r="C30" s="21"/>
      <c r="D30" s="207"/>
      <c r="E30" s="210"/>
      <c r="F30" s="19"/>
      <c r="G30" s="212" t="s">
        <v>31</v>
      </c>
      <c r="H30" s="212" t="n">
        <f aca="false">D35</f>
        <v>5000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8.75" hidden="false" customHeight="true" outlineLevel="0" collapsed="false">
      <c r="A31" s="214" t="s">
        <v>23</v>
      </c>
      <c r="B31" s="215" t="s">
        <v>215</v>
      </c>
      <c r="C31" s="207"/>
      <c r="D31" s="215" t="s">
        <v>216</v>
      </c>
      <c r="E31" s="210"/>
      <c r="F31" s="19"/>
      <c r="G31" s="212" t="s">
        <v>217</v>
      </c>
      <c r="H31" s="219" t="str">
        <f aca="false">D38</f>
        <v>500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8.75" hidden="false" customHeight="true" outlineLevel="0" collapsed="false">
      <c r="A32" s="216" t="s">
        <v>100</v>
      </c>
      <c r="B32" s="220" t="str">
        <f aca="false">IF(A32=Z103,D38,IF(A32=Z104,D38,IF(A32=Z105,(D38*3),IF(A32=Z106,(D38*6),IF(A32=Z107,(D38*9),IF(A32=Z108,(D38*12),IF(A32=Z109,D38,IF(A32=Z110,D38,IF(A32=Z111,D38,0)))))))))</f>
        <v>500</v>
      </c>
      <c r="C32" s="220"/>
      <c r="D32" s="220" t="n">
        <f aca="false">IF(A32=Z103,A41,IF(A32=Z104,A41,IF(A32=Z105,(A41*3),IF(A32=Z106,(A41*6),IF(A32=Z107,(A41*9),IF(A32=Z108,(A41*12),IF(A32=Z109,A41,IF(A32=Z110,A41,IF(A32=Z111,A41,0)))))))))</f>
        <v>0</v>
      </c>
      <c r="E32" s="220"/>
      <c r="F32" s="19"/>
      <c r="G32" s="221" t="s">
        <v>218</v>
      </c>
      <c r="H32" s="219" t="n">
        <f aca="false">A41</f>
        <v>0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18.75" hidden="false" customHeight="true" outlineLevel="0" collapsed="false">
      <c r="A33" s="222"/>
      <c r="B33" s="174"/>
      <c r="C33" s="223"/>
      <c r="D33" s="176"/>
      <c r="E33" s="210"/>
      <c r="F33" s="19"/>
      <c r="G33" s="221" t="s">
        <v>219</v>
      </c>
      <c r="H33" s="219" t="n">
        <f aca="false">D41</f>
        <v>6000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8.75" hidden="false" customHeight="true" outlineLevel="0" collapsed="false">
      <c r="A34" s="222" t="s">
        <v>220</v>
      </c>
      <c r="B34" s="224" t="s">
        <v>221</v>
      </c>
      <c r="C34" s="223"/>
      <c r="D34" s="64" t="s">
        <v>175</v>
      </c>
      <c r="E34" s="210"/>
      <c r="F34" s="19"/>
      <c r="G34" s="221" t="s">
        <v>222</v>
      </c>
      <c r="H34" s="219" t="str">
        <f aca="false">A44</f>
        <v>12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8.75" hidden="false" customHeight="true" outlineLevel="0" collapsed="false">
      <c r="A35" s="220" t="n">
        <f aca="false">B32+D32</f>
        <v>500</v>
      </c>
      <c r="B35" s="217" t="n">
        <v>12</v>
      </c>
      <c r="C35" s="217"/>
      <c r="D35" s="217" t="n">
        <v>5000</v>
      </c>
      <c r="E35" s="217"/>
      <c r="F35" s="19"/>
      <c r="G35" s="225"/>
      <c r="H35" s="226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8.75" hidden="false" customHeight="true" outlineLevel="0" collapsed="false">
      <c r="A36" s="209"/>
      <c r="B36" s="207"/>
      <c r="C36" s="207"/>
      <c r="D36" s="207"/>
      <c r="E36" s="210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8.75" hidden="false" customHeight="true" outlineLevel="0" collapsed="false">
      <c r="A37" s="214" t="s">
        <v>223</v>
      </c>
      <c r="B37" s="215" t="s">
        <v>224</v>
      </c>
      <c r="C37" s="207"/>
      <c r="D37" s="215" t="s">
        <v>225</v>
      </c>
      <c r="E37" s="210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8.75" hidden="false" customHeight="true" outlineLevel="0" collapsed="false">
      <c r="A38" s="227" t="n">
        <f aca="false">(B35/12)*D35</f>
        <v>5000</v>
      </c>
      <c r="B38" s="217" t="s">
        <v>10</v>
      </c>
      <c r="C38" s="217"/>
      <c r="D38" s="60" t="s">
        <v>226</v>
      </c>
      <c r="E38" s="60"/>
      <c r="F38" s="19"/>
      <c r="G38" s="19"/>
      <c r="H38" s="19"/>
      <c r="I38" s="22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8.75" hidden="false" customHeight="true" outlineLevel="0" collapsed="false">
      <c r="A39" s="229"/>
      <c r="B39" s="223"/>
      <c r="C39" s="223"/>
      <c r="D39" s="207"/>
      <c r="E39" s="210"/>
      <c r="F39" s="19"/>
      <c r="G39" s="19"/>
      <c r="H39" s="228"/>
      <c r="I39" s="228"/>
      <c r="J39" s="22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8.75" hidden="false" customHeight="true" outlineLevel="0" collapsed="false">
      <c r="A40" s="230" t="s">
        <v>227</v>
      </c>
      <c r="B40" s="231" t="s">
        <v>93</v>
      </c>
      <c r="C40" s="223"/>
      <c r="D40" s="232" t="s">
        <v>228</v>
      </c>
      <c r="E40" s="210"/>
      <c r="F40" s="19"/>
      <c r="G40" s="19"/>
      <c r="H40" s="228"/>
      <c r="I40" s="228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8.75" hidden="false" customHeight="true" outlineLevel="0" collapsed="false">
      <c r="A41" s="60" t="n">
        <v>0</v>
      </c>
      <c r="B41" s="233" t="str">
        <f aca="false">IF(B38="YES", D38+A41, D38)</f>
        <v>500</v>
      </c>
      <c r="C41" s="233"/>
      <c r="D41" s="234" t="n">
        <v>6000</v>
      </c>
      <c r="E41" s="234"/>
      <c r="F41" s="19"/>
      <c r="G41" s="19"/>
      <c r="H41" s="235"/>
      <c r="I41" s="22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8.75" hidden="false" customHeight="true" outlineLevel="0" collapsed="false">
      <c r="A42" s="229"/>
      <c r="B42" s="223"/>
      <c r="C42" s="223"/>
      <c r="D42" s="223"/>
      <c r="E42" s="236"/>
      <c r="F42" s="19"/>
      <c r="G42" s="237" t="s">
        <v>42</v>
      </c>
      <c r="H42" s="237"/>
      <c r="I42" s="22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8.75" hidden="false" customHeight="true" outlineLevel="0" collapsed="false">
      <c r="A43" s="230" t="s">
        <v>111</v>
      </c>
      <c r="B43" s="231" t="s">
        <v>229</v>
      </c>
      <c r="C43" s="223"/>
      <c r="D43" s="231" t="s">
        <v>230</v>
      </c>
      <c r="E43" s="236"/>
      <c r="F43" s="19"/>
      <c r="G43" s="19" t="s">
        <v>231</v>
      </c>
      <c r="H43" s="228" t="n">
        <f aca="false">((((D38*(B35-1))+B32)/B35) + (A44/B35))</f>
        <v>501</v>
      </c>
      <c r="I43" s="22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8.75" hidden="false" customHeight="true" outlineLevel="0" collapsed="false">
      <c r="A44" s="60" t="s">
        <v>232</v>
      </c>
      <c r="B44" s="234" t="n">
        <v>0</v>
      </c>
      <c r="C44" s="234"/>
      <c r="D44" s="234" t="n">
        <v>0</v>
      </c>
      <c r="E44" s="234"/>
      <c r="F44" s="19"/>
      <c r="G44" s="19" t="s">
        <v>233</v>
      </c>
      <c r="H44" s="228" t="n">
        <f aca="false">H32</f>
        <v>0</v>
      </c>
      <c r="I44" s="238" t="n">
        <f aca="false">((A41*(B35-1))+D32)/B35</f>
        <v>0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8.75" hidden="false" customHeight="true" outlineLevel="0" collapsed="false">
      <c r="A45" s="229"/>
      <c r="B45" s="223"/>
      <c r="C45" s="223"/>
      <c r="D45" s="223"/>
      <c r="E45" s="236"/>
      <c r="F45" s="19"/>
      <c r="G45" s="19" t="s">
        <v>234</v>
      </c>
      <c r="H45" s="239" t="n">
        <f aca="false">H43+H44</f>
        <v>501</v>
      </c>
      <c r="I45" s="22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8.75" hidden="false" customHeight="true" outlineLevel="0" collapsed="false">
      <c r="A46" s="230" t="s">
        <v>235</v>
      </c>
      <c r="B46" s="231" t="s">
        <v>236</v>
      </c>
      <c r="C46" s="223"/>
      <c r="D46" s="231" t="s">
        <v>237</v>
      </c>
      <c r="E46" s="236"/>
      <c r="F46" s="19"/>
      <c r="G46" s="19" t="s">
        <v>238</v>
      </c>
      <c r="H46" s="228" t="n">
        <f aca="false">H43</f>
        <v>501</v>
      </c>
      <c r="I46" s="22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8.75" hidden="false" customHeight="true" outlineLevel="0" collapsed="false">
      <c r="A47" s="240" t="n">
        <v>0</v>
      </c>
      <c r="B47" s="241" t="n">
        <v>0</v>
      </c>
      <c r="C47" s="241"/>
      <c r="D47" s="234" t="n">
        <v>0</v>
      </c>
      <c r="E47" s="234"/>
      <c r="F47" s="19"/>
      <c r="G47" s="19"/>
      <c r="H47" s="228"/>
      <c r="I47" s="22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8.75" hidden="false" customHeight="true" outlineLevel="0" collapsed="false">
      <c r="A48" s="229"/>
      <c r="B48" s="223"/>
      <c r="C48" s="223"/>
      <c r="D48" s="223"/>
      <c r="E48" s="236"/>
      <c r="F48" s="19"/>
      <c r="G48" s="19"/>
      <c r="H48" s="228"/>
      <c r="I48" s="22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8.75" hidden="false" customHeight="true" outlineLevel="0" collapsed="false">
      <c r="A49" s="229"/>
      <c r="B49" s="223"/>
      <c r="C49" s="223"/>
      <c r="D49" s="223"/>
      <c r="E49" s="236"/>
      <c r="F49" s="19"/>
      <c r="G49" s="19"/>
      <c r="H49" s="228"/>
      <c r="I49" s="22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8.75" hidden="false" customHeight="true" outlineLevel="0" collapsed="false">
      <c r="B50" s="223"/>
      <c r="C50" s="223"/>
      <c r="D50" s="223"/>
      <c r="E50" s="236"/>
      <c r="F50" s="19"/>
      <c r="G50" s="19"/>
      <c r="H50" s="228"/>
      <c r="I50" s="22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8.75" hidden="false" customHeight="true" outlineLevel="0" collapsed="false">
      <c r="A51" s="229"/>
      <c r="B51" s="223"/>
      <c r="C51" s="223"/>
      <c r="D51" s="223"/>
      <c r="E51" s="236"/>
      <c r="F51" s="19"/>
      <c r="G51" s="19"/>
      <c r="H51" s="228"/>
      <c r="I51" s="22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8.75" hidden="false" customHeight="true" outlineLevel="0" collapsed="false">
      <c r="A52" s="242" t="s">
        <v>239</v>
      </c>
      <c r="B52" s="223"/>
      <c r="C52" s="223"/>
      <c r="D52" s="223"/>
      <c r="E52" s="236"/>
      <c r="F52" s="19"/>
      <c r="G52" s="19"/>
      <c r="H52" s="228"/>
      <c r="I52" s="22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8.75" hidden="false" customHeight="true" outlineLevel="0" collapsed="false">
      <c r="A53" s="229"/>
      <c r="B53" s="223"/>
      <c r="C53" s="223"/>
      <c r="D53" s="223"/>
      <c r="E53" s="236"/>
      <c r="F53" s="19"/>
      <c r="G53" s="19"/>
      <c r="H53" s="228"/>
      <c r="I53" s="22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8.75" hidden="false" customHeight="true" outlineLevel="0" collapsed="false">
      <c r="A54" s="243" t="s">
        <v>239</v>
      </c>
      <c r="B54" s="207"/>
      <c r="C54" s="207"/>
      <c r="D54" s="244"/>
      <c r="E54" s="245"/>
      <c r="F54" s="19"/>
      <c r="G54" s="19"/>
      <c r="H54" s="228"/>
      <c r="I54" s="22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8.75" hidden="false" customHeight="true" outlineLevel="0" collapsed="false">
      <c r="A55" s="209"/>
      <c r="B55" s="246"/>
      <c r="C55" s="246"/>
      <c r="D55" s="207"/>
      <c r="E55" s="210"/>
      <c r="F55" s="19"/>
      <c r="G55" s="19"/>
      <c r="H55" s="247"/>
      <c r="I55" s="22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8.75" hidden="false" customHeight="true" outlineLevel="0" collapsed="false">
      <c r="A56" s="248" t="s">
        <v>28</v>
      </c>
      <c r="B56" s="249" t="s">
        <v>33</v>
      </c>
      <c r="C56" s="249"/>
      <c r="D56" s="207"/>
      <c r="E56" s="210"/>
      <c r="F56" s="19"/>
      <c r="G56" s="19"/>
      <c r="H56" s="19"/>
      <c r="I56" s="22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8.75" hidden="false" customHeight="true" outlineLevel="0" collapsed="false">
      <c r="A57" s="248"/>
      <c r="B57" s="250" t="n">
        <f aca="false">H30</f>
        <v>5000</v>
      </c>
      <c r="C57" s="250"/>
      <c r="D57" s="207"/>
      <c r="E57" s="210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8.75" hidden="false" customHeight="true" outlineLevel="0" collapsed="false">
      <c r="A58" s="251" t="n">
        <f aca="false">H29</f>
        <v>12</v>
      </c>
      <c r="B58" s="92" t="n">
        <f aca="false">H45</f>
        <v>501</v>
      </c>
      <c r="C58" s="92"/>
      <c r="D58" s="207"/>
      <c r="E58" s="210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8.75" hidden="false" customHeight="true" outlineLevel="0" collapsed="false">
      <c r="A59" s="209"/>
      <c r="B59" s="207"/>
      <c r="C59" s="207"/>
      <c r="D59" s="207"/>
      <c r="E59" s="210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8.75" hidden="false" customHeight="true" outlineLevel="0" collapsed="false">
      <c r="A60" s="252"/>
      <c r="B60" s="253"/>
      <c r="C60" s="253"/>
      <c r="D60" s="253"/>
      <c r="E60" s="254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8.75" hidden="false" customHeight="true" outlineLevel="0" collapsed="false">
      <c r="A61" s="207"/>
      <c r="B61" s="207"/>
      <c r="C61" s="207"/>
      <c r="D61" s="207"/>
      <c r="E61" s="207"/>
      <c r="F61" s="19"/>
      <c r="G61" s="207"/>
      <c r="H61" s="207"/>
      <c r="I61" s="207"/>
      <c r="J61" s="207"/>
      <c r="K61" s="207"/>
      <c r="L61" s="19"/>
      <c r="M61" s="207"/>
      <c r="N61" s="207"/>
      <c r="O61" s="207"/>
      <c r="P61" s="207"/>
      <c r="Q61" s="207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8.75" hidden="false" customHeight="true" outlineLevel="0" collapsed="false">
      <c r="A62" s="255"/>
      <c r="B62" s="256"/>
      <c r="C62" s="256"/>
      <c r="D62" s="256"/>
      <c r="E62" s="257"/>
      <c r="F62" s="19"/>
      <c r="G62" s="255"/>
      <c r="H62" s="256"/>
      <c r="I62" s="256"/>
      <c r="J62" s="256"/>
      <c r="K62" s="257"/>
      <c r="L62" s="19"/>
      <c r="M62" s="255"/>
      <c r="N62" s="256"/>
      <c r="O62" s="256"/>
      <c r="P62" s="256"/>
      <c r="Q62" s="257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8.75" hidden="false" customHeight="true" outlineLevel="0" collapsed="false">
      <c r="A63" s="209" t="s">
        <v>46</v>
      </c>
      <c r="B63" s="207" t="n">
        <f aca="false">IF(B105=Z103,1,IF(B105=Z104,1,IF(B105=Z105,3,IF(B105=Z106,6,IF(B105=Z107,9,IF(B105=Z108,12,IF(B105=Z109,3,IF(B105=Z110,6,IF(B105=Z111,9,0)))))))))</f>
        <v>9</v>
      </c>
      <c r="C63" s="207"/>
      <c r="D63" s="207"/>
      <c r="E63" s="210"/>
      <c r="F63" s="19"/>
      <c r="G63" s="209" t="s">
        <v>46</v>
      </c>
      <c r="H63" s="207" t="n">
        <f aca="false">IF(H105=Y103,1,IF(H105=Y104,1,IF(H105=Y105,3,IF(H105=Y106,6,IF(H105=Y107,9,IF(H105=Y108,12,IF(H105=Y109,3,IF(H105=Y110,6,IF(H105=Y111,9,0)))))))))</f>
        <v>0</v>
      </c>
      <c r="I63" s="207"/>
      <c r="J63" s="207"/>
      <c r="K63" s="210"/>
      <c r="L63" s="19"/>
      <c r="M63" s="209" t="s">
        <v>46</v>
      </c>
      <c r="N63" s="207" t="n">
        <f aca="false">IF(N105=Y103,1,IF(N105=Y104,1,IF(N105=Y105,3,IF(N105=Y106,6,IF(N105=Y107,9,IF(N105=Y108,12,IF(N105=Y109,3,IF(N105=Y110,6,IF(N105=Y111,9,0)))))))))</f>
        <v>0</v>
      </c>
      <c r="O63" s="207"/>
      <c r="P63" s="207"/>
      <c r="Q63" s="210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8.75" hidden="false" customHeight="true" outlineLevel="0" collapsed="false">
      <c r="A64" s="209" t="s">
        <v>60</v>
      </c>
      <c r="B64" s="207" t="n">
        <f aca="false">IF(B105=Z103,H29-B63,IF(B105=Z104,H29-B63,IF(B105=Z105,H29-1,IF(B105=Z106,H29-1,IF(B105=Z107,H29-1,IF(B105=Z108,H29-1,IF(B105=Z109,H29-B63,IF(B105=Z110,H29-B63,IF(B105=Z111,H29-B63,0)))))))))</f>
        <v>3</v>
      </c>
      <c r="C64" s="207"/>
      <c r="D64" s="207"/>
      <c r="E64" s="210"/>
      <c r="F64" s="19"/>
      <c r="G64" s="209" t="s">
        <v>60</v>
      </c>
      <c r="H64" s="207" t="n">
        <f aca="false">IF(H105=Y103,H29-H63,IF(H105=Y104,H29-H63,IF(H105=Y105,H29-1,IF(H105=Y106,H29-1,IF(H105=Y107,H29-1,IF(H105=Y108,H29-1,IF(H105=Y109,H29-H63,IF(H105=Y110,H29-H63,IF(H105=Y111,H29-H63,0)))))))))</f>
        <v>0</v>
      </c>
      <c r="I64" s="207"/>
      <c r="J64" s="207"/>
      <c r="K64" s="210"/>
      <c r="L64" s="19"/>
      <c r="M64" s="209" t="s">
        <v>60</v>
      </c>
      <c r="N64" s="207" t="n">
        <f aca="false">IF(N105=Y103,H29-N63,IF(N105=Y104,H29-N63,IF(N105=Y105,H29-1,IF(N105=Y106,H29-1,IF(N105=Y107,H29-1,IF(N105=Y108,H29-1,IF(N105=Y109,H29-N63,IF(N105=Y110,H29-N63,IF(N105=Y111,H29-N63,0)))))))))</f>
        <v>0</v>
      </c>
      <c r="O64" s="207"/>
      <c r="P64" s="207"/>
      <c r="Q64" s="210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8.75" hidden="false" customHeight="true" outlineLevel="0" collapsed="false">
      <c r="A65" s="209"/>
      <c r="C65" s="207"/>
      <c r="D65" s="207"/>
      <c r="E65" s="210"/>
      <c r="F65" s="19"/>
      <c r="G65" s="209"/>
      <c r="H65" s="207"/>
      <c r="I65" s="207"/>
      <c r="J65" s="207"/>
      <c r="K65" s="210"/>
      <c r="L65" s="19"/>
      <c r="M65" s="209"/>
      <c r="N65" s="207"/>
      <c r="O65" s="207"/>
      <c r="P65" s="207"/>
      <c r="Q65" s="210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8.75" hidden="false" customHeight="true" outlineLevel="0" collapsed="false">
      <c r="A66" s="209"/>
      <c r="B66" s="207"/>
      <c r="C66" s="207"/>
      <c r="D66" s="207"/>
      <c r="E66" s="210"/>
      <c r="F66" s="19"/>
      <c r="G66" s="209"/>
      <c r="H66" s="207"/>
      <c r="I66" s="207"/>
      <c r="J66" s="207"/>
      <c r="K66" s="210"/>
      <c r="L66" s="19"/>
      <c r="M66" s="209"/>
      <c r="N66" s="207"/>
      <c r="O66" s="207"/>
      <c r="P66" s="207"/>
      <c r="Q66" s="210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8.75" hidden="false" customHeight="true" outlineLevel="0" collapsed="false">
      <c r="A67" s="209" t="s">
        <v>16</v>
      </c>
      <c r="B67" s="79" t="n">
        <f aca="false">G18</f>
        <v>57885</v>
      </c>
      <c r="C67" s="207"/>
      <c r="D67" s="207"/>
      <c r="E67" s="210"/>
      <c r="F67" s="19"/>
      <c r="G67" s="209" t="s">
        <v>16</v>
      </c>
      <c r="H67" s="79" t="n">
        <f aca="false">G18</f>
        <v>57885</v>
      </c>
      <c r="I67" s="207"/>
      <c r="J67" s="207"/>
      <c r="K67" s="210"/>
      <c r="L67" s="19"/>
      <c r="M67" s="209" t="s">
        <v>16</v>
      </c>
      <c r="N67" s="79" t="n">
        <f aca="false">G18</f>
        <v>57885</v>
      </c>
      <c r="O67" s="207"/>
      <c r="P67" s="207"/>
      <c r="Q67" s="210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8.75" hidden="false" customHeight="true" outlineLevel="0" collapsed="false">
      <c r="A68" s="258" t="s">
        <v>241</v>
      </c>
      <c r="B68" s="259" t="n">
        <v>0.07</v>
      </c>
      <c r="C68" s="207"/>
      <c r="D68" s="207"/>
      <c r="E68" s="210"/>
      <c r="F68" s="19"/>
      <c r="G68" s="258" t="s">
        <v>241</v>
      </c>
      <c r="H68" s="259" t="n">
        <v>0.07</v>
      </c>
      <c r="I68" s="207"/>
      <c r="J68" s="207"/>
      <c r="K68" s="210"/>
      <c r="L68" s="19"/>
      <c r="M68" s="258" t="s">
        <v>241</v>
      </c>
      <c r="N68" s="259" t="n">
        <v>0.07</v>
      </c>
      <c r="O68" s="207"/>
      <c r="P68" s="207"/>
      <c r="Q68" s="210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8.75" hidden="false" customHeight="true" outlineLevel="0" collapsed="false">
      <c r="A69" s="209" t="s">
        <v>242</v>
      </c>
      <c r="B69" s="260" t="n">
        <f aca="false">B68+(B68*0.25*(H29/12-1))</f>
        <v>0.07</v>
      </c>
      <c r="C69" s="207"/>
      <c r="D69" s="207"/>
      <c r="E69" s="210"/>
      <c r="F69" s="19"/>
      <c r="G69" s="209" t="s">
        <v>242</v>
      </c>
      <c r="H69" s="260" t="n">
        <f aca="false">H68+(H68*0.25*(H29/12-1))</f>
        <v>0.07</v>
      </c>
      <c r="I69" s="207"/>
      <c r="J69" s="207"/>
      <c r="K69" s="210"/>
      <c r="L69" s="19"/>
      <c r="M69" s="209" t="s">
        <v>242</v>
      </c>
      <c r="N69" s="260" t="n">
        <f aca="false">N68+(N68*0.25*(H29/12-1))</f>
        <v>0.07</v>
      </c>
      <c r="O69" s="207"/>
      <c r="P69" s="207"/>
      <c r="Q69" s="210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18.75" hidden="false" customHeight="true" outlineLevel="0" collapsed="false">
      <c r="A70" s="252" t="s">
        <v>65</v>
      </c>
      <c r="B70" s="139" t="n">
        <f aca="false">B67*B69</f>
        <v>4051.95</v>
      </c>
      <c r="C70" s="207" t="n">
        <v>10000</v>
      </c>
      <c r="D70" s="79" t="n">
        <f aca="false">B70-A149</f>
        <v>4051.95</v>
      </c>
      <c r="E70" s="210" t="n">
        <f aca="false">D70/12</f>
        <v>337.6625</v>
      </c>
      <c r="F70" s="19"/>
      <c r="G70" s="252" t="s">
        <v>65</v>
      </c>
      <c r="H70" s="139" t="n">
        <f aca="false">H67*H69</f>
        <v>4051.95</v>
      </c>
      <c r="I70" s="207"/>
      <c r="J70" s="79" t="n">
        <f aca="false">H70-G151</f>
        <v>4051.95</v>
      </c>
      <c r="K70" s="210"/>
      <c r="L70" s="19"/>
      <c r="M70" s="252" t="s">
        <v>65</v>
      </c>
      <c r="N70" s="139" t="n">
        <f aca="false">N67*N69</f>
        <v>4051.95</v>
      </c>
      <c r="O70" s="207"/>
      <c r="P70" s="79" t="n">
        <f aca="false">N70-M151</f>
        <v>4051.95</v>
      </c>
      <c r="Q70" s="210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18.75" hidden="false" customHeight="true" outlineLevel="0" collapsed="false">
      <c r="A71" s="258" t="s">
        <v>66</v>
      </c>
      <c r="B71" s="259" t="n">
        <v>0.01</v>
      </c>
      <c r="C71" s="207"/>
      <c r="D71" s="207"/>
      <c r="E71" s="210"/>
      <c r="F71" s="19"/>
      <c r="G71" s="258" t="s">
        <v>66</v>
      </c>
      <c r="H71" s="259" t="n">
        <v>0.005</v>
      </c>
      <c r="I71" s="207"/>
      <c r="J71" s="207"/>
      <c r="K71" s="210"/>
      <c r="L71" s="19"/>
      <c r="M71" s="258" t="s">
        <v>66</v>
      </c>
      <c r="N71" s="259" t="n">
        <v>0.005</v>
      </c>
      <c r="O71" s="207"/>
      <c r="P71" s="207"/>
      <c r="Q71" s="210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8.75" hidden="false" customHeight="true" outlineLevel="0" collapsed="false">
      <c r="A72" s="209" t="s">
        <v>67</v>
      </c>
      <c r="B72" s="260" t="n">
        <f aca="false">B71+(B71*0.5*(H29/12-1))</f>
        <v>0.01</v>
      </c>
      <c r="C72" s="207"/>
      <c r="D72" s="207"/>
      <c r="E72" s="210"/>
      <c r="F72" s="19"/>
      <c r="G72" s="209" t="s">
        <v>67</v>
      </c>
      <c r="H72" s="260" t="n">
        <f aca="false">H71+(H71*0.5*(H29/12-1))</f>
        <v>0.005</v>
      </c>
      <c r="I72" s="207"/>
      <c r="J72" s="207"/>
      <c r="K72" s="210"/>
      <c r="L72" s="19"/>
      <c r="M72" s="209" t="s">
        <v>67</v>
      </c>
      <c r="N72" s="260" t="n">
        <f aca="false">N71+(N71*0.5*(H29/12-1))</f>
        <v>0.005</v>
      </c>
      <c r="O72" s="207"/>
      <c r="P72" s="207"/>
      <c r="Q72" s="210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8.75" hidden="false" customHeight="true" outlineLevel="0" collapsed="false">
      <c r="A73" s="252" t="s">
        <v>68</v>
      </c>
      <c r="B73" s="139" t="n">
        <f aca="false">B67*B72</f>
        <v>578.85</v>
      </c>
      <c r="C73" s="207"/>
      <c r="D73" s="79"/>
      <c r="E73" s="210"/>
      <c r="F73" s="19"/>
      <c r="G73" s="252" t="s">
        <v>68</v>
      </c>
      <c r="H73" s="139" t="n">
        <f aca="false">H67*H72</f>
        <v>289.425</v>
      </c>
      <c r="I73" s="207"/>
      <c r="J73" s="79"/>
      <c r="K73" s="210"/>
      <c r="L73" s="19"/>
      <c r="M73" s="252" t="s">
        <v>68</v>
      </c>
      <c r="N73" s="139" t="n">
        <f aca="false">N67*N72</f>
        <v>289.425</v>
      </c>
      <c r="O73" s="207"/>
      <c r="P73" s="79"/>
      <c r="Q73" s="210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8.75" hidden="false" customHeight="true" outlineLevel="0" collapsed="false">
      <c r="A74" s="258" t="s">
        <v>69</v>
      </c>
      <c r="B74" s="259" t="n">
        <v>0.0075</v>
      </c>
      <c r="C74" s="207"/>
      <c r="D74" s="207"/>
      <c r="E74" s="210"/>
      <c r="F74" s="19"/>
      <c r="G74" s="258" t="s">
        <v>69</v>
      </c>
      <c r="H74" s="259" t="n">
        <v>0.0075</v>
      </c>
      <c r="I74" s="207"/>
      <c r="J74" s="207"/>
      <c r="K74" s="210"/>
      <c r="L74" s="19"/>
      <c r="M74" s="258" t="s">
        <v>69</v>
      </c>
      <c r="N74" s="259" t="n">
        <v>0.0075</v>
      </c>
      <c r="O74" s="207"/>
      <c r="P74" s="207"/>
      <c r="Q74" s="210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8.75" hidden="false" customHeight="true" outlineLevel="0" collapsed="false">
      <c r="A75" s="261" t="s">
        <v>70</v>
      </c>
      <c r="B75" s="262" t="n">
        <v>0.12</v>
      </c>
      <c r="C75" s="207"/>
      <c r="D75" s="207"/>
      <c r="E75" s="210"/>
      <c r="F75" s="19"/>
      <c r="G75" s="261" t="s">
        <v>70</v>
      </c>
      <c r="H75" s="262" t="n">
        <v>0.12</v>
      </c>
      <c r="I75" s="207"/>
      <c r="J75" s="207"/>
      <c r="K75" s="210"/>
      <c r="L75" s="19"/>
      <c r="M75" s="261" t="s">
        <v>70</v>
      </c>
      <c r="N75" s="262" t="n">
        <v>0.12</v>
      </c>
      <c r="O75" s="207"/>
      <c r="P75" s="207"/>
      <c r="Q75" s="210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8.75" hidden="false" customHeight="true" outlineLevel="0" collapsed="false">
      <c r="A76" s="252" t="s">
        <v>71</v>
      </c>
      <c r="B76" s="263" t="n">
        <f aca="false">B74*(1+B75)</f>
        <v>0.0084</v>
      </c>
      <c r="C76" s="207"/>
      <c r="D76" s="207"/>
      <c r="E76" s="210"/>
      <c r="F76" s="19"/>
      <c r="G76" s="252" t="s">
        <v>71</v>
      </c>
      <c r="H76" s="263" t="n">
        <f aca="false">H74*(1+H75)</f>
        <v>0.0084</v>
      </c>
      <c r="I76" s="207"/>
      <c r="J76" s="207"/>
      <c r="K76" s="210"/>
      <c r="L76" s="19"/>
      <c r="M76" s="252" t="s">
        <v>71</v>
      </c>
      <c r="N76" s="263" t="n">
        <f aca="false">N74*(1+N75)</f>
        <v>0.0084</v>
      </c>
      <c r="O76" s="207"/>
      <c r="P76" s="207"/>
      <c r="Q76" s="210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8.75" hidden="false" customHeight="true" outlineLevel="0" collapsed="false">
      <c r="A77" s="258" t="s">
        <v>72</v>
      </c>
      <c r="B77" s="264" t="n">
        <v>200</v>
      </c>
      <c r="C77" s="207"/>
      <c r="D77" s="207"/>
      <c r="E77" s="210"/>
      <c r="F77" s="19"/>
      <c r="G77" s="258" t="s">
        <v>72</v>
      </c>
      <c r="H77" s="264" t="n">
        <v>160</v>
      </c>
      <c r="I77" s="207"/>
      <c r="J77" s="207"/>
      <c r="K77" s="210"/>
      <c r="L77" s="19"/>
      <c r="M77" s="258" t="s">
        <v>72</v>
      </c>
      <c r="N77" s="264" t="n">
        <v>160</v>
      </c>
      <c r="O77" s="207"/>
      <c r="P77" s="207"/>
      <c r="Q77" s="210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8.75" hidden="false" customHeight="true" outlineLevel="0" collapsed="false">
      <c r="A78" s="261" t="s">
        <v>73</v>
      </c>
      <c r="B78" s="265" t="n">
        <v>5</v>
      </c>
      <c r="C78" s="207"/>
      <c r="D78" s="207"/>
      <c r="E78" s="210"/>
      <c r="F78" s="19"/>
      <c r="G78" s="261" t="s">
        <v>73</v>
      </c>
      <c r="H78" s="265" t="n">
        <v>4.5</v>
      </c>
      <c r="I78" s="207"/>
      <c r="J78" s="207"/>
      <c r="K78" s="210"/>
      <c r="L78" s="19"/>
      <c r="M78" s="261" t="s">
        <v>73</v>
      </c>
      <c r="N78" s="265" t="n">
        <v>4.5</v>
      </c>
      <c r="O78" s="207"/>
      <c r="P78" s="207"/>
      <c r="Q78" s="210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8.75" hidden="false" customHeight="true" outlineLevel="0" collapsed="false">
      <c r="A79" s="252" t="s">
        <v>74</v>
      </c>
      <c r="B79" s="139" t="n">
        <f aca="false">B78*H29</f>
        <v>60</v>
      </c>
      <c r="C79" s="207"/>
      <c r="D79" s="79" t="n">
        <f aca="false">B79+B77</f>
        <v>260</v>
      </c>
      <c r="E79" s="266" t="n">
        <f aca="false">D79+D85+D86</f>
        <v>660</v>
      </c>
      <c r="F79" s="19"/>
      <c r="G79" s="252" t="s">
        <v>74</v>
      </c>
      <c r="H79" s="139" t="n">
        <f aca="false">H78*H29</f>
        <v>54</v>
      </c>
      <c r="I79" s="207"/>
      <c r="J79" s="79" t="n">
        <f aca="false">H79+H77</f>
        <v>214</v>
      </c>
      <c r="K79" s="210"/>
      <c r="L79" s="19"/>
      <c r="M79" s="252" t="s">
        <v>74</v>
      </c>
      <c r="N79" s="139" t="n">
        <f aca="false">N78*H29</f>
        <v>54</v>
      </c>
      <c r="O79" s="207"/>
      <c r="P79" s="79" t="n">
        <f aca="false">N79+N77</f>
        <v>214</v>
      </c>
      <c r="Q79" s="210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8.75" hidden="false" customHeight="true" outlineLevel="0" collapsed="false">
      <c r="A80" s="258" t="s">
        <v>243</v>
      </c>
      <c r="B80" s="264" t="n">
        <v>165</v>
      </c>
      <c r="C80" s="207"/>
      <c r="D80" s="207"/>
      <c r="E80" s="266" t="n">
        <f aca="false">E79+D82</f>
        <v>703.333333333333</v>
      </c>
      <c r="F80" s="19"/>
      <c r="G80" s="258" t="s">
        <v>243</v>
      </c>
      <c r="H80" s="264" t="n">
        <v>150</v>
      </c>
      <c r="I80" s="207"/>
      <c r="J80" s="207"/>
      <c r="K80" s="210"/>
      <c r="L80" s="19"/>
      <c r="M80" s="267" t="s">
        <v>243</v>
      </c>
      <c r="N80" s="268" t="n">
        <v>0</v>
      </c>
      <c r="O80" s="207"/>
      <c r="P80" s="207"/>
      <c r="Q80" s="210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18.75" hidden="false" customHeight="true" outlineLevel="0" collapsed="false">
      <c r="A81" s="261" t="s">
        <v>244</v>
      </c>
      <c r="B81" s="265" t="n">
        <v>355</v>
      </c>
      <c r="C81" s="207"/>
      <c r="D81" s="207"/>
      <c r="E81" s="210" t="n">
        <f aca="false">E80/12</f>
        <v>58.6111111111111</v>
      </c>
      <c r="F81" s="19"/>
      <c r="G81" s="261" t="s">
        <v>244</v>
      </c>
      <c r="H81" s="265" t="n">
        <f aca="false">IF(G18&gt;40000, 325, 0)</f>
        <v>325</v>
      </c>
      <c r="I81" s="207"/>
      <c r="J81" s="207"/>
      <c r="K81" s="210"/>
      <c r="L81" s="19"/>
      <c r="M81" s="269" t="s">
        <v>244</v>
      </c>
      <c r="N81" s="270" t="n">
        <v>0</v>
      </c>
      <c r="O81" s="207"/>
      <c r="P81" s="207"/>
      <c r="Q81" s="210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18.75" hidden="false" customHeight="true" outlineLevel="0" collapsed="false">
      <c r="A82" s="252" t="s">
        <v>245</v>
      </c>
      <c r="B82" s="139" t="n">
        <f aca="false">((B80+B81)/12)*(H29-11)</f>
        <v>43.3333333333333</v>
      </c>
      <c r="C82" s="207"/>
      <c r="D82" s="79" t="n">
        <f aca="false">IF(A50="YES", 0, B82)</f>
        <v>43.3333333333333</v>
      </c>
      <c r="E82" s="210"/>
      <c r="F82" s="19"/>
      <c r="G82" s="252" t="s">
        <v>245</v>
      </c>
      <c r="H82" s="139" t="n">
        <f aca="false">((H80+H81)/12)*(H29-11)</f>
        <v>39.5833333333333</v>
      </c>
      <c r="I82" s="207"/>
      <c r="J82" s="79" t="n">
        <f aca="false">IF(A50="YES", 0, H82)</f>
        <v>39.5833333333333</v>
      </c>
      <c r="K82" s="210"/>
      <c r="L82" s="19"/>
      <c r="M82" s="271" t="s">
        <v>245</v>
      </c>
      <c r="N82" s="272" t="n">
        <f aca="false">((N80+N81)/12)*(H29-11)</f>
        <v>0</v>
      </c>
      <c r="O82" s="207"/>
      <c r="P82" s="79" t="n">
        <f aca="false">IF(A50="YES", 0, N82)</f>
        <v>0</v>
      </c>
      <c r="Q82" s="210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8.75" hidden="false" customHeight="true" outlineLevel="0" collapsed="false">
      <c r="A83" s="258" t="s">
        <v>246</v>
      </c>
      <c r="B83" s="264" t="n">
        <f aca="false">B108/(1-0.1)</f>
        <v>444.444444444444</v>
      </c>
      <c r="C83" s="207"/>
      <c r="D83" s="79" t="n">
        <f aca="false">B83</f>
        <v>444.444444444444</v>
      </c>
      <c r="E83" s="210" t="n">
        <f aca="false">D83/12</f>
        <v>37.037037037037</v>
      </c>
      <c r="F83" s="19"/>
      <c r="G83" s="258" t="s">
        <v>246</v>
      </c>
      <c r="H83" s="264" t="n">
        <f aca="false">H108</f>
        <v>1200</v>
      </c>
      <c r="I83" s="207"/>
      <c r="J83" s="79" t="n">
        <f aca="false">H83</f>
        <v>1200</v>
      </c>
      <c r="K83" s="210"/>
      <c r="L83" s="19"/>
      <c r="M83" s="258" t="s">
        <v>246</v>
      </c>
      <c r="N83" s="264" t="n">
        <f aca="false">N108</f>
        <v>1200</v>
      </c>
      <c r="O83" s="207"/>
      <c r="P83" s="79" t="n">
        <f aca="false">N83</f>
        <v>1200</v>
      </c>
      <c r="Q83" s="210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18.75" hidden="false" customHeight="true" outlineLevel="0" collapsed="false">
      <c r="A84" s="209" t="s">
        <v>247</v>
      </c>
      <c r="B84" s="273" t="n">
        <f aca="false">D108/(1-0.1)</f>
        <v>222.222222222222</v>
      </c>
      <c r="C84" s="207"/>
      <c r="D84" s="79" t="n">
        <f aca="false">B84</f>
        <v>222.222222222222</v>
      </c>
      <c r="E84" s="210"/>
      <c r="F84" s="19"/>
      <c r="G84" s="209" t="s">
        <v>248</v>
      </c>
      <c r="H84" s="273" t="n">
        <f aca="false">J108</f>
        <v>1500</v>
      </c>
      <c r="I84" s="207"/>
      <c r="J84" s="79" t="n">
        <f aca="false">H84</f>
        <v>1500</v>
      </c>
      <c r="K84" s="210"/>
      <c r="L84" s="19"/>
      <c r="M84" s="209" t="s">
        <v>248</v>
      </c>
      <c r="N84" s="273" t="n">
        <f aca="false">P108</f>
        <v>1500</v>
      </c>
      <c r="O84" s="207"/>
      <c r="P84" s="79" t="n">
        <f aca="false">N84</f>
        <v>1500</v>
      </c>
      <c r="Q84" s="210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8.75" hidden="false" customHeight="true" outlineLevel="0" collapsed="false">
      <c r="A85" s="261" t="s">
        <v>75</v>
      </c>
      <c r="B85" s="265" t="n">
        <v>200</v>
      </c>
      <c r="C85" s="207"/>
      <c r="D85" s="79" t="n">
        <f aca="false">B85</f>
        <v>200</v>
      </c>
      <c r="E85" s="210"/>
      <c r="F85" s="19"/>
      <c r="G85" s="261" t="s">
        <v>75</v>
      </c>
      <c r="H85" s="265" t="n">
        <v>100</v>
      </c>
      <c r="I85" s="207"/>
      <c r="J85" s="79" t="n">
        <f aca="false">H85</f>
        <v>100</v>
      </c>
      <c r="K85" s="210"/>
      <c r="L85" s="19"/>
      <c r="M85" s="261" t="s">
        <v>75</v>
      </c>
      <c r="N85" s="265" t="n">
        <v>100</v>
      </c>
      <c r="O85" s="207"/>
      <c r="P85" s="79" t="n">
        <f aca="false">N85</f>
        <v>100</v>
      </c>
      <c r="Q85" s="210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8.75" hidden="false" customHeight="true" outlineLevel="0" collapsed="false">
      <c r="A86" s="274" t="s">
        <v>76</v>
      </c>
      <c r="B86" s="275" t="n">
        <v>200</v>
      </c>
      <c r="C86" s="207"/>
      <c r="D86" s="79" t="n">
        <f aca="false">B86</f>
        <v>200</v>
      </c>
      <c r="E86" s="210"/>
      <c r="F86" s="19"/>
      <c r="G86" s="274" t="s">
        <v>76</v>
      </c>
      <c r="H86" s="275" t="n">
        <v>100</v>
      </c>
      <c r="I86" s="207"/>
      <c r="J86" s="79" t="n">
        <f aca="false">H86</f>
        <v>100</v>
      </c>
      <c r="K86" s="210"/>
      <c r="L86" s="19"/>
      <c r="M86" s="274" t="s">
        <v>76</v>
      </c>
      <c r="N86" s="275" t="n">
        <v>100</v>
      </c>
      <c r="O86" s="207"/>
      <c r="P86" s="79" t="n">
        <f aca="false">N86</f>
        <v>100</v>
      </c>
      <c r="Q86" s="210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8.75" hidden="false" customHeight="true" outlineLevel="0" collapsed="false">
      <c r="A87" s="276" t="s">
        <v>77</v>
      </c>
      <c r="B87" s="277" t="n">
        <f aca="false">SUM(D70:D86)</f>
        <v>5421.95</v>
      </c>
      <c r="C87" s="207"/>
      <c r="D87" s="207"/>
      <c r="E87" s="210"/>
      <c r="F87" s="19"/>
      <c r="G87" s="276" t="s">
        <v>77</v>
      </c>
      <c r="H87" s="277" t="n">
        <f aca="false">SUM(J70:J86)</f>
        <v>7205.53333333333</v>
      </c>
      <c r="I87" s="207"/>
      <c r="J87" s="207"/>
      <c r="K87" s="210"/>
      <c r="L87" s="19"/>
      <c r="M87" s="276" t="s">
        <v>77</v>
      </c>
      <c r="N87" s="277" t="n">
        <f aca="false">SUM(P70:P86)</f>
        <v>7165.95</v>
      </c>
      <c r="O87" s="207"/>
      <c r="P87" s="207"/>
      <c r="Q87" s="210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8.75" hidden="false" customHeight="true" outlineLevel="0" collapsed="false">
      <c r="A88" s="209" t="s">
        <v>78</v>
      </c>
      <c r="B88" s="273" t="n">
        <f aca="false">B87/H29</f>
        <v>451.829166666667</v>
      </c>
      <c r="C88" s="207"/>
      <c r="D88" s="207"/>
      <c r="E88" s="210"/>
      <c r="F88" s="19"/>
      <c r="G88" s="209" t="s">
        <v>78</v>
      </c>
      <c r="H88" s="273" t="n">
        <f aca="false">H87/H29</f>
        <v>600.461111111111</v>
      </c>
      <c r="I88" s="207"/>
      <c r="J88" s="207"/>
      <c r="K88" s="210"/>
      <c r="L88" s="19"/>
      <c r="M88" s="209" t="s">
        <v>78</v>
      </c>
      <c r="N88" s="273" t="n">
        <f aca="false">N87/H29</f>
        <v>597.1625</v>
      </c>
      <c r="O88" s="207"/>
      <c r="P88" s="207"/>
      <c r="Q88" s="210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8.75" hidden="false" customHeight="true" outlineLevel="0" collapsed="false">
      <c r="A89" s="278" t="s">
        <v>79</v>
      </c>
      <c r="B89" s="279" t="n">
        <f aca="false">H46</f>
        <v>501</v>
      </c>
      <c r="C89" s="207"/>
      <c r="D89" s="207"/>
      <c r="E89" s="210"/>
      <c r="F89" s="19"/>
      <c r="G89" s="278" t="s">
        <v>79</v>
      </c>
      <c r="H89" s="279" t="n">
        <f aca="false">H46</f>
        <v>501</v>
      </c>
      <c r="I89" s="207"/>
      <c r="J89" s="207"/>
      <c r="K89" s="210"/>
      <c r="L89" s="19"/>
      <c r="M89" s="278" t="s">
        <v>79</v>
      </c>
      <c r="N89" s="279" t="n">
        <f aca="false">H46</f>
        <v>501</v>
      </c>
      <c r="O89" s="207"/>
      <c r="P89" s="207"/>
      <c r="Q89" s="210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8.75" hidden="false" customHeight="true" outlineLevel="0" collapsed="false">
      <c r="A90" s="209"/>
      <c r="B90" s="79"/>
      <c r="C90" s="207"/>
      <c r="D90" s="207"/>
      <c r="E90" s="210"/>
      <c r="F90" s="19"/>
      <c r="G90" s="209"/>
      <c r="H90" s="79"/>
      <c r="I90" s="207"/>
      <c r="J90" s="207"/>
      <c r="K90" s="210"/>
      <c r="L90" s="19"/>
      <c r="M90" s="209"/>
      <c r="N90" s="79"/>
      <c r="O90" s="207"/>
      <c r="P90" s="207"/>
      <c r="Q90" s="210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8.75" hidden="false" customHeight="true" outlineLevel="0" collapsed="false">
      <c r="A91" s="255" t="s">
        <v>88</v>
      </c>
      <c r="B91" s="137" t="n">
        <f aca="false">((B89*H29)+B87)*1.2</f>
        <v>13720.74</v>
      </c>
      <c r="C91" s="207"/>
      <c r="D91" s="207"/>
      <c r="E91" s="210"/>
      <c r="F91" s="19"/>
      <c r="G91" s="255" t="s">
        <v>88</v>
      </c>
      <c r="H91" s="137" t="n">
        <f aca="false">((H89*H29)+H87)*1.2</f>
        <v>15861.04</v>
      </c>
      <c r="I91" s="207"/>
      <c r="J91" s="207"/>
      <c r="K91" s="210"/>
      <c r="L91" s="19"/>
      <c r="M91" s="255" t="s">
        <v>88</v>
      </c>
      <c r="N91" s="137" t="n">
        <f aca="false">((N89*H29)+N87)</f>
        <v>13177.95</v>
      </c>
      <c r="O91" s="207"/>
      <c r="P91" s="207"/>
      <c r="Q91" s="210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8.75" hidden="false" customHeight="true" outlineLevel="0" collapsed="false">
      <c r="A92" s="209" t="s">
        <v>89</v>
      </c>
      <c r="B92" s="273" t="n">
        <f aca="false">(((B89*H29)+B87)/(1-B76))*B76</f>
        <v>96.8587938684954</v>
      </c>
      <c r="C92" s="207"/>
      <c r="D92" s="207"/>
      <c r="E92" s="280"/>
      <c r="F92" s="19"/>
      <c r="G92" s="209" t="s">
        <v>89</v>
      </c>
      <c r="H92" s="273" t="n">
        <f aca="false">(((H89*H29)+H87)/(1-H76))*H76</f>
        <v>111.967809600645</v>
      </c>
      <c r="I92" s="207"/>
      <c r="J92" s="207"/>
      <c r="K92" s="210"/>
      <c r="L92" s="19"/>
      <c r="M92" s="209" t="s">
        <v>89</v>
      </c>
      <c r="N92" s="273" t="n">
        <f aca="false">(N91/(1-N76))*N76</f>
        <v>111.632492940702</v>
      </c>
      <c r="O92" s="207"/>
      <c r="P92" s="207"/>
      <c r="Q92" s="210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8.75" hidden="false" customHeight="true" outlineLevel="0" collapsed="false">
      <c r="A93" s="252" t="s">
        <v>90</v>
      </c>
      <c r="B93" s="139" t="n">
        <f aca="false">IF(B116="YES",((B91+B92)-E120),(B91+B92))</f>
        <v>9817.5987938685</v>
      </c>
      <c r="C93" s="207"/>
      <c r="D93" s="207"/>
      <c r="E93" s="210"/>
      <c r="F93" s="19"/>
      <c r="G93" s="252" t="s">
        <v>90</v>
      </c>
      <c r="H93" s="139" t="n">
        <f aca="false">IF(H116="YES",((H91+H92)-K120),(H91+H92))</f>
        <v>17973.0078096006</v>
      </c>
      <c r="I93" s="207"/>
      <c r="J93" s="207"/>
      <c r="K93" s="210"/>
      <c r="L93" s="19"/>
      <c r="M93" s="252" t="s">
        <v>90</v>
      </c>
      <c r="N93" s="139" t="n">
        <f aca="false">IF(N116="YES",((N91+N92)-K120),(N91+N92))</f>
        <v>15289.5824929407</v>
      </c>
      <c r="O93" s="207"/>
      <c r="P93" s="207"/>
      <c r="Q93" s="210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18.75" hidden="false" customHeight="true" outlineLevel="0" collapsed="false">
      <c r="A94" s="209"/>
      <c r="B94" s="79"/>
      <c r="C94" s="207"/>
      <c r="D94" s="207"/>
      <c r="E94" s="210"/>
      <c r="F94" s="19"/>
      <c r="G94" s="209"/>
      <c r="H94" s="79"/>
      <c r="I94" s="207"/>
      <c r="J94" s="207"/>
      <c r="K94" s="210"/>
      <c r="L94" s="19"/>
      <c r="M94" s="209"/>
      <c r="N94" s="79"/>
      <c r="O94" s="207"/>
      <c r="P94" s="207"/>
      <c r="Q94" s="210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8.75" hidden="false" customHeight="true" outlineLevel="0" collapsed="false">
      <c r="A95" s="276" t="s">
        <v>91</v>
      </c>
      <c r="B95" s="277" t="n">
        <f aca="false">IF(B105=Z104,(((H44*B35)+(H44*B35)*(B111/100))/(B64)),(((H44*B35)+(H44*B35)*(B111/100))/(B63+B64)))*1.2</f>
        <v>0</v>
      </c>
      <c r="C95" s="207"/>
      <c r="D95" s="207"/>
      <c r="E95" s="210"/>
      <c r="F95" s="19"/>
      <c r="G95" s="276" t="s">
        <v>91</v>
      </c>
      <c r="H95" s="277" t="e">
        <f aca="false">(((H44*B35)+((H44*B35)*H111))/(H63+H64))*1.2</f>
        <v>#DIV/0!</v>
      </c>
      <c r="I95" s="207"/>
      <c r="J95" s="207"/>
      <c r="K95" s="210"/>
      <c r="L95" s="19"/>
      <c r="M95" s="276" t="s">
        <v>91</v>
      </c>
      <c r="N95" s="277" t="e">
        <f aca="false">((H44*B35)+((H44*B35)*N111))/(N63+N64)</f>
        <v>#DIV/0!</v>
      </c>
      <c r="O95" s="207"/>
      <c r="P95" s="207"/>
      <c r="Q95" s="210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8.75" hidden="false" customHeight="true" outlineLevel="0" collapsed="false">
      <c r="A96" s="281" t="s">
        <v>92</v>
      </c>
      <c r="B96" s="282" t="n">
        <f aca="false">IF(B105=Z104, (B93-D111)/(B64), B93/(B63+B64))</f>
        <v>818.133232822375</v>
      </c>
      <c r="C96" s="207"/>
      <c r="D96" s="207"/>
      <c r="E96" s="210"/>
      <c r="F96" s="19"/>
      <c r="G96" s="281" t="s">
        <v>92</v>
      </c>
      <c r="H96" s="282" t="e">
        <f aca="false">IF(H105=Y104, (H93-J111)/(H64), H93/(H63+H64))</f>
        <v>#DIV/0!</v>
      </c>
      <c r="I96" s="207"/>
      <c r="J96" s="207"/>
      <c r="K96" s="210"/>
      <c r="L96" s="19"/>
      <c r="M96" s="281" t="s">
        <v>92</v>
      </c>
      <c r="N96" s="282" t="e">
        <f aca="false">IF(N105=Y104, (N93-P111)/(N64), N93/(N63+N64))</f>
        <v>#DIV/0!</v>
      </c>
      <c r="O96" s="207"/>
      <c r="P96" s="207"/>
      <c r="Q96" s="210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8.75" hidden="false" customHeight="true" outlineLevel="0" collapsed="false">
      <c r="A97" s="283" t="s">
        <v>93</v>
      </c>
      <c r="B97" s="284" t="n">
        <f aca="false">IF(A111="YES", B96+B95, B96)</f>
        <v>818.133232822375</v>
      </c>
      <c r="C97" s="207"/>
      <c r="D97" s="285"/>
      <c r="E97" s="210"/>
      <c r="F97" s="19"/>
      <c r="G97" s="283" t="s">
        <v>93</v>
      </c>
      <c r="H97" s="284" t="e">
        <f aca="false">IF(G111="YES", H96+H95, H96)</f>
        <v>#DIV/0!</v>
      </c>
      <c r="I97" s="207"/>
      <c r="J97" s="207"/>
      <c r="K97" s="210"/>
      <c r="L97" s="19"/>
      <c r="M97" s="283" t="s">
        <v>93</v>
      </c>
      <c r="N97" s="284" t="e">
        <f aca="false">IF(M111="YES", N96+N95, N96)</f>
        <v>#DIV/0!</v>
      </c>
      <c r="O97" s="207"/>
      <c r="P97" s="207"/>
      <c r="Q97" s="210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18.75" hidden="false" customHeight="true" outlineLevel="0" collapsed="false">
      <c r="A98" s="252"/>
      <c r="B98" s="253"/>
      <c r="C98" s="253"/>
      <c r="D98" s="253"/>
      <c r="E98" s="254"/>
      <c r="F98" s="19"/>
      <c r="G98" s="252"/>
      <c r="H98" s="253"/>
      <c r="I98" s="253"/>
      <c r="J98" s="253"/>
      <c r="K98" s="254"/>
      <c r="L98" s="19"/>
      <c r="M98" s="252"/>
      <c r="N98" s="253"/>
      <c r="O98" s="253"/>
      <c r="P98" s="253"/>
      <c r="Q98" s="254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18.75" hidden="false" customHeight="true" outlineLevel="0" collapsed="false">
      <c r="A99" s="207"/>
      <c r="B99" s="207"/>
      <c r="C99" s="207"/>
      <c r="D99" s="207"/>
      <c r="E99" s="207"/>
      <c r="F99" s="19"/>
      <c r="G99" s="207"/>
      <c r="H99" s="207"/>
      <c r="I99" s="207"/>
      <c r="J99" s="207"/>
      <c r="K99" s="207"/>
      <c r="L99" s="19"/>
      <c r="M99" s="207"/>
      <c r="N99" s="207"/>
      <c r="O99" s="207"/>
      <c r="P99" s="207"/>
      <c r="Q99" s="207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48.75" hidden="false" customHeight="true" outlineLevel="0" collapsed="false">
      <c r="A100" s="208" t="s">
        <v>250</v>
      </c>
      <c r="B100" s="208"/>
      <c r="C100" s="208"/>
      <c r="D100" s="208"/>
      <c r="E100" s="208"/>
      <c r="F100" s="19"/>
      <c r="G100" s="208" t="s">
        <v>250</v>
      </c>
      <c r="H100" s="208"/>
      <c r="I100" s="208"/>
      <c r="J100" s="208"/>
      <c r="K100" s="208"/>
      <c r="L100" s="19"/>
      <c r="M100" s="208" t="s">
        <v>251</v>
      </c>
      <c r="N100" s="208"/>
      <c r="O100" s="208"/>
      <c r="P100" s="208"/>
      <c r="Q100" s="208"/>
      <c r="R100" s="19"/>
      <c r="S100" s="19"/>
      <c r="T100" s="19"/>
      <c r="U100" s="19"/>
      <c r="V100" s="19"/>
      <c r="W100" s="19"/>
      <c r="X100" s="19"/>
      <c r="Y100" s="19"/>
      <c r="Z100" s="19"/>
    </row>
    <row r="101" customFormat="false" ht="18.75" hidden="false" customHeight="true" outlineLevel="0" collapsed="false">
      <c r="A101" s="209"/>
      <c r="B101" s="207"/>
      <c r="C101" s="207"/>
      <c r="D101" s="207"/>
      <c r="E101" s="210"/>
      <c r="F101" s="19"/>
      <c r="G101" s="209"/>
      <c r="H101" s="207"/>
      <c r="I101" s="207"/>
      <c r="J101" s="207"/>
      <c r="K101" s="210"/>
      <c r="L101" s="19"/>
      <c r="M101" s="209"/>
      <c r="N101" s="207"/>
      <c r="O101" s="207"/>
      <c r="P101" s="207"/>
      <c r="Q101" s="210"/>
      <c r="R101" s="19"/>
      <c r="S101" s="19"/>
      <c r="T101" s="19"/>
      <c r="U101" s="19"/>
      <c r="V101" s="19"/>
      <c r="W101" s="19"/>
      <c r="X101" s="19"/>
      <c r="Y101" s="19"/>
      <c r="Z101" s="19"/>
    </row>
    <row r="102" customFormat="false" ht="18.75" hidden="false" customHeight="true" outlineLevel="0" collapsed="false">
      <c r="A102" s="211" t="s">
        <v>26</v>
      </c>
      <c r="B102" s="211"/>
      <c r="C102" s="211"/>
      <c r="D102" s="211"/>
      <c r="E102" s="211"/>
      <c r="F102" s="19"/>
      <c r="G102" s="211" t="s">
        <v>26</v>
      </c>
      <c r="H102" s="211"/>
      <c r="I102" s="211"/>
      <c r="J102" s="211"/>
      <c r="K102" s="211"/>
      <c r="L102" s="19"/>
      <c r="M102" s="211" t="s">
        <v>26</v>
      </c>
      <c r="N102" s="211"/>
      <c r="O102" s="211"/>
      <c r="P102" s="211"/>
      <c r="Q102" s="211"/>
      <c r="R102" s="19"/>
      <c r="S102" s="19"/>
      <c r="T102" s="19"/>
      <c r="U102" s="19"/>
      <c r="V102" s="19"/>
      <c r="W102" s="19"/>
      <c r="X102" s="19"/>
      <c r="Y102" s="19"/>
      <c r="Z102" s="19"/>
    </row>
    <row r="103" customFormat="false" ht="18.75" hidden="false" customHeight="true" outlineLevel="0" collapsed="false">
      <c r="A103" s="209"/>
      <c r="B103" s="207"/>
      <c r="C103" s="207"/>
      <c r="D103" s="207"/>
      <c r="E103" s="210"/>
      <c r="F103" s="19"/>
      <c r="G103" s="209"/>
      <c r="H103" s="207"/>
      <c r="I103" s="207"/>
      <c r="J103" s="207"/>
      <c r="K103" s="210"/>
      <c r="L103" s="19"/>
      <c r="M103" s="209"/>
      <c r="N103" s="207"/>
      <c r="O103" s="207"/>
      <c r="P103" s="207"/>
      <c r="Q103" s="210"/>
      <c r="R103" s="19"/>
      <c r="S103" s="19"/>
      <c r="T103" s="19"/>
      <c r="U103" s="19"/>
      <c r="V103" s="19"/>
      <c r="W103" s="19"/>
      <c r="X103" s="19"/>
      <c r="Y103" s="19"/>
      <c r="Z103" s="19" t="s">
        <v>100</v>
      </c>
    </row>
    <row r="104" customFormat="false" ht="18.75" hidden="false" customHeight="true" outlineLevel="0" collapsed="false">
      <c r="A104" s="209" t="s">
        <v>98</v>
      </c>
      <c r="B104" s="207" t="s">
        <v>23</v>
      </c>
      <c r="C104" s="207"/>
      <c r="D104" s="207" t="s">
        <v>252</v>
      </c>
      <c r="E104" s="210"/>
      <c r="F104" s="19"/>
      <c r="G104" s="209" t="s">
        <v>98</v>
      </c>
      <c r="H104" s="207" t="s">
        <v>23</v>
      </c>
      <c r="I104" s="207"/>
      <c r="J104" s="207" t="s">
        <v>252</v>
      </c>
      <c r="K104" s="210"/>
      <c r="L104" s="19"/>
      <c r="M104" s="209" t="s">
        <v>98</v>
      </c>
      <c r="N104" s="207" t="s">
        <v>23</v>
      </c>
      <c r="O104" s="207"/>
      <c r="P104" s="207" t="s">
        <v>252</v>
      </c>
      <c r="Q104" s="210"/>
      <c r="R104" s="19"/>
      <c r="S104" s="19"/>
      <c r="T104" s="19"/>
      <c r="U104" s="19"/>
      <c r="V104" s="19"/>
      <c r="W104" s="19"/>
      <c r="X104" s="19"/>
      <c r="Y104" s="19"/>
      <c r="Z104" s="19" t="s">
        <v>253</v>
      </c>
    </row>
    <row r="105" customFormat="false" ht="18.75" hidden="false" customHeight="true" outlineLevel="0" collapsed="false">
      <c r="A105" s="214"/>
      <c r="B105" s="286" t="s">
        <v>315</v>
      </c>
      <c r="C105" s="286"/>
      <c r="D105" s="287" t="n">
        <v>1000</v>
      </c>
      <c r="E105" s="287"/>
      <c r="F105" s="19"/>
      <c r="G105" s="214" t="s">
        <v>254</v>
      </c>
      <c r="H105" s="286" t="s">
        <v>255</v>
      </c>
      <c r="I105" s="286"/>
      <c r="J105" s="287" t="n">
        <v>5000</v>
      </c>
      <c r="K105" s="287"/>
      <c r="L105" s="19"/>
      <c r="M105" s="214" t="s">
        <v>254</v>
      </c>
      <c r="N105" s="286" t="s">
        <v>256</v>
      </c>
      <c r="O105" s="286"/>
      <c r="P105" s="287" t="n">
        <v>0</v>
      </c>
      <c r="Q105" s="287"/>
      <c r="R105" s="19"/>
      <c r="S105" s="19"/>
      <c r="T105" s="19"/>
      <c r="U105" s="19"/>
      <c r="V105" s="19"/>
      <c r="W105" s="19"/>
      <c r="X105" s="19"/>
      <c r="Y105" s="19"/>
      <c r="Z105" s="19" t="s">
        <v>257</v>
      </c>
    </row>
    <row r="106" customFormat="false" ht="18.75" hidden="false" customHeight="true" outlineLevel="0" collapsed="false">
      <c r="A106" s="209"/>
      <c r="B106" s="207"/>
      <c r="C106" s="207"/>
      <c r="D106" s="207"/>
      <c r="E106" s="210"/>
      <c r="F106" s="19"/>
      <c r="G106" s="209"/>
      <c r="H106" s="207"/>
      <c r="I106" s="207"/>
      <c r="J106" s="207"/>
      <c r="K106" s="210"/>
      <c r="L106" s="19"/>
      <c r="M106" s="209"/>
      <c r="N106" s="207"/>
      <c r="O106" s="207"/>
      <c r="P106" s="207"/>
      <c r="Q106" s="210"/>
      <c r="R106" s="19"/>
      <c r="S106" s="19"/>
      <c r="T106" s="19"/>
      <c r="U106" s="19"/>
      <c r="V106" s="19"/>
      <c r="W106" s="19"/>
      <c r="X106" s="19"/>
      <c r="Y106" s="19"/>
      <c r="Z106" s="19" t="s">
        <v>258</v>
      </c>
    </row>
    <row r="107" customFormat="false" ht="18.75" hidden="false" customHeight="true" outlineLevel="0" collapsed="false">
      <c r="A107" s="209" t="s">
        <v>259</v>
      </c>
      <c r="B107" s="207" t="s">
        <v>260</v>
      </c>
      <c r="C107" s="207"/>
      <c r="D107" s="207" t="s">
        <v>261</v>
      </c>
      <c r="E107" s="210"/>
      <c r="F107" s="19"/>
      <c r="G107" s="209" t="s">
        <v>259</v>
      </c>
      <c r="H107" s="207" t="s">
        <v>260</v>
      </c>
      <c r="I107" s="207"/>
      <c r="J107" s="207" t="s">
        <v>261</v>
      </c>
      <c r="K107" s="210"/>
      <c r="L107" s="19"/>
      <c r="M107" s="209" t="s">
        <v>259</v>
      </c>
      <c r="N107" s="207" t="s">
        <v>260</v>
      </c>
      <c r="O107" s="207"/>
      <c r="P107" s="207" t="s">
        <v>261</v>
      </c>
      <c r="Q107" s="210"/>
      <c r="R107" s="19"/>
      <c r="S107" s="19"/>
      <c r="T107" s="19"/>
      <c r="U107" s="19"/>
      <c r="V107" s="19"/>
      <c r="W107" s="19"/>
      <c r="X107" s="19"/>
      <c r="Y107" s="19"/>
      <c r="Z107" s="19" t="s">
        <v>262</v>
      </c>
    </row>
    <row r="108" customFormat="false" ht="18.75" hidden="false" customHeight="true" outlineLevel="0" collapsed="false">
      <c r="A108" s="288" t="n">
        <v>239.99</v>
      </c>
      <c r="B108" s="72" t="n">
        <v>400</v>
      </c>
      <c r="C108" s="72"/>
      <c r="D108" s="72" t="n">
        <v>200</v>
      </c>
      <c r="E108" s="72"/>
      <c r="F108" s="19"/>
      <c r="G108" s="288" t="n">
        <f aca="false">199.99*1.2</f>
        <v>239.988</v>
      </c>
      <c r="H108" s="72" t="n">
        <v>1200</v>
      </c>
      <c r="I108" s="72"/>
      <c r="J108" s="72" t="n">
        <v>1500</v>
      </c>
      <c r="K108" s="72"/>
      <c r="L108" s="19"/>
      <c r="M108" s="288" t="n">
        <v>199.99</v>
      </c>
      <c r="N108" s="72" t="n">
        <v>1200</v>
      </c>
      <c r="O108" s="72"/>
      <c r="P108" s="72" t="n">
        <v>1500</v>
      </c>
      <c r="Q108" s="72"/>
      <c r="R108" s="19"/>
      <c r="S108" s="19"/>
      <c r="T108" s="19"/>
      <c r="U108" s="19"/>
      <c r="V108" s="19"/>
      <c r="W108" s="19"/>
      <c r="X108" s="19"/>
      <c r="Y108" s="19"/>
      <c r="Z108" s="19" t="s">
        <v>256</v>
      </c>
    </row>
    <row r="109" customFormat="false" ht="18.75" hidden="false" customHeight="true" outlineLevel="0" collapsed="false">
      <c r="A109" s="209"/>
      <c r="B109" s="207"/>
      <c r="C109" s="207"/>
      <c r="D109" s="207"/>
      <c r="E109" s="210"/>
      <c r="F109" s="19"/>
      <c r="G109" s="209"/>
      <c r="H109" s="207"/>
      <c r="I109" s="207"/>
      <c r="J109" s="207"/>
      <c r="K109" s="210"/>
      <c r="L109" s="19"/>
      <c r="M109" s="209"/>
      <c r="N109" s="207"/>
      <c r="O109" s="207"/>
      <c r="P109" s="207"/>
      <c r="Q109" s="210"/>
      <c r="R109" s="19"/>
      <c r="S109" s="19"/>
      <c r="T109" s="19"/>
      <c r="U109" s="19"/>
      <c r="V109" s="19"/>
      <c r="W109" s="19"/>
      <c r="X109" s="19"/>
      <c r="Y109" s="19"/>
      <c r="Z109" s="19" t="s">
        <v>255</v>
      </c>
    </row>
    <row r="110" customFormat="false" ht="18.75" hidden="false" customHeight="true" outlineLevel="0" collapsed="false">
      <c r="A110" s="214" t="s">
        <v>22</v>
      </c>
      <c r="B110" s="19" t="s">
        <v>101</v>
      </c>
      <c r="C110" s="207"/>
      <c r="D110" s="207" t="s">
        <v>112</v>
      </c>
      <c r="E110" s="210"/>
      <c r="F110" s="19"/>
      <c r="G110" s="214" t="s">
        <v>22</v>
      </c>
      <c r="H110" s="19" t="s">
        <v>101</v>
      </c>
      <c r="I110" s="207"/>
      <c r="J110" s="207" t="s">
        <v>112</v>
      </c>
      <c r="K110" s="210"/>
      <c r="L110" s="19"/>
      <c r="M110" s="214" t="s">
        <v>22</v>
      </c>
      <c r="N110" s="19" t="s">
        <v>101</v>
      </c>
      <c r="O110" s="207"/>
      <c r="P110" s="207" t="s">
        <v>112</v>
      </c>
      <c r="Q110" s="210"/>
      <c r="R110" s="19"/>
      <c r="S110" s="19"/>
      <c r="T110" s="19"/>
      <c r="U110" s="19"/>
      <c r="V110" s="19"/>
      <c r="W110" s="19"/>
      <c r="X110" s="19"/>
      <c r="Y110" s="19"/>
      <c r="Z110" s="19" t="s">
        <v>263</v>
      </c>
    </row>
    <row r="111" customFormat="false" ht="18.75" hidden="false" customHeight="true" outlineLevel="0" collapsed="false">
      <c r="A111" s="216" t="s">
        <v>10</v>
      </c>
      <c r="B111" s="286" t="n">
        <v>0</v>
      </c>
      <c r="C111" s="286"/>
      <c r="D111" s="72" t="s">
        <v>264</v>
      </c>
      <c r="E111" s="72"/>
      <c r="F111" s="19"/>
      <c r="G111" s="216" t="s">
        <v>9</v>
      </c>
      <c r="H111" s="289" t="n">
        <v>0.2</v>
      </c>
      <c r="I111" s="289"/>
      <c r="J111" s="72" t="n">
        <v>5000</v>
      </c>
      <c r="K111" s="72"/>
      <c r="L111" s="19"/>
      <c r="M111" s="216" t="s">
        <v>9</v>
      </c>
      <c r="N111" s="289" t="n">
        <v>0.2</v>
      </c>
      <c r="O111" s="289"/>
      <c r="P111" s="72" t="n">
        <v>5000</v>
      </c>
      <c r="Q111" s="72"/>
      <c r="R111" s="19"/>
      <c r="S111" s="19"/>
      <c r="T111" s="19"/>
      <c r="U111" s="19"/>
      <c r="V111" s="19"/>
      <c r="W111" s="19"/>
      <c r="X111" s="19"/>
      <c r="Y111" s="19"/>
      <c r="Z111" s="19" t="s">
        <v>265</v>
      </c>
    </row>
    <row r="112" customFormat="false" ht="18.75" hidden="false" customHeight="true" outlineLevel="0" collapsed="false">
      <c r="A112" s="209"/>
      <c r="B112" s="207"/>
      <c r="C112" s="207"/>
      <c r="D112" s="207" t="s">
        <v>4</v>
      </c>
      <c r="E112" s="210"/>
      <c r="F112" s="19"/>
      <c r="G112" s="209"/>
      <c r="H112" s="207"/>
      <c r="I112" s="207"/>
      <c r="J112" s="207"/>
      <c r="K112" s="210"/>
      <c r="L112" s="19"/>
      <c r="M112" s="209"/>
      <c r="N112" s="207"/>
      <c r="O112" s="207"/>
      <c r="P112" s="207"/>
      <c r="Q112" s="210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8.75" hidden="false" customHeight="true" outlineLevel="0" collapsed="false">
      <c r="A113" s="209"/>
      <c r="B113" s="207"/>
      <c r="C113" s="207"/>
      <c r="D113" s="207"/>
      <c r="E113" s="210"/>
      <c r="F113" s="19"/>
      <c r="G113" s="209"/>
      <c r="H113" s="207"/>
      <c r="I113" s="207"/>
      <c r="J113" s="207"/>
      <c r="K113" s="210"/>
      <c r="L113" s="19"/>
      <c r="M113" s="209"/>
      <c r="N113" s="207" t="s">
        <v>266</v>
      </c>
      <c r="O113" s="216" t="s">
        <v>9</v>
      </c>
      <c r="P113" s="207"/>
      <c r="Q113" s="210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8.75" hidden="false" customHeight="true" outlineLevel="0" collapsed="false">
      <c r="A114" s="211" t="s">
        <v>267</v>
      </c>
      <c r="B114" s="211"/>
      <c r="C114" s="211"/>
      <c r="D114" s="211"/>
      <c r="E114" s="211"/>
      <c r="F114" s="19"/>
      <c r="G114" s="211" t="s">
        <v>267</v>
      </c>
      <c r="H114" s="211"/>
      <c r="I114" s="211"/>
      <c r="J114" s="211"/>
      <c r="K114" s="211"/>
      <c r="L114" s="19"/>
      <c r="M114" s="211" t="s">
        <v>267</v>
      </c>
      <c r="N114" s="211"/>
      <c r="O114" s="211"/>
      <c r="P114" s="211"/>
      <c r="Q114" s="211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8.75" hidden="false" customHeight="true" outlineLevel="0" collapsed="false">
      <c r="A115" s="209"/>
      <c r="B115" s="207"/>
      <c r="C115" s="207"/>
      <c r="D115" s="207"/>
      <c r="E115" s="210"/>
      <c r="F115" s="19"/>
      <c r="G115" s="209"/>
      <c r="H115" s="207"/>
      <c r="I115" s="207"/>
      <c r="J115" s="207"/>
      <c r="K115" s="210"/>
      <c r="L115" s="19"/>
      <c r="M115" s="209"/>
      <c r="N115" s="207"/>
      <c r="O115" s="207"/>
      <c r="P115" s="207"/>
      <c r="Q115" s="210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8.75" hidden="false" customHeight="true" outlineLevel="0" collapsed="false">
      <c r="A116" s="209" t="s">
        <v>268</v>
      </c>
      <c r="B116" s="216" t="s">
        <v>9</v>
      </c>
      <c r="C116" s="207"/>
      <c r="D116" s="207"/>
      <c r="E116" s="210"/>
      <c r="F116" s="19"/>
      <c r="G116" s="209" t="s">
        <v>268</v>
      </c>
      <c r="H116" s="216" t="s">
        <v>9</v>
      </c>
      <c r="I116" s="207"/>
      <c r="J116" s="207"/>
      <c r="K116" s="210"/>
      <c r="L116" s="19"/>
      <c r="M116" s="209" t="s">
        <v>268</v>
      </c>
      <c r="N116" s="216" t="s">
        <v>9</v>
      </c>
      <c r="O116" s="207"/>
      <c r="P116" s="207"/>
      <c r="Q116" s="210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8.75" hidden="false" customHeight="true" outlineLevel="0" collapsed="false">
      <c r="A117" s="209"/>
      <c r="B117" s="207"/>
      <c r="C117" s="207"/>
      <c r="D117" s="207"/>
      <c r="E117" s="210"/>
      <c r="F117" s="19"/>
      <c r="G117" s="209"/>
      <c r="H117" s="207"/>
      <c r="I117" s="207"/>
      <c r="J117" s="207"/>
      <c r="K117" s="210"/>
      <c r="L117" s="19"/>
      <c r="M117" s="209"/>
      <c r="N117" s="207"/>
      <c r="O117" s="207"/>
      <c r="P117" s="207"/>
      <c r="Q117" s="210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8.75" hidden="false" customHeight="true" outlineLevel="0" collapsed="false">
      <c r="A118" s="209" t="s">
        <v>146</v>
      </c>
      <c r="B118" s="207"/>
      <c r="C118" s="207"/>
      <c r="D118" s="288" t="n">
        <v>10000</v>
      </c>
      <c r="E118" s="72" t="n">
        <v>6000</v>
      </c>
      <c r="F118" s="19"/>
      <c r="G118" s="209" t="s">
        <v>146</v>
      </c>
      <c r="H118" s="207"/>
      <c r="I118" s="207"/>
      <c r="J118" s="288" t="n">
        <v>10000</v>
      </c>
      <c r="K118" s="72" t="n">
        <v>5000</v>
      </c>
      <c r="L118" s="19"/>
      <c r="M118" s="209" t="s">
        <v>146</v>
      </c>
      <c r="N118" s="207"/>
      <c r="O118" s="207"/>
      <c r="P118" s="288" t="n">
        <v>10000</v>
      </c>
      <c r="Q118" s="72" t="n">
        <v>5000</v>
      </c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8.75" hidden="false" customHeight="true" outlineLevel="0" collapsed="false">
      <c r="A119" s="209" t="s">
        <v>147</v>
      </c>
      <c r="B119" s="207"/>
      <c r="C119" s="207"/>
      <c r="D119" s="38" t="n">
        <f aca="false">E119</f>
        <v>2000</v>
      </c>
      <c r="E119" s="72" t="n">
        <v>2000</v>
      </c>
      <c r="F119" s="19"/>
      <c r="G119" s="209" t="s">
        <v>147</v>
      </c>
      <c r="H119" s="207"/>
      <c r="I119" s="207"/>
      <c r="J119" s="38" t="n">
        <f aca="false">K119</f>
        <v>7000</v>
      </c>
      <c r="K119" s="72" t="n">
        <v>7000</v>
      </c>
      <c r="L119" s="19"/>
      <c r="M119" s="209" t="s">
        <v>147</v>
      </c>
      <c r="N119" s="207"/>
      <c r="O119" s="207"/>
      <c r="P119" s="38" t="n">
        <f aca="false">Q119</f>
        <v>7000</v>
      </c>
      <c r="Q119" s="72" t="n">
        <v>7000</v>
      </c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8.75" hidden="false" customHeight="true" outlineLevel="0" collapsed="false">
      <c r="A120" s="209" t="s">
        <v>148</v>
      </c>
      <c r="B120" s="207"/>
      <c r="C120" s="207"/>
      <c r="D120" s="38" t="n">
        <f aca="false">D118-D119</f>
        <v>8000</v>
      </c>
      <c r="E120" s="163" t="n">
        <f aca="false">E118-E119</f>
        <v>4000</v>
      </c>
      <c r="F120" s="19"/>
      <c r="G120" s="209" t="s">
        <v>148</v>
      </c>
      <c r="H120" s="207"/>
      <c r="I120" s="207"/>
      <c r="J120" s="38" t="n">
        <f aca="false">J118-J119</f>
        <v>3000</v>
      </c>
      <c r="K120" s="163" t="n">
        <f aca="false">K118-K119</f>
        <v>-2000</v>
      </c>
      <c r="L120" s="19"/>
      <c r="M120" s="209" t="s">
        <v>148</v>
      </c>
      <c r="N120" s="207"/>
      <c r="O120" s="207"/>
      <c r="P120" s="38" t="n">
        <f aca="false">P118-P119</f>
        <v>3000</v>
      </c>
      <c r="Q120" s="163" t="n">
        <f aca="false">Q118-Q119</f>
        <v>-2000</v>
      </c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8.75" hidden="false" customHeight="true" outlineLevel="0" collapsed="false">
      <c r="A121" s="209" t="s">
        <v>149</v>
      </c>
      <c r="B121" s="207"/>
      <c r="C121" s="207"/>
      <c r="D121" s="38" t="n">
        <f aca="false">D120-E120</f>
        <v>4000</v>
      </c>
      <c r="E121" s="210"/>
      <c r="F121" s="19"/>
      <c r="G121" s="209" t="s">
        <v>149</v>
      </c>
      <c r="H121" s="207"/>
      <c r="I121" s="207"/>
      <c r="J121" s="38" t="n">
        <f aca="false">J120-K120</f>
        <v>5000</v>
      </c>
      <c r="K121" s="210"/>
      <c r="L121" s="19"/>
      <c r="M121" s="209" t="s">
        <v>149</v>
      </c>
      <c r="N121" s="207"/>
      <c r="O121" s="207"/>
      <c r="P121" s="38" t="n">
        <f aca="false">P120-Q120</f>
        <v>5000</v>
      </c>
      <c r="Q121" s="210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8.75" hidden="false" customHeight="true" outlineLevel="0" collapsed="false">
      <c r="A122" s="209"/>
      <c r="B122" s="207"/>
      <c r="C122" s="207"/>
      <c r="D122" s="207"/>
      <c r="E122" s="210"/>
      <c r="F122" s="19"/>
      <c r="G122" s="209"/>
      <c r="H122" s="207"/>
      <c r="I122" s="207"/>
      <c r="J122" s="207"/>
      <c r="K122" s="210"/>
      <c r="L122" s="19"/>
      <c r="M122" s="209"/>
      <c r="N122" s="207"/>
      <c r="O122" s="207"/>
      <c r="P122" s="207"/>
      <c r="Q122" s="210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8.75" hidden="false" customHeight="true" outlineLevel="0" collapsed="false">
      <c r="A123" s="255" t="s">
        <v>108</v>
      </c>
      <c r="B123" s="256"/>
      <c r="C123" s="256"/>
      <c r="D123" s="256"/>
      <c r="E123" s="137" t="n">
        <f aca="false">D105</f>
        <v>1000</v>
      </c>
      <c r="F123" s="19"/>
      <c r="G123" s="255" t="s">
        <v>108</v>
      </c>
      <c r="H123" s="256"/>
      <c r="I123" s="256"/>
      <c r="J123" s="256"/>
      <c r="K123" s="137" t="n">
        <f aca="false">J105</f>
        <v>5000</v>
      </c>
      <c r="L123" s="19"/>
      <c r="M123" s="255" t="s">
        <v>108</v>
      </c>
      <c r="N123" s="256"/>
      <c r="O123" s="256"/>
      <c r="P123" s="256"/>
      <c r="Q123" s="137" t="n">
        <f aca="false">P105</f>
        <v>0</v>
      </c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8.75" hidden="false" customHeight="true" outlineLevel="0" collapsed="false">
      <c r="A124" s="209" t="s">
        <v>152</v>
      </c>
      <c r="B124" s="207"/>
      <c r="C124" s="207"/>
      <c r="D124" s="207"/>
      <c r="E124" s="273" t="n">
        <f aca="false">A108</f>
        <v>239.99</v>
      </c>
      <c r="F124" s="19"/>
      <c r="G124" s="209" t="s">
        <v>152</v>
      </c>
      <c r="H124" s="207"/>
      <c r="I124" s="207"/>
      <c r="J124" s="207"/>
      <c r="K124" s="273" t="n">
        <f aca="false">G108</f>
        <v>239.988</v>
      </c>
      <c r="L124" s="19"/>
      <c r="M124" s="209" t="s">
        <v>152</v>
      </c>
      <c r="N124" s="207"/>
      <c r="O124" s="207"/>
      <c r="P124" s="207"/>
      <c r="Q124" s="273" t="n">
        <f aca="false">M108</f>
        <v>199.99</v>
      </c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8.75" hidden="false" customHeight="true" outlineLevel="0" collapsed="false">
      <c r="A125" s="290" t="s">
        <v>269</v>
      </c>
      <c r="B125" s="253"/>
      <c r="C125" s="253"/>
      <c r="D125" s="253"/>
      <c r="E125" s="139" t="n">
        <f aca="false">(E124+E123)-E120</f>
        <v>-2760.01</v>
      </c>
      <c r="F125" s="19"/>
      <c r="G125" s="290" t="s">
        <v>269</v>
      </c>
      <c r="H125" s="253"/>
      <c r="I125" s="253"/>
      <c r="J125" s="253"/>
      <c r="K125" s="139" t="n">
        <f aca="false">(K124+K123)-K120</f>
        <v>7239.988</v>
      </c>
      <c r="L125" s="19"/>
      <c r="M125" s="290" t="s">
        <v>269</v>
      </c>
      <c r="N125" s="253"/>
      <c r="O125" s="253"/>
      <c r="P125" s="253"/>
      <c r="Q125" s="139" t="n">
        <f aca="false">(Q124+Q123)-Q120</f>
        <v>2199.99</v>
      </c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8.75" hidden="false" customHeight="true" outlineLevel="0" collapsed="false">
      <c r="A126" s="209"/>
      <c r="B126" s="207"/>
      <c r="C126" s="207"/>
      <c r="D126" s="207"/>
      <c r="E126" s="210"/>
      <c r="F126" s="19"/>
      <c r="G126" s="209"/>
      <c r="H126" s="207"/>
      <c r="I126" s="207"/>
      <c r="J126" s="207"/>
      <c r="K126" s="210"/>
      <c r="L126" s="19"/>
      <c r="M126" s="209"/>
      <c r="N126" s="207"/>
      <c r="O126" s="207"/>
      <c r="P126" s="207"/>
      <c r="Q126" s="210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8.75" hidden="false" customHeight="true" outlineLevel="0" collapsed="false">
      <c r="A127" s="209"/>
      <c r="B127" s="207"/>
      <c r="C127" s="207"/>
      <c r="D127" s="207"/>
      <c r="E127" s="210"/>
      <c r="F127" s="19"/>
      <c r="G127" s="209"/>
      <c r="H127" s="207"/>
      <c r="I127" s="207"/>
      <c r="J127" s="207"/>
      <c r="K127" s="210"/>
      <c r="L127" s="19"/>
      <c r="M127" s="209"/>
      <c r="N127" s="207"/>
      <c r="O127" s="207"/>
      <c r="P127" s="207"/>
      <c r="Q127" s="210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8.75" hidden="false" customHeight="true" outlineLevel="0" collapsed="false">
      <c r="A128" s="211" t="s">
        <v>270</v>
      </c>
      <c r="B128" s="211"/>
      <c r="C128" s="211"/>
      <c r="D128" s="211"/>
      <c r="E128" s="211"/>
      <c r="F128" s="19"/>
      <c r="G128" s="211" t="s">
        <v>270</v>
      </c>
      <c r="H128" s="211"/>
      <c r="I128" s="211"/>
      <c r="J128" s="211"/>
      <c r="K128" s="211"/>
      <c r="L128" s="19"/>
      <c r="M128" s="211" t="s">
        <v>270</v>
      </c>
      <c r="N128" s="211"/>
      <c r="O128" s="211"/>
      <c r="P128" s="211"/>
      <c r="Q128" s="211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8.75" hidden="false" customHeight="true" outlineLevel="0" collapsed="false">
      <c r="A129" s="291"/>
      <c r="B129" s="292"/>
      <c r="C129" s="292"/>
      <c r="D129" s="292"/>
      <c r="E129" s="293"/>
      <c r="F129" s="19"/>
      <c r="G129" s="209"/>
      <c r="H129" s="207"/>
      <c r="I129" s="207"/>
      <c r="J129" s="207"/>
      <c r="K129" s="210"/>
      <c r="L129" s="19"/>
      <c r="M129" s="209"/>
      <c r="N129" s="207"/>
      <c r="O129" s="207"/>
      <c r="P129" s="207"/>
      <c r="Q129" s="210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8.75" hidden="false" customHeight="true" outlineLevel="0" collapsed="false">
      <c r="A130" s="294" t="s">
        <v>98</v>
      </c>
      <c r="B130" s="295" t="n">
        <v>0</v>
      </c>
      <c r="C130" s="296"/>
      <c r="D130" s="295" t="s">
        <v>33</v>
      </c>
      <c r="E130" s="297"/>
      <c r="F130" s="19"/>
      <c r="G130" s="209" t="s">
        <v>29</v>
      </c>
      <c r="H130" s="168" t="n">
        <v>0</v>
      </c>
      <c r="I130" s="168"/>
      <c r="J130" s="207"/>
      <c r="K130" s="210"/>
      <c r="L130" s="19"/>
      <c r="M130" s="209" t="s">
        <v>29</v>
      </c>
      <c r="N130" s="168" t="n">
        <v>0</v>
      </c>
      <c r="O130" s="168"/>
      <c r="P130" s="207"/>
      <c r="Q130" s="210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8.75" hidden="false" customHeight="true" outlineLevel="0" collapsed="false">
      <c r="A131" s="298" t="s">
        <v>254</v>
      </c>
      <c r="B131" s="299" t="n">
        <f aca="false">A167</f>
        <v>12</v>
      </c>
      <c r="C131" s="300"/>
      <c r="D131" s="299" t="n">
        <f aca="false">B166</f>
        <v>5000</v>
      </c>
      <c r="E131" s="297"/>
      <c r="F131" s="19"/>
      <c r="G131" s="209"/>
      <c r="H131" s="207"/>
      <c r="I131" s="207"/>
      <c r="J131" s="207"/>
      <c r="K131" s="210"/>
      <c r="L131" s="19"/>
      <c r="M131" s="209"/>
      <c r="N131" s="207"/>
      <c r="O131" s="207"/>
      <c r="P131" s="207"/>
      <c r="Q131" s="210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8.75" hidden="false" customHeight="true" outlineLevel="0" collapsed="false">
      <c r="A132" s="294"/>
      <c r="B132" s="295"/>
      <c r="C132" s="295"/>
      <c r="D132" s="295"/>
      <c r="E132" s="297"/>
      <c r="F132" s="19"/>
      <c r="G132" s="209" t="s">
        <v>28</v>
      </c>
      <c r="H132" s="207" t="s">
        <v>33</v>
      </c>
      <c r="I132" s="207"/>
      <c r="J132" s="207" t="s">
        <v>60</v>
      </c>
      <c r="K132" s="210"/>
      <c r="L132" s="19"/>
      <c r="M132" s="209" t="s">
        <v>28</v>
      </c>
      <c r="N132" s="207" t="s">
        <v>33</v>
      </c>
      <c r="O132" s="207"/>
      <c r="P132" s="207" t="s">
        <v>60</v>
      </c>
      <c r="Q132" s="210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8.75" hidden="false" customHeight="true" outlineLevel="0" collapsed="false">
      <c r="A133" s="294" t="s">
        <v>92</v>
      </c>
      <c r="B133" s="295" t="s">
        <v>271</v>
      </c>
      <c r="C133" s="296"/>
      <c r="D133" s="295" t="s">
        <v>272</v>
      </c>
      <c r="E133" s="297"/>
      <c r="F133" s="19"/>
      <c r="G133" s="222" t="n">
        <f aca="false">G158</f>
        <v>12</v>
      </c>
      <c r="H133" s="174" t="n">
        <f aca="false">B157</f>
        <v>0</v>
      </c>
      <c r="I133" s="223"/>
      <c r="J133" s="174" t="n">
        <f aca="false">B64</f>
        <v>3</v>
      </c>
      <c r="K133" s="210"/>
      <c r="L133" s="19"/>
      <c r="M133" s="222" t="n">
        <f aca="false">M161</f>
        <v>12</v>
      </c>
      <c r="N133" s="174" t="n">
        <f aca="false">B157</f>
        <v>0</v>
      </c>
      <c r="O133" s="223"/>
      <c r="P133" s="174" t="n">
        <f aca="false">B64</f>
        <v>3</v>
      </c>
      <c r="Q133" s="210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8.75" hidden="false" customHeight="true" outlineLevel="0" collapsed="false">
      <c r="A134" s="298" t="n">
        <f aca="false">B96</f>
        <v>818.133232822375</v>
      </c>
      <c r="B134" s="296" t="n">
        <f aca="false">IF(A111="YES", B95, 0)</f>
        <v>0</v>
      </c>
      <c r="C134" s="301"/>
      <c r="D134" s="296" t="n">
        <f aca="false">B97</f>
        <v>818.133232822375</v>
      </c>
      <c r="E134" s="297"/>
      <c r="F134" s="19"/>
      <c r="G134" s="209"/>
      <c r="H134" s="207"/>
      <c r="I134" s="207"/>
      <c r="J134" s="207"/>
      <c r="K134" s="210"/>
      <c r="L134" s="19"/>
      <c r="M134" s="209"/>
      <c r="N134" s="207"/>
      <c r="O134" s="207"/>
      <c r="P134" s="207"/>
      <c r="Q134" s="210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8.75" hidden="false" customHeight="true" outlineLevel="0" collapsed="false">
      <c r="A135" s="291"/>
      <c r="B135" s="292"/>
      <c r="C135" s="292"/>
      <c r="D135" s="292"/>
      <c r="E135" s="293"/>
      <c r="F135" s="19"/>
      <c r="G135" s="302" t="s">
        <v>273</v>
      </c>
      <c r="H135" s="303" t="s">
        <v>274</v>
      </c>
      <c r="I135" s="303"/>
      <c r="J135" s="303" t="s">
        <v>275</v>
      </c>
      <c r="K135" s="210"/>
      <c r="L135" s="19"/>
      <c r="M135" s="302" t="s">
        <v>276</v>
      </c>
      <c r="N135" s="303" t="s">
        <v>227</v>
      </c>
      <c r="O135" s="303"/>
      <c r="P135" s="303" t="s">
        <v>93</v>
      </c>
      <c r="Q135" s="210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8.75" hidden="false" customHeight="true" outlineLevel="0" collapsed="false">
      <c r="A136" s="304" t="s">
        <v>23</v>
      </c>
      <c r="B136" s="305" t="s">
        <v>277</v>
      </c>
      <c r="C136" s="306"/>
      <c r="D136" s="305" t="s">
        <v>278</v>
      </c>
      <c r="E136" s="293"/>
      <c r="F136" s="19"/>
      <c r="G136" s="307" t="e">
        <f aca="false">H96</f>
        <v>#DIV/0!</v>
      </c>
      <c r="H136" s="172" t="e">
        <f aca="false">IF(G111="YES", H95*H63, 0)</f>
        <v>#DIV/0!</v>
      </c>
      <c r="I136" s="172"/>
      <c r="J136" s="308" t="e">
        <f aca="false">H97</f>
        <v>#DIV/0!</v>
      </c>
      <c r="K136" s="210"/>
      <c r="L136" s="19"/>
      <c r="M136" s="307" t="e">
        <f aca="false">N96</f>
        <v>#DIV/0!</v>
      </c>
      <c r="N136" s="172" t="e">
        <f aca="false">IF(M111="YES", N95*N63, 0)</f>
        <v>#DIV/0!</v>
      </c>
      <c r="O136" s="172"/>
      <c r="P136" s="172" t="e">
        <f aca="false">N97</f>
        <v>#DIV/0!</v>
      </c>
      <c r="Q136" s="210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8.75" hidden="false" customHeight="true" outlineLevel="0" collapsed="false">
      <c r="A137" s="309" t="str">
        <f aca="false">B105</f>
        <v>Terminal pause with 9 down</v>
      </c>
      <c r="B137" s="201" t="n">
        <f aca="false">B96*B63</f>
        <v>7363.19909540137</v>
      </c>
      <c r="C137" s="292"/>
      <c r="D137" s="201" t="n">
        <f aca="false">IF(A111="YES", B95*B63, 0)</f>
        <v>0</v>
      </c>
      <c r="E137" s="293"/>
      <c r="F137" s="19"/>
      <c r="G137" s="209"/>
      <c r="H137" s="207"/>
      <c r="I137" s="207"/>
      <c r="J137" s="207"/>
      <c r="K137" s="210"/>
      <c r="L137" s="19"/>
      <c r="M137" s="209"/>
      <c r="N137" s="207"/>
      <c r="O137" s="207"/>
      <c r="P137" s="207"/>
      <c r="Q137" s="210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8.75" hidden="false" customHeight="true" outlineLevel="0" collapsed="false">
      <c r="A138" s="291"/>
      <c r="B138" s="292"/>
      <c r="C138" s="292"/>
      <c r="D138" s="292"/>
      <c r="E138" s="293"/>
      <c r="F138" s="19"/>
      <c r="G138" s="209" t="s">
        <v>279</v>
      </c>
      <c r="H138" s="207" t="s">
        <v>280</v>
      </c>
      <c r="I138" s="207"/>
      <c r="J138" s="207" t="s">
        <v>281</v>
      </c>
      <c r="K138" s="210"/>
      <c r="L138" s="19"/>
      <c r="M138" s="209" t="s">
        <v>282</v>
      </c>
      <c r="N138" s="207" t="s">
        <v>216</v>
      </c>
      <c r="O138" s="207"/>
      <c r="P138" s="207" t="s">
        <v>220</v>
      </c>
      <c r="Q138" s="210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8.75" hidden="false" customHeight="true" outlineLevel="0" collapsed="false">
      <c r="A139" s="123" t="s">
        <v>283</v>
      </c>
      <c r="B139" s="200" t="s">
        <v>284</v>
      </c>
      <c r="C139" s="310"/>
      <c r="D139" s="240" t="s">
        <v>177</v>
      </c>
      <c r="E139" s="293"/>
      <c r="F139" s="19"/>
      <c r="G139" s="69" t="e">
        <f aca="false">H96*H63</f>
        <v>#DIV/0!</v>
      </c>
      <c r="H139" s="37" t="e">
        <f aca="false">IF(G111="YES", H95*H63, 0)</f>
        <v>#DIV/0!</v>
      </c>
      <c r="I139" s="215"/>
      <c r="J139" s="37" t="e">
        <f aca="false">H97*H63</f>
        <v>#DIV/0!</v>
      </c>
      <c r="K139" s="210"/>
      <c r="L139" s="19"/>
      <c r="M139" s="69" t="e">
        <f aca="false">N96*N63</f>
        <v>#DIV/0!</v>
      </c>
      <c r="N139" s="37" t="e">
        <f aca="false">IF(M111="YES", N95*N63, 0)</f>
        <v>#DIV/0!</v>
      </c>
      <c r="O139" s="215"/>
      <c r="P139" s="232" t="e">
        <f aca="false">N97*N63</f>
        <v>#DIV/0!</v>
      </c>
      <c r="Q139" s="210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8.75" hidden="false" customHeight="true" outlineLevel="0" collapsed="false">
      <c r="A140" s="70" t="n">
        <f aca="false">B97*B63</f>
        <v>7363.19909540137</v>
      </c>
      <c r="B140" s="201" t="n">
        <f aca="false">E120</f>
        <v>4000</v>
      </c>
      <c r="C140" s="292"/>
      <c r="D140" s="311" t="n">
        <f aca="false">B64</f>
        <v>3</v>
      </c>
      <c r="E140" s="293"/>
      <c r="F140" s="19"/>
      <c r="G140" s="209"/>
      <c r="H140" s="207"/>
      <c r="I140" s="207"/>
      <c r="J140" s="207"/>
      <c r="K140" s="210"/>
      <c r="L140" s="19"/>
      <c r="M140" s="209"/>
      <c r="N140" s="207"/>
      <c r="O140" s="207"/>
      <c r="P140" s="207"/>
      <c r="Q140" s="210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8.75" hidden="false" customHeight="true" outlineLevel="0" collapsed="false">
      <c r="A141" s="70"/>
      <c r="B141" s="312"/>
      <c r="C141" s="292"/>
      <c r="D141" s="292"/>
      <c r="E141" s="293"/>
      <c r="F141" s="19"/>
      <c r="G141" s="209" t="s">
        <v>285</v>
      </c>
      <c r="H141" s="207" t="s">
        <v>286</v>
      </c>
      <c r="I141" s="207"/>
      <c r="J141" s="207" t="s">
        <v>287</v>
      </c>
      <c r="K141" s="210"/>
      <c r="L141" s="19"/>
      <c r="M141" s="209" t="s">
        <v>229</v>
      </c>
      <c r="N141" s="207" t="s">
        <v>230</v>
      </c>
      <c r="O141" s="207"/>
      <c r="P141" s="207" t="s">
        <v>235</v>
      </c>
      <c r="Q141" s="210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8.75" hidden="false" customHeight="true" outlineLevel="0" collapsed="false">
      <c r="A142" s="78" t="s">
        <v>92</v>
      </c>
      <c r="B142" s="313" t="s">
        <v>271</v>
      </c>
      <c r="C142" s="292"/>
      <c r="D142" s="292" t="s">
        <v>272</v>
      </c>
      <c r="E142" s="293"/>
      <c r="F142" s="19"/>
      <c r="G142" s="70" t="n">
        <f aca="false">E15*0.000006</f>
        <v>0.35115</v>
      </c>
      <c r="H142" s="37" t="n">
        <f aca="false">IF(G111="YES", E15*0.000002, 0)</f>
        <v>0.11705</v>
      </c>
      <c r="I142" s="37"/>
      <c r="J142" s="37" t="n">
        <f aca="false">G142+H142</f>
        <v>0.4682</v>
      </c>
      <c r="K142" s="177"/>
      <c r="L142" s="19"/>
      <c r="M142" s="70" t="n">
        <f aca="false">E15*0.000006</f>
        <v>0.35115</v>
      </c>
      <c r="N142" s="37" t="n">
        <f aca="false">IF(M111="YES", E15*0.000002, 0)</f>
        <v>0.11705</v>
      </c>
      <c r="O142" s="37"/>
      <c r="P142" s="37" t="n">
        <f aca="false">M142+N142</f>
        <v>0.4682</v>
      </c>
      <c r="Q142" s="177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8.75" hidden="false" customHeight="true" outlineLevel="0" collapsed="false">
      <c r="A143" s="70" t="n">
        <f aca="false">B96</f>
        <v>818.133232822375</v>
      </c>
      <c r="B143" s="201" t="n">
        <f aca="false">IF(A111="YES", B95, 0)</f>
        <v>0</v>
      </c>
      <c r="C143" s="292"/>
      <c r="D143" s="201" t="n">
        <f aca="false">B97</f>
        <v>818.133232822375</v>
      </c>
      <c r="E143" s="293"/>
      <c r="F143" s="19"/>
      <c r="G143" s="209"/>
      <c r="H143" s="207"/>
      <c r="I143" s="207"/>
      <c r="J143" s="207"/>
      <c r="K143" s="210"/>
      <c r="L143" s="19"/>
      <c r="M143" s="209"/>
      <c r="N143" s="207"/>
      <c r="O143" s="207"/>
      <c r="P143" s="207"/>
      <c r="Q143" s="210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8.75" hidden="false" customHeight="true" outlineLevel="0" collapsed="false">
      <c r="A144" s="291"/>
      <c r="B144" s="292"/>
      <c r="C144" s="292"/>
      <c r="D144" s="292"/>
      <c r="E144" s="293"/>
      <c r="F144" s="19"/>
      <c r="G144" s="209" t="s">
        <v>288</v>
      </c>
      <c r="H144" s="207" t="s">
        <v>289</v>
      </c>
      <c r="I144" s="207"/>
      <c r="J144" s="207" t="s">
        <v>290</v>
      </c>
      <c r="K144" s="210"/>
      <c r="L144" s="19"/>
      <c r="M144" s="209" t="s">
        <v>111</v>
      </c>
      <c r="N144" s="207" t="s">
        <v>289</v>
      </c>
      <c r="O144" s="207"/>
      <c r="P144" s="207" t="s">
        <v>290</v>
      </c>
      <c r="Q144" s="210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8.75" hidden="false" customHeight="true" outlineLevel="0" collapsed="false">
      <c r="A145" s="314" t="s">
        <v>180</v>
      </c>
      <c r="B145" s="315" t="s">
        <v>291</v>
      </c>
      <c r="C145" s="201"/>
      <c r="D145" s="315" t="s">
        <v>182</v>
      </c>
      <c r="E145" s="177"/>
      <c r="F145" s="19"/>
      <c r="G145" s="70" t="n">
        <f aca="false">G108</f>
        <v>239.988</v>
      </c>
      <c r="H145" s="37" t="n">
        <f aca="false">H73/1.2</f>
        <v>241.1875</v>
      </c>
      <c r="I145" s="37"/>
      <c r="J145" s="37" t="n">
        <f aca="false">H108*0.9</f>
        <v>1080</v>
      </c>
      <c r="K145" s="177"/>
      <c r="L145" s="19"/>
      <c r="M145" s="70" t="n">
        <f aca="false">M108</f>
        <v>199.99</v>
      </c>
      <c r="N145" s="37" t="n">
        <f aca="false">N73/1.2</f>
        <v>241.1875</v>
      </c>
      <c r="O145" s="37"/>
      <c r="P145" s="37" t="n">
        <f aca="false">N108*0.9</f>
        <v>1080</v>
      </c>
      <c r="Q145" s="177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8.75" hidden="false" customHeight="true" outlineLevel="0" collapsed="false">
      <c r="A146" s="316" t="n">
        <f aca="false">(G18*0.000006)*1.2*100</f>
        <v>41.6772</v>
      </c>
      <c r="B146" s="317" t="n">
        <f aca="false">G18*0.000002 *1.2*100</f>
        <v>13.8924</v>
      </c>
      <c r="C146" s="292"/>
      <c r="D146" s="317" t="n">
        <f aca="false">A146+B146</f>
        <v>55.5696</v>
      </c>
      <c r="E146" s="293"/>
      <c r="F146" s="19"/>
      <c r="G146" s="209"/>
      <c r="H146" s="207"/>
      <c r="I146" s="207"/>
      <c r="J146" s="207"/>
      <c r="K146" s="210"/>
      <c r="L146" s="19"/>
      <c r="M146" s="209"/>
      <c r="N146" s="207"/>
      <c r="O146" s="207"/>
      <c r="P146" s="207"/>
      <c r="Q146" s="210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8.75" hidden="false" customHeight="true" outlineLevel="0" collapsed="false">
      <c r="A147" s="316"/>
      <c r="B147" s="317"/>
      <c r="C147" s="292"/>
      <c r="D147" s="317"/>
      <c r="E147" s="293"/>
      <c r="F147" s="19"/>
      <c r="G147" s="209" t="s">
        <v>292</v>
      </c>
      <c r="H147" s="207" t="s">
        <v>293</v>
      </c>
      <c r="I147" s="207"/>
      <c r="J147" s="207" t="s">
        <v>294</v>
      </c>
      <c r="K147" s="210"/>
      <c r="L147" s="19"/>
      <c r="M147" s="209" t="s">
        <v>292</v>
      </c>
      <c r="N147" s="207" t="s">
        <v>293</v>
      </c>
      <c r="O147" s="207"/>
      <c r="P147" s="207" t="s">
        <v>294</v>
      </c>
      <c r="Q147" s="210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8.75" hidden="false" customHeight="true" outlineLevel="0" collapsed="false">
      <c r="A148" s="314" t="s">
        <v>295</v>
      </c>
      <c r="B148" s="315" t="s">
        <v>152</v>
      </c>
      <c r="C148" s="201"/>
      <c r="D148" s="315" t="s">
        <v>246</v>
      </c>
      <c r="E148" s="293"/>
      <c r="F148" s="19"/>
      <c r="G148" s="70" t="n">
        <f aca="false">IF(G111="YES", ((A41*H111)*0.1)*(G133), 0)</f>
        <v>0</v>
      </c>
      <c r="H148" s="37" t="n">
        <f aca="false">G108-100</f>
        <v>139.988</v>
      </c>
      <c r="I148" s="37"/>
      <c r="J148" s="37" t="n">
        <f aca="false">(H145+J145+G148+H148)-H151</f>
        <v>1461.1755</v>
      </c>
      <c r="K148" s="177"/>
      <c r="L148" s="19"/>
      <c r="M148" s="70" t="n">
        <f aca="false">IF(M111="YES", ((A41*N111)*0.1)*(M133), 0)</f>
        <v>0</v>
      </c>
      <c r="N148" s="37" t="n">
        <f aca="false">M108-100</f>
        <v>99.99</v>
      </c>
      <c r="O148" s="37"/>
      <c r="P148" s="37" t="n">
        <f aca="false">(N145+P145+M148+N148)-N151</f>
        <v>1421.1775</v>
      </c>
      <c r="Q148" s="177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8.75" hidden="false" customHeight="true" outlineLevel="0" collapsed="false">
      <c r="A149" s="70" t="n">
        <v>0</v>
      </c>
      <c r="B149" s="201" t="n">
        <f aca="false">E124</f>
        <v>239.99</v>
      </c>
      <c r="C149" s="292"/>
      <c r="D149" s="152" t="n">
        <f aca="false">B108</f>
        <v>400</v>
      </c>
      <c r="E149" s="293"/>
      <c r="F149" s="19"/>
      <c r="G149" s="209"/>
      <c r="H149" s="207"/>
      <c r="I149" s="207"/>
      <c r="J149" s="207"/>
      <c r="K149" s="210"/>
      <c r="L149" s="19"/>
      <c r="M149" s="209"/>
      <c r="N149" s="207"/>
      <c r="O149" s="207"/>
      <c r="P149" s="207"/>
      <c r="Q149" s="210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8.75" hidden="false" customHeight="true" outlineLevel="0" collapsed="false">
      <c r="A150" s="70"/>
      <c r="B150" s="201"/>
      <c r="C150" s="292"/>
      <c r="D150" s="201"/>
      <c r="E150" s="293"/>
      <c r="F150" s="19"/>
      <c r="G150" s="209" t="s">
        <v>296</v>
      </c>
      <c r="H150" s="207" t="s">
        <v>297</v>
      </c>
      <c r="I150" s="207"/>
      <c r="J150" s="207"/>
      <c r="K150" s="210"/>
      <c r="L150" s="19"/>
      <c r="M150" s="209" t="s">
        <v>296</v>
      </c>
      <c r="N150" s="207" t="s">
        <v>297</v>
      </c>
      <c r="O150" s="207"/>
      <c r="P150" s="207"/>
      <c r="Q150" s="210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8.75" hidden="false" customHeight="true" outlineLevel="0" collapsed="false">
      <c r="A151" s="318" t="s">
        <v>298</v>
      </c>
      <c r="B151" s="319"/>
      <c r="C151" s="320"/>
      <c r="D151" s="319"/>
      <c r="E151" s="321"/>
      <c r="F151" s="19"/>
      <c r="G151" s="70" t="n">
        <f aca="false">IF((1200-H108) &lt;= 0, 0, (1200-H108))</f>
        <v>0</v>
      </c>
      <c r="H151" s="37" t="n">
        <f aca="false">(H145+J145+G148+H148)*(G151/H70)</f>
        <v>0</v>
      </c>
      <c r="I151" s="207"/>
      <c r="J151" s="207"/>
      <c r="K151" s="210"/>
      <c r="L151" s="19"/>
      <c r="M151" s="70" t="n">
        <f aca="false">IF((1200-N108) &lt;= 0, 0, (1200-N108))</f>
        <v>0</v>
      </c>
      <c r="N151" s="37" t="n">
        <f aca="false">(N145+P145+M148+N148)*(M151/N70)</f>
        <v>0</v>
      </c>
      <c r="O151" s="207"/>
      <c r="P151" s="207"/>
      <c r="Q151" s="210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8.75" hidden="false" customHeight="true" outlineLevel="0" collapsed="false">
      <c r="A152" s="316"/>
      <c r="B152" s="317"/>
      <c r="C152" s="292"/>
      <c r="D152" s="317"/>
      <c r="E152" s="293"/>
      <c r="F152" s="19"/>
      <c r="G152" s="209"/>
      <c r="H152" s="207"/>
      <c r="I152" s="207"/>
      <c r="J152" s="207"/>
      <c r="K152" s="210"/>
      <c r="L152" s="19"/>
      <c r="M152" s="70"/>
      <c r="N152" s="37"/>
      <c r="O152" s="207"/>
      <c r="P152" s="207"/>
      <c r="Q152" s="210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8.75" hidden="false" customHeight="true" outlineLevel="0" collapsed="false">
      <c r="A153" s="291" t="s">
        <v>299</v>
      </c>
      <c r="B153" s="292" t="s">
        <v>300</v>
      </c>
      <c r="C153" s="292"/>
      <c r="D153" s="292" t="s">
        <v>301</v>
      </c>
      <c r="E153" s="293"/>
      <c r="F153" s="19"/>
      <c r="G153" s="209"/>
      <c r="H153" s="207"/>
      <c r="I153" s="207"/>
      <c r="J153" s="207"/>
      <c r="K153" s="210"/>
      <c r="L153" s="19"/>
      <c r="M153" s="78" t="s">
        <v>302</v>
      </c>
      <c r="N153" s="38" t="s">
        <v>303</v>
      </c>
      <c r="O153" s="207"/>
      <c r="P153" s="207"/>
      <c r="Q153" s="210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8.75" hidden="false" customHeight="true" outlineLevel="0" collapsed="false">
      <c r="A154" s="70" t="n">
        <f aca="false">B73</f>
        <v>578.85</v>
      </c>
      <c r="B154" s="201" t="n">
        <f aca="false">B108</f>
        <v>400</v>
      </c>
      <c r="C154" s="201"/>
      <c r="D154" s="201" t="n">
        <f aca="false">IF(A111="YES", (A41/100*B111)*B131, 0)*0.1</f>
        <v>0</v>
      </c>
      <c r="E154" s="177"/>
      <c r="F154" s="19"/>
      <c r="G154" s="243" t="s">
        <v>304</v>
      </c>
      <c r="H154" s="207"/>
      <c r="I154" s="207"/>
      <c r="J154" s="244"/>
      <c r="K154" s="245"/>
      <c r="L154" s="19"/>
      <c r="M154" s="322" t="n">
        <f aca="false">H40</f>
        <v>0</v>
      </c>
      <c r="N154" s="323" t="n">
        <v>0.99</v>
      </c>
      <c r="O154" s="323"/>
      <c r="P154" s="207"/>
      <c r="Q154" s="210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8.75" hidden="false" customHeight="true" outlineLevel="0" collapsed="false">
      <c r="A155" s="291"/>
      <c r="B155" s="292"/>
      <c r="C155" s="292"/>
      <c r="D155" s="292"/>
      <c r="E155" s="293"/>
      <c r="F155" s="19"/>
      <c r="G155" s="209"/>
      <c r="H155" s="246"/>
      <c r="I155" s="246"/>
      <c r="J155" s="207"/>
      <c r="K155" s="210"/>
      <c r="L155" s="19"/>
      <c r="M155" s="209"/>
      <c r="N155" s="207"/>
      <c r="O155" s="207"/>
      <c r="P155" s="207"/>
      <c r="Q155" s="210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8.75" hidden="false" customHeight="true" outlineLevel="0" collapsed="false">
      <c r="A156" s="291" t="s">
        <v>305</v>
      </c>
      <c r="B156" s="292" t="s">
        <v>297</v>
      </c>
      <c r="C156" s="292"/>
      <c r="D156" s="292" t="s">
        <v>294</v>
      </c>
      <c r="E156" s="293"/>
      <c r="F156" s="19"/>
      <c r="G156" s="248" t="s">
        <v>28</v>
      </c>
      <c r="H156" s="249" t="s">
        <v>33</v>
      </c>
      <c r="I156" s="249"/>
      <c r="J156" s="207"/>
      <c r="K156" s="210"/>
      <c r="L156" s="19"/>
      <c r="M156" s="209"/>
      <c r="N156" s="207"/>
      <c r="O156" s="207"/>
      <c r="P156" s="207"/>
      <c r="Q156" s="210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8.75" hidden="false" customHeight="true" outlineLevel="0" collapsed="false">
      <c r="A157" s="70" t="n">
        <f aca="false">(E124/1.2)-100</f>
        <v>99.9916666666667</v>
      </c>
      <c r="B157" s="201" t="n">
        <f aca="false">(A154+B154+D154+A157)*(A149/B70)</f>
        <v>0</v>
      </c>
      <c r="C157" s="201"/>
      <c r="D157" s="201" t="n">
        <f aca="false">(A154+B154+D154+A157)-B157</f>
        <v>1078.84166666667</v>
      </c>
      <c r="E157" s="177"/>
      <c r="F157" s="19"/>
      <c r="G157" s="248"/>
      <c r="H157" s="250" t="n">
        <f aca="false">B57</f>
        <v>5000</v>
      </c>
      <c r="I157" s="250"/>
      <c r="J157" s="207"/>
      <c r="K157" s="210"/>
      <c r="L157" s="19"/>
      <c r="M157" s="243" t="s">
        <v>304</v>
      </c>
      <c r="N157" s="207"/>
      <c r="O157" s="207"/>
      <c r="P157" s="244"/>
      <c r="Q157" s="245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8.75" hidden="false" customHeight="true" outlineLevel="0" collapsed="false">
      <c r="A158" s="291"/>
      <c r="B158" s="292"/>
      <c r="C158" s="292"/>
      <c r="D158" s="292"/>
      <c r="E158" s="293"/>
      <c r="F158" s="19"/>
      <c r="G158" s="251" t="n">
        <f aca="false">A58</f>
        <v>12</v>
      </c>
      <c r="H158" s="92" t="e">
        <f aca="false">H97</f>
        <v>#DIV/0!</v>
      </c>
      <c r="I158" s="92"/>
      <c r="J158" s="207"/>
      <c r="K158" s="210"/>
      <c r="L158" s="19"/>
      <c r="M158" s="209"/>
      <c r="N158" s="246"/>
      <c r="O158" s="246"/>
      <c r="P158" s="207"/>
      <c r="Q158" s="210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8.75" hidden="false" customHeight="true" outlineLevel="0" collapsed="false">
      <c r="A159" s="291" t="s">
        <v>306</v>
      </c>
      <c r="B159" s="292"/>
      <c r="C159" s="292"/>
      <c r="D159" s="292"/>
      <c r="E159" s="293"/>
      <c r="F159" s="19"/>
      <c r="G159" s="209"/>
      <c r="H159" s="207"/>
      <c r="I159" s="207"/>
      <c r="J159" s="207"/>
      <c r="K159" s="210"/>
      <c r="L159" s="19"/>
      <c r="M159" s="248" t="s">
        <v>28</v>
      </c>
      <c r="N159" s="249" t="s">
        <v>33</v>
      </c>
      <c r="O159" s="249"/>
      <c r="P159" s="207"/>
      <c r="Q159" s="210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8.75" hidden="false" customHeight="true" outlineLevel="0" collapsed="false">
      <c r="A160" s="70" t="n">
        <f aca="false">D108</f>
        <v>200</v>
      </c>
      <c r="B160" s="201"/>
      <c r="C160" s="292"/>
      <c r="D160" s="292"/>
      <c r="E160" s="293"/>
      <c r="F160" s="19"/>
      <c r="G160" s="209"/>
      <c r="H160" s="207"/>
      <c r="I160" s="207"/>
      <c r="J160" s="207"/>
      <c r="K160" s="210"/>
      <c r="L160" s="19"/>
      <c r="M160" s="248"/>
      <c r="N160" s="250" t="n">
        <f aca="false">B57</f>
        <v>5000</v>
      </c>
      <c r="O160" s="250"/>
      <c r="P160" s="207"/>
      <c r="Q160" s="210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8.75" hidden="false" customHeight="true" outlineLevel="0" collapsed="false">
      <c r="A161" s="291"/>
      <c r="B161" s="292"/>
      <c r="C161" s="292"/>
      <c r="D161" s="292"/>
      <c r="E161" s="293"/>
      <c r="F161" s="19"/>
      <c r="G161" s="209"/>
      <c r="H161" s="207"/>
      <c r="I161" s="207"/>
      <c r="J161" s="207"/>
      <c r="K161" s="210"/>
      <c r="L161" s="19"/>
      <c r="M161" s="251" t="n">
        <f aca="false">A58</f>
        <v>12</v>
      </c>
      <c r="N161" s="92" t="e">
        <f aca="false">N97</f>
        <v>#DIV/0!</v>
      </c>
      <c r="O161" s="92"/>
      <c r="P161" s="207"/>
      <c r="Q161" s="210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8.75" hidden="false" customHeight="true" outlineLevel="0" collapsed="false">
      <c r="A162" s="291"/>
      <c r="B162" s="292"/>
      <c r="C162" s="292"/>
      <c r="D162" s="292"/>
      <c r="E162" s="293"/>
      <c r="F162" s="19"/>
      <c r="G162" s="209"/>
      <c r="H162" s="207"/>
      <c r="I162" s="207"/>
      <c r="J162" s="207"/>
      <c r="K162" s="210"/>
      <c r="L162" s="19"/>
      <c r="M162" s="209"/>
      <c r="N162" s="207"/>
      <c r="O162" s="207"/>
      <c r="P162" s="207"/>
      <c r="Q162" s="210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8.75" hidden="false" customHeight="true" outlineLevel="0" collapsed="false">
      <c r="A163" s="324" t="s">
        <v>304</v>
      </c>
      <c r="B163" s="292"/>
      <c r="C163" s="292"/>
      <c r="D163" s="325"/>
      <c r="E163" s="326"/>
      <c r="F163" s="19"/>
      <c r="G163" s="252"/>
      <c r="H163" s="253"/>
      <c r="I163" s="253"/>
      <c r="J163" s="253"/>
      <c r="K163" s="254"/>
      <c r="L163" s="19"/>
      <c r="M163" s="209"/>
      <c r="N163" s="207"/>
      <c r="O163" s="207"/>
      <c r="P163" s="207"/>
      <c r="Q163" s="210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8.75" hidden="false" customHeight="true" outlineLevel="0" collapsed="false">
      <c r="A164" s="291"/>
      <c r="B164" s="327"/>
      <c r="C164" s="327"/>
      <c r="D164" s="292"/>
      <c r="E164" s="293"/>
      <c r="F164" s="19"/>
      <c r="G164" s="19"/>
      <c r="H164" s="19"/>
      <c r="I164" s="19"/>
      <c r="J164" s="19"/>
      <c r="K164" s="19"/>
      <c r="L164" s="19"/>
      <c r="M164" s="209"/>
      <c r="N164" s="207"/>
      <c r="O164" s="207"/>
      <c r="P164" s="207"/>
      <c r="Q164" s="210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8.75" hidden="false" customHeight="true" outlineLevel="0" collapsed="false">
      <c r="A165" s="248" t="s">
        <v>28</v>
      </c>
      <c r="B165" s="249" t="s">
        <v>33</v>
      </c>
      <c r="C165" s="249"/>
      <c r="D165" s="292"/>
      <c r="E165" s="293"/>
      <c r="F165" s="19"/>
      <c r="G165" s="19"/>
      <c r="H165" s="19"/>
      <c r="I165" s="19"/>
      <c r="J165" s="19"/>
      <c r="K165" s="19"/>
      <c r="L165" s="19"/>
      <c r="M165" s="209"/>
      <c r="N165" s="207"/>
      <c r="O165" s="207"/>
      <c r="P165" s="207"/>
      <c r="Q165" s="210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8.75" hidden="false" customHeight="true" outlineLevel="0" collapsed="false">
      <c r="A166" s="248"/>
      <c r="B166" s="250" t="n">
        <f aca="false">B57</f>
        <v>5000</v>
      </c>
      <c r="C166" s="250"/>
      <c r="D166" s="292"/>
      <c r="E166" s="293"/>
      <c r="F166" s="19"/>
      <c r="G166" s="19"/>
      <c r="H166" s="19"/>
      <c r="I166" s="19"/>
      <c r="J166" s="19"/>
      <c r="K166" s="19"/>
      <c r="L166" s="19"/>
      <c r="M166" s="209"/>
      <c r="N166" s="207"/>
      <c r="O166" s="207"/>
      <c r="P166" s="207"/>
      <c r="Q166" s="210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8.75" hidden="false" customHeight="true" outlineLevel="0" collapsed="false">
      <c r="A167" s="251" t="n">
        <f aca="false">A58</f>
        <v>12</v>
      </c>
      <c r="B167" s="92" t="n">
        <f aca="false">B97</f>
        <v>818.133232822375</v>
      </c>
      <c r="C167" s="92"/>
      <c r="D167" s="292"/>
      <c r="E167" s="293"/>
      <c r="F167" s="19"/>
      <c r="G167" s="19"/>
      <c r="H167" s="19"/>
      <c r="I167" s="19"/>
      <c r="J167" s="19"/>
      <c r="K167" s="19"/>
      <c r="L167" s="19"/>
      <c r="M167" s="209"/>
      <c r="N167" s="207"/>
      <c r="O167" s="207"/>
      <c r="P167" s="207"/>
      <c r="Q167" s="210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8.75" hidden="false" customHeight="true" outlineLevel="0" collapsed="false">
      <c r="A168" s="291"/>
      <c r="B168" s="292"/>
      <c r="C168" s="292"/>
      <c r="D168" s="292"/>
      <c r="E168" s="293"/>
      <c r="F168" s="19"/>
      <c r="G168" s="19"/>
      <c r="H168" s="19"/>
      <c r="I168" s="19"/>
      <c r="J168" s="19"/>
      <c r="K168" s="19"/>
      <c r="L168" s="19"/>
      <c r="M168" s="252"/>
      <c r="N168" s="253"/>
      <c r="O168" s="253"/>
      <c r="P168" s="253"/>
      <c r="Q168" s="254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8.75" hidden="false" customHeight="true" outlineLevel="0" collapsed="false">
      <c r="A169" s="291"/>
      <c r="B169" s="292"/>
      <c r="C169" s="292"/>
      <c r="D169" s="292"/>
      <c r="E169" s="293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8.75" hidden="false" customHeight="true" outlineLevel="0" collapsed="false">
      <c r="A170" s="291"/>
      <c r="B170" s="292"/>
      <c r="C170" s="292"/>
      <c r="D170" s="292"/>
      <c r="E170" s="293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8.75" hidden="false" customHeight="true" outlineLevel="0" collapsed="false">
      <c r="A171" s="328" t="s">
        <v>270</v>
      </c>
      <c r="B171" s="328"/>
      <c r="C171" s="328"/>
      <c r="D171" s="328"/>
      <c r="E171" s="328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8.75" hidden="false" customHeight="true" outlineLevel="0" collapsed="false">
      <c r="A172" s="291"/>
      <c r="B172" s="329"/>
      <c r="C172" s="329"/>
      <c r="D172" s="329"/>
      <c r="E172" s="293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8.75" hidden="false" customHeight="true" outlineLevel="0" collapsed="false">
      <c r="A173" s="294" t="s">
        <v>98</v>
      </c>
      <c r="B173" s="330" t="s">
        <v>174</v>
      </c>
      <c r="C173" s="331"/>
      <c r="D173" s="330" t="s">
        <v>33</v>
      </c>
      <c r="E173" s="297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8.75" hidden="false" customHeight="true" outlineLevel="0" collapsed="false">
      <c r="A174" s="298" t="s">
        <v>254</v>
      </c>
      <c r="B174" s="332" t="n">
        <f aca="false">A167</f>
        <v>12</v>
      </c>
      <c r="C174" s="333"/>
      <c r="D174" s="331" t="n">
        <f aca="false">B166</f>
        <v>5000</v>
      </c>
      <c r="E174" s="297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8.75" hidden="false" customHeight="true" outlineLevel="0" collapsed="false">
      <c r="A175" s="294"/>
      <c r="B175" s="330"/>
      <c r="C175" s="330"/>
      <c r="D175" s="330"/>
      <c r="E175" s="297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8.75" hidden="false" customHeight="true" outlineLevel="0" collapsed="false">
      <c r="A176" s="294" t="s">
        <v>92</v>
      </c>
      <c r="B176" s="330" t="s">
        <v>271</v>
      </c>
      <c r="C176" s="331"/>
      <c r="D176" s="330" t="s">
        <v>272</v>
      </c>
      <c r="E176" s="297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8.75" hidden="false" customHeight="true" outlineLevel="0" collapsed="false">
      <c r="A177" s="298" t="n">
        <f aca="false">B96</f>
        <v>818.133232822375</v>
      </c>
      <c r="B177" s="331" t="n">
        <f aca="false">IF(A111="YES", B95, 0)</f>
        <v>0</v>
      </c>
      <c r="C177" s="334"/>
      <c r="D177" s="331" t="n">
        <f aca="false">B91</f>
        <v>13720.74</v>
      </c>
      <c r="E177" s="297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8.75" hidden="false" customHeight="true" outlineLevel="0" collapsed="false">
      <c r="A178" s="291"/>
      <c r="B178" s="329"/>
      <c r="C178" s="329"/>
      <c r="D178" s="329"/>
      <c r="E178" s="293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8.75" hidden="false" customHeight="true" outlineLevel="0" collapsed="false">
      <c r="A179" s="304" t="s">
        <v>23</v>
      </c>
      <c r="B179" s="335" t="s">
        <v>277</v>
      </c>
      <c r="C179" s="223"/>
      <c r="D179" s="335" t="s">
        <v>278</v>
      </c>
      <c r="E179" s="293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8.75" hidden="false" customHeight="true" outlineLevel="0" collapsed="false">
      <c r="A180" s="309" t="str">
        <f aca="false">B105</f>
        <v>Terminal pause with 9 down</v>
      </c>
      <c r="B180" s="37" t="n">
        <f aca="false">B96*B63</f>
        <v>7363.19909540137</v>
      </c>
      <c r="C180" s="329"/>
      <c r="D180" s="37" t="n">
        <f aca="false">IF(A111="YES", B95*B63, 0)</f>
        <v>0</v>
      </c>
      <c r="E180" s="293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8.75" hidden="false" customHeight="true" outlineLevel="0" collapsed="false">
      <c r="A181" s="291"/>
      <c r="B181" s="329"/>
      <c r="C181" s="329"/>
      <c r="D181" s="329"/>
      <c r="E181" s="293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8.75" hidden="false" customHeight="true" outlineLevel="0" collapsed="false">
      <c r="A182" s="123" t="s">
        <v>283</v>
      </c>
      <c r="B182" s="38" t="s">
        <v>284</v>
      </c>
      <c r="C182" s="336"/>
      <c r="D182" s="233" t="s">
        <v>177</v>
      </c>
      <c r="E182" s="293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8.75" hidden="false" customHeight="true" outlineLevel="0" collapsed="false">
      <c r="A183" s="70" t="n">
        <f aca="false">B97*B63</f>
        <v>7363.19909540137</v>
      </c>
      <c r="B183" s="37" t="n">
        <f aca="false">E120</f>
        <v>4000</v>
      </c>
      <c r="C183" s="329"/>
      <c r="D183" s="337" t="n">
        <f aca="false">B64</f>
        <v>3</v>
      </c>
      <c r="E183" s="293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8.75" hidden="false" customHeight="true" outlineLevel="0" collapsed="false">
      <c r="A184" s="70"/>
      <c r="B184" s="338"/>
      <c r="C184" s="329"/>
      <c r="D184" s="329"/>
      <c r="E184" s="293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8.75" hidden="false" customHeight="true" outlineLevel="0" collapsed="false">
      <c r="A185" s="78" t="s">
        <v>92</v>
      </c>
      <c r="B185" s="339" t="s">
        <v>271</v>
      </c>
      <c r="C185" s="329"/>
      <c r="D185" s="329" t="s">
        <v>272</v>
      </c>
      <c r="E185" s="293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8.75" hidden="false" customHeight="true" outlineLevel="0" collapsed="false">
      <c r="A186" s="70" t="n">
        <f aca="false">B96</f>
        <v>818.133232822375</v>
      </c>
      <c r="B186" s="37" t="n">
        <f aca="false">IF(A111="YES", B95, 0)</f>
        <v>0</v>
      </c>
      <c r="C186" s="329"/>
      <c r="D186" s="37" t="n">
        <f aca="false">B97</f>
        <v>818.133232822375</v>
      </c>
      <c r="E186" s="293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8.75" hidden="false" customHeight="true" outlineLevel="0" collapsed="false">
      <c r="A187" s="291"/>
      <c r="B187" s="329"/>
      <c r="C187" s="329"/>
      <c r="D187" s="329"/>
      <c r="E187" s="293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8.75" hidden="false" customHeight="true" outlineLevel="0" collapsed="false">
      <c r="A188" s="314" t="s">
        <v>180</v>
      </c>
      <c r="B188" s="340" t="s">
        <v>291</v>
      </c>
      <c r="C188" s="37"/>
      <c r="D188" s="340" t="s">
        <v>182</v>
      </c>
      <c r="E188" s="177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8.75" hidden="false" customHeight="true" outlineLevel="0" collapsed="false">
      <c r="A189" s="316" t="n">
        <f aca="false">(G18*0.000006)*1.2*100</f>
        <v>41.6772</v>
      </c>
      <c r="B189" s="341" t="n">
        <f aca="false">G18*0.000002 *1.2*100</f>
        <v>13.8924</v>
      </c>
      <c r="C189" s="329"/>
      <c r="D189" s="341" t="n">
        <f aca="false">A189+B189</f>
        <v>55.5696</v>
      </c>
      <c r="E189" s="293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8.75" hidden="false" customHeight="true" outlineLevel="0" collapsed="false">
      <c r="A190" s="316"/>
      <c r="B190" s="341"/>
      <c r="C190" s="329"/>
      <c r="D190" s="341"/>
      <c r="E190" s="293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8.75" hidden="false" customHeight="true" outlineLevel="0" collapsed="false">
      <c r="A191" s="314" t="s">
        <v>295</v>
      </c>
      <c r="B191" s="340" t="s">
        <v>152</v>
      </c>
      <c r="C191" s="37"/>
      <c r="D191" s="340" t="s">
        <v>246</v>
      </c>
      <c r="E191" s="293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8.75" hidden="false" customHeight="true" outlineLevel="0" collapsed="false">
      <c r="A192" s="70" t="n">
        <v>0</v>
      </c>
      <c r="B192" s="37" t="n">
        <f aca="false">E124</f>
        <v>239.99</v>
      </c>
      <c r="C192" s="329"/>
      <c r="D192" s="152" t="n">
        <f aca="false">B108</f>
        <v>400</v>
      </c>
      <c r="E192" s="293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8.75" hidden="false" customHeight="true" outlineLevel="0" collapsed="false">
      <c r="A193" s="70"/>
      <c r="B193" s="37"/>
      <c r="C193" s="329"/>
      <c r="D193" s="37"/>
      <c r="E193" s="293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8.75" hidden="false" customHeight="true" outlineLevel="0" collapsed="false">
      <c r="A194" s="318" t="s">
        <v>298</v>
      </c>
      <c r="B194" s="319"/>
      <c r="C194" s="320"/>
      <c r="D194" s="319"/>
      <c r="E194" s="321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8.75" hidden="false" customHeight="true" outlineLevel="0" collapsed="false">
      <c r="A195" s="316"/>
      <c r="B195" s="341"/>
      <c r="C195" s="329"/>
      <c r="D195" s="341"/>
      <c r="E195" s="293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8.75" hidden="false" customHeight="true" outlineLevel="0" collapsed="false">
      <c r="A196" s="291" t="s">
        <v>299</v>
      </c>
      <c r="B196" s="329" t="s">
        <v>300</v>
      </c>
      <c r="C196" s="329"/>
      <c r="D196" s="329" t="s">
        <v>301</v>
      </c>
      <c r="E196" s="293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8.75" hidden="false" customHeight="true" outlineLevel="0" collapsed="false">
      <c r="A197" s="70" t="n">
        <f aca="false">B73</f>
        <v>578.85</v>
      </c>
      <c r="B197" s="37" t="n">
        <f aca="false">B108</f>
        <v>400</v>
      </c>
      <c r="C197" s="37"/>
      <c r="D197" s="37" t="n">
        <f aca="false">IF(A111="YES", (A41/100*B111)*B131, 0)*0.1</f>
        <v>0</v>
      </c>
      <c r="E197" s="177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8.75" hidden="false" customHeight="true" outlineLevel="0" collapsed="false">
      <c r="A198" s="291"/>
      <c r="B198" s="329"/>
      <c r="C198" s="329"/>
      <c r="D198" s="329"/>
      <c r="E198" s="293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8.75" hidden="false" customHeight="true" outlineLevel="0" collapsed="false">
      <c r="A199" s="291" t="s">
        <v>305</v>
      </c>
      <c r="B199" s="329" t="s">
        <v>297</v>
      </c>
      <c r="C199" s="329"/>
      <c r="D199" s="329" t="s">
        <v>294</v>
      </c>
      <c r="E199" s="293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8.75" hidden="false" customHeight="true" outlineLevel="0" collapsed="false">
      <c r="A200" s="70" t="n">
        <f aca="false">(E124/1.2)-100</f>
        <v>99.9916666666667</v>
      </c>
      <c r="B200" s="37" t="n">
        <f aca="false">(A154+B154+D154+A157)*(A149/B70)</f>
        <v>0</v>
      </c>
      <c r="C200" s="37"/>
      <c r="D200" s="37" t="n">
        <f aca="false">(A154+B154+D154+A157)-B157</f>
        <v>1078.84166666667</v>
      </c>
      <c r="E200" s="177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8.75" hidden="false" customHeight="true" outlineLevel="0" collapsed="false">
      <c r="A201" s="291"/>
      <c r="B201" s="329"/>
      <c r="C201" s="329"/>
      <c r="D201" s="329"/>
      <c r="E201" s="293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8.75" hidden="false" customHeight="true" outlineLevel="0" collapsed="false">
      <c r="A202" s="291" t="s">
        <v>306</v>
      </c>
      <c r="B202" s="329"/>
      <c r="C202" s="329"/>
      <c r="D202" s="329"/>
      <c r="E202" s="293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8.75" hidden="false" customHeight="true" outlineLevel="0" collapsed="false">
      <c r="A203" s="70" t="n">
        <f aca="false">D108</f>
        <v>200</v>
      </c>
      <c r="B203" s="37"/>
      <c r="C203" s="329"/>
      <c r="D203" s="329"/>
      <c r="E203" s="293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8.75" hidden="false" customHeight="true" outlineLevel="0" collapsed="false">
      <c r="A204" s="342"/>
      <c r="B204" s="343"/>
      <c r="C204" s="343"/>
      <c r="D204" s="343"/>
      <c r="E204" s="344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8.75" hidden="false" customHeight="true" outlineLevel="0" collapsed="false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8.75" hidden="false" customHeight="true" outlineLevel="0" collapsed="false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8.75" hidden="false" customHeight="true" outlineLevel="0" collapsed="false">
      <c r="A207" s="328" t="s">
        <v>185</v>
      </c>
      <c r="B207" s="328"/>
      <c r="C207" s="328"/>
      <c r="D207" s="328"/>
      <c r="E207" s="328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8.75" hidden="false" customHeight="true" outlineLevel="0" collapsed="false">
      <c r="A208" s="291"/>
      <c r="B208" s="292"/>
      <c r="C208" s="292"/>
      <c r="D208" s="292"/>
      <c r="E208" s="293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8.75" hidden="false" customHeight="true" outlineLevel="0" collapsed="false">
      <c r="A209" s="294" t="s">
        <v>186</v>
      </c>
      <c r="B209" s="345" t="n">
        <f aca="false">H35</f>
        <v>0</v>
      </c>
      <c r="C209" s="296" t="s">
        <v>188</v>
      </c>
      <c r="D209" s="346" t="n">
        <f aca="false">D70</f>
        <v>4051.95</v>
      </c>
      <c r="E209" s="297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8.75" hidden="false" customHeight="true" outlineLevel="0" collapsed="false">
      <c r="A210" s="298"/>
      <c r="B210" s="299"/>
      <c r="C210" s="300"/>
      <c r="D210" s="299"/>
      <c r="E210" s="297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8.75" hidden="false" customHeight="true" outlineLevel="0" collapsed="false">
      <c r="A211" s="294" t="s">
        <v>189</v>
      </c>
      <c r="B211" s="296" t="n">
        <f aca="false">B219</f>
        <v>578.85</v>
      </c>
      <c r="C211" s="295" t="s">
        <v>190</v>
      </c>
      <c r="D211" s="346" t="n">
        <f aca="false">B225+E221+B221+B223</f>
        <v>339.991666666667</v>
      </c>
      <c r="E211" s="297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8.75" hidden="false" customHeight="true" outlineLevel="0" collapsed="false">
      <c r="A212" s="294"/>
      <c r="B212" s="347"/>
      <c r="C212" s="296"/>
      <c r="D212" s="295"/>
      <c r="E212" s="297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8.75" hidden="false" customHeight="true" outlineLevel="0" collapsed="false">
      <c r="A213" s="298" t="s">
        <v>191</v>
      </c>
      <c r="B213" s="296" t="n">
        <f aca="false">E223</f>
        <v>3813.09166666667</v>
      </c>
      <c r="C213" s="300"/>
      <c r="D213" s="296"/>
      <c r="E213" s="297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8.75" hidden="false" customHeight="true" outlineLevel="0" collapsed="false">
      <c r="A214" s="291"/>
      <c r="B214" s="313"/>
      <c r="C214" s="292"/>
      <c r="D214" s="292"/>
      <c r="E214" s="293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8.75" hidden="false" customHeight="true" outlineLevel="0" collapsed="false">
      <c r="A215" s="222" t="s">
        <v>186</v>
      </c>
      <c r="B215" s="348" t="n">
        <v>0.065</v>
      </c>
      <c r="C215" s="306"/>
      <c r="D215" s="305"/>
      <c r="E215" s="293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8.75" hidden="false" customHeight="true" outlineLevel="0" collapsed="false">
      <c r="A216" s="349"/>
      <c r="B216" s="200"/>
      <c r="C216" s="292"/>
      <c r="D216" s="201"/>
      <c r="E216" s="293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8.75" hidden="false" customHeight="true" outlineLevel="0" collapsed="false">
      <c r="A217" s="350" t="s">
        <v>188</v>
      </c>
      <c r="B217" s="60" t="n">
        <f aca="false">D70</f>
        <v>4051.95</v>
      </c>
      <c r="C217" s="351" t="s">
        <v>194</v>
      </c>
      <c r="D217" s="292"/>
      <c r="E217" s="352" t="n">
        <f aca="false">B72</f>
        <v>0.01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8.75" hidden="false" customHeight="true" outlineLevel="0" collapsed="false">
      <c r="A218" s="69"/>
      <c r="B218" s="200"/>
      <c r="C218" s="310"/>
      <c r="D218" s="240"/>
      <c r="E218" s="293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8.75" hidden="false" customHeight="true" outlineLevel="0" collapsed="false">
      <c r="A219" s="70" t="s">
        <v>194</v>
      </c>
      <c r="B219" s="60" t="n">
        <f aca="false">B73</f>
        <v>578.85</v>
      </c>
      <c r="C219" s="310" t="s">
        <v>307</v>
      </c>
      <c r="D219" s="353"/>
      <c r="E219" s="103" t="n">
        <v>0.001</v>
      </c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8.75" hidden="false" customHeight="true" outlineLevel="0" collapsed="false">
      <c r="A220" s="70"/>
      <c r="B220" s="313"/>
      <c r="C220" s="310"/>
      <c r="D220" s="292"/>
      <c r="E220" s="293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8.75" hidden="false" customHeight="true" outlineLevel="0" collapsed="false">
      <c r="A221" s="70" t="s">
        <v>307</v>
      </c>
      <c r="B221" s="233" t="n">
        <f aca="false">B197*E219*100</f>
        <v>40</v>
      </c>
      <c r="C221" s="310" t="s">
        <v>196</v>
      </c>
      <c r="D221" s="292"/>
      <c r="E221" s="20" t="n">
        <f aca="false">A200</f>
        <v>99.9916666666667</v>
      </c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18.75" hidden="false" customHeight="true" outlineLevel="0" collapsed="false">
      <c r="A222" s="70"/>
      <c r="B222" s="200"/>
      <c r="C222" s="310"/>
      <c r="D222" s="201"/>
      <c r="E222" s="293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18.75" hidden="false" customHeight="true" outlineLevel="0" collapsed="false">
      <c r="A223" s="350" t="s">
        <v>308</v>
      </c>
      <c r="B223" s="233" t="n">
        <f aca="false">B84-(B84*(E219*100))</f>
        <v>200</v>
      </c>
      <c r="C223" s="310" t="s">
        <v>191</v>
      </c>
      <c r="D223" s="292"/>
      <c r="E223" s="20" t="n">
        <f aca="false">(B217-B211+D211)</f>
        <v>3813.09166666667</v>
      </c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18.75" hidden="false" customHeight="true" outlineLevel="0" collapsed="false">
      <c r="A224" s="354"/>
      <c r="B224" s="315"/>
      <c r="C224" s="201"/>
      <c r="D224" s="315"/>
      <c r="E224" s="163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18.75" hidden="false" customHeight="true" outlineLevel="0" collapsed="false">
      <c r="A225" s="354" t="s">
        <v>309</v>
      </c>
      <c r="B225" s="315" t="n">
        <f aca="false">D197/0.1</f>
        <v>0</v>
      </c>
      <c r="C225" s="201"/>
      <c r="D225" s="315"/>
      <c r="E225" s="163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18.75" hidden="false" customHeight="true" outlineLevel="0" collapsed="false">
      <c r="A226" s="354"/>
      <c r="B226" s="315"/>
      <c r="C226" s="201"/>
      <c r="D226" s="315"/>
      <c r="E226" s="163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customFormat="false" ht="18.75" hidden="false" customHeight="true" outlineLevel="0" collapsed="false">
      <c r="A227" s="318" t="s">
        <v>310</v>
      </c>
      <c r="B227" s="355"/>
      <c r="C227" s="320"/>
      <c r="D227" s="319"/>
      <c r="E227" s="321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18.75" hidden="false" customHeight="true" outlineLevel="0" collapsed="false">
      <c r="A228" s="316"/>
      <c r="B228" s="356"/>
      <c r="C228" s="292"/>
      <c r="D228" s="317"/>
      <c r="E228" s="293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18.75" hidden="false" customHeight="true" outlineLevel="0" collapsed="false">
      <c r="A229" s="316" t="s">
        <v>198</v>
      </c>
      <c r="B229" s="60" t="n">
        <f aca="false">B77</f>
        <v>200</v>
      </c>
      <c r="C229" s="310" t="s">
        <v>199</v>
      </c>
      <c r="D229" s="317"/>
      <c r="E229" s="150" t="n">
        <f aca="false">B78</f>
        <v>5</v>
      </c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18.75" hidden="false" customHeight="true" outlineLevel="0" collapsed="false">
      <c r="A230" s="316"/>
      <c r="B230" s="356"/>
      <c r="C230" s="310" t="s">
        <v>200</v>
      </c>
      <c r="D230" s="317"/>
      <c r="E230" s="20" t="n">
        <f aca="false">D79</f>
        <v>260</v>
      </c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18.75" hidden="false" customHeight="true" outlineLevel="0" collapsed="false">
      <c r="A231" s="316" t="s">
        <v>201</v>
      </c>
      <c r="B231" s="357" t="n">
        <f aca="false">B74</f>
        <v>0.0075</v>
      </c>
      <c r="C231" s="310" t="s">
        <v>202</v>
      </c>
      <c r="D231" s="317"/>
      <c r="E231" s="352" t="n">
        <f aca="false">B75</f>
        <v>0.12</v>
      </c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8.75" hidden="false" customHeight="true" outlineLevel="0" collapsed="false">
      <c r="A232" s="316"/>
      <c r="B232" s="356"/>
      <c r="C232" s="310" t="s">
        <v>203</v>
      </c>
      <c r="D232" s="317"/>
      <c r="E232" s="20" t="n">
        <f aca="false">B92</f>
        <v>96.8587938684954</v>
      </c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18.75" hidden="false" customHeight="true" outlineLevel="0" collapsed="false">
      <c r="A233" s="316" t="s">
        <v>204</v>
      </c>
      <c r="B233" s="60" t="n">
        <f aca="false">B85</f>
        <v>200</v>
      </c>
      <c r="C233" s="358" t="s">
        <v>311</v>
      </c>
      <c r="D233" s="359"/>
      <c r="E233" s="150" t="n">
        <f aca="false">B80</f>
        <v>165</v>
      </c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18.75" hidden="false" customHeight="true" outlineLevel="0" collapsed="false">
      <c r="A234" s="350"/>
      <c r="B234" s="313"/>
      <c r="C234" s="358"/>
      <c r="D234" s="360"/>
      <c r="E234" s="361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18.75" hidden="false" customHeight="true" outlineLevel="0" collapsed="false">
      <c r="A235" s="70" t="s">
        <v>205</v>
      </c>
      <c r="B235" s="60" t="n">
        <f aca="false">B86</f>
        <v>200</v>
      </c>
      <c r="C235" s="362" t="s">
        <v>312</v>
      </c>
      <c r="D235" s="362"/>
      <c r="E235" s="150" t="n">
        <f aca="false">B81</f>
        <v>355</v>
      </c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18.75" hidden="false" customHeight="true" outlineLevel="0" collapsed="false">
      <c r="A236" s="291"/>
      <c r="B236" s="292"/>
      <c r="C236" s="292"/>
      <c r="D236" s="292"/>
      <c r="E236" s="293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18.75" hidden="false" customHeight="true" outlineLevel="0" collapsed="false">
      <c r="A237" s="291"/>
      <c r="B237" s="292"/>
      <c r="C237" s="292"/>
      <c r="D237" s="292"/>
      <c r="E237" s="293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18.75" hidden="false" customHeight="true" outlineLevel="0" collapsed="false">
      <c r="A238" s="70"/>
      <c r="B238" s="201"/>
      <c r="C238" s="201"/>
      <c r="D238" s="201"/>
      <c r="E238" s="177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18.75" hidden="false" customHeight="true" outlineLevel="0" collapsed="false">
      <c r="A239" s="291"/>
      <c r="B239" s="292"/>
      <c r="C239" s="292"/>
      <c r="D239" s="292"/>
      <c r="E239" s="293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18.75" hidden="false" customHeight="true" outlineLevel="0" collapsed="false">
      <c r="A240" s="291"/>
      <c r="B240" s="292"/>
      <c r="C240" s="292"/>
      <c r="D240" s="292"/>
      <c r="E240" s="293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18.75" hidden="false" customHeight="true" outlineLevel="0" collapsed="false">
      <c r="A241" s="70"/>
      <c r="B241" s="201"/>
      <c r="C241" s="292"/>
      <c r="D241" s="292"/>
      <c r="E241" s="293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18.75" hidden="false" customHeight="true" outlineLevel="0" collapsed="false">
      <c r="A242" s="342"/>
      <c r="B242" s="343"/>
      <c r="C242" s="343"/>
      <c r="D242" s="343"/>
      <c r="E242" s="344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18.75" hidden="false" customHeight="tru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18.75" hidden="false" customHeight="tru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18.75" hidden="false" customHeight="tru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18.75" hidden="false" customHeight="tru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18.75" hidden="false" customHeight="tru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18.75" hidden="false" customHeight="tru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18.75" hidden="false" customHeight="tru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18.75" hidden="false" customHeight="tru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18.75" hidden="false" customHeight="tru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18.75" hidden="false" customHeight="tru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18.75" hidden="false" customHeight="tru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18.75" hidden="false" customHeight="tru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18.75" hidden="false" customHeight="tru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18.75" hidden="false" customHeight="tru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18.75" hidden="false" customHeight="tru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18.75" hidden="false" customHeight="tru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18.75" hidden="false" customHeight="tru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18.75" hidden="false" customHeight="tru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18.75" hidden="false" customHeight="tru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18.75" hidden="false" customHeight="tru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18.75" hidden="false" customHeight="tru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18.75" hidden="false" customHeight="tru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18.75" hidden="false" customHeight="tru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18.75" hidden="false" customHeight="tru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18.75" hidden="false" customHeight="tru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18.75" hidden="false" customHeight="tru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18.75" hidden="false" customHeight="tru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18.75" hidden="false" customHeight="tru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18.75" hidden="false" customHeight="tru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18.75" hidden="false" customHeight="tru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18.75" hidden="false" customHeight="tru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18.75" hidden="false" customHeight="tru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18.75" hidden="false" customHeight="tru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18.75" hidden="false" customHeight="tru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18.75" hidden="false" customHeight="tru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18.75" hidden="false" customHeight="tru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18.75" hidden="false" customHeight="tru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18.75" hidden="false" customHeight="tru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18.75" hidden="false" customHeight="tru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18.75" hidden="false" customHeight="tru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18.75" hidden="false" customHeight="tru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18.75" hidden="false" customHeight="tru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18.75" hidden="false" customHeight="tru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18.75" hidden="false" customHeight="tru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18.75" hidden="false" customHeight="tru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18.75" hidden="false" customHeight="tru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18.75" hidden="false" customHeight="tru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18.75" hidden="false" customHeight="tru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18.75" hidden="false" customHeight="tru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18.75" hidden="false" customHeight="tru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18.75" hidden="false" customHeight="tru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18.75" hidden="false" customHeight="tru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18.75" hidden="false" customHeight="tru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18.75" hidden="false" customHeight="tru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18.75" hidden="false" customHeight="tru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18.75" hidden="false" customHeight="tru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18.75" hidden="false" customHeight="tru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18.75" hidden="false" customHeight="tru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18.75" hidden="false" customHeight="tru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18.75" hidden="false" customHeight="tru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18.75" hidden="false" customHeight="tru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18.75" hidden="false" customHeight="tru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18.75" hidden="false" customHeight="tru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18.75" hidden="false" customHeight="tru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18.75" hidden="false" customHeight="tru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18.75" hidden="false" customHeight="tru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18.75" hidden="false" customHeight="tru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18.75" hidden="false" customHeight="tru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18.75" hidden="false" customHeight="tru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18.75" hidden="false" customHeight="tru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18.75" hidden="false" customHeight="tru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18.75" hidden="false" customHeight="tru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18.75" hidden="false" customHeight="tru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18.75" hidden="false" customHeight="tru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18.75" hidden="false" customHeight="tru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18.75" hidden="false" customHeight="tru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18.75" hidden="false" customHeight="tru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18.75" hidden="false" customHeight="tru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18.75" hidden="false" customHeight="tru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18.75" hidden="false" customHeight="tru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18.75" hidden="false" customHeight="tru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18.75" hidden="false" customHeight="tru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18.75" hidden="false" customHeight="tru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18.75" hidden="false" customHeight="tru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18.75" hidden="false" customHeight="tru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18.75" hidden="false" customHeight="tru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18.75" hidden="false" customHeight="tru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18.75" hidden="false" customHeight="tru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18.75" hidden="false" customHeight="tru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18.75" hidden="false" customHeight="tru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18.75" hidden="false" customHeight="tru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18.75" hidden="false" customHeight="tru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18.75" hidden="false" customHeight="tru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18.75" hidden="false" customHeight="tru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18.75" hidden="false" customHeight="tru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18.75" hidden="false" customHeight="tru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18.75" hidden="false" customHeight="tru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18.75" hidden="false" customHeight="tru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18.75" hidden="false" customHeight="tru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18.75" hidden="false" customHeight="tru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18.75" hidden="false" customHeight="tru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18.75" hidden="false" customHeight="tru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18.75" hidden="false" customHeight="tru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18.75" hidden="false" customHeight="tru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18.75" hidden="false" customHeight="tru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18.75" hidden="false" customHeight="tru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18.75" hidden="false" customHeight="tru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18.75" hidden="false" customHeight="tru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18.75" hidden="false" customHeight="tru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18.75" hidden="false" customHeight="tru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18.75" hidden="false" customHeight="true" outlineLevel="0" collapsed="false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customFormat="false" ht="18.75" hidden="false" customHeight="true" outlineLevel="0" collapsed="false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customFormat="false" ht="18.75" hidden="false" customHeight="tru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customFormat="false" ht="18.75" hidden="false" customHeight="true" outlineLevel="0" collapsed="false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customFormat="false" ht="18.75" hidden="false" customHeight="true" outlineLevel="0" collapsed="false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customFormat="false" ht="18.75" hidden="false" customHeight="true" outlineLevel="0" collapsed="false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customFormat="false" ht="18.75" hidden="false" customHeight="true" outlineLevel="0" collapsed="false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customFormat="false" ht="18.75" hidden="false" customHeight="true" outlineLevel="0" collapsed="false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customFormat="false" ht="18.75" hidden="false" customHeight="true" outlineLevel="0" collapsed="false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52" colorId="64" zoomScale="75" zoomScaleNormal="75" zoomScalePageLayoutView="100" workbookViewId="0">
      <selection pane="topLeft" activeCell="B67" activeCellId="0" sqref="B67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396" t="s">
        <v>324</v>
      </c>
      <c r="B1" s="396"/>
      <c r="C1" s="396"/>
      <c r="D1" s="396"/>
      <c r="E1" s="396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8.75" hidden="false" customHeight="true" outlineLevel="0" collapsed="false">
      <c r="A2" s="261"/>
      <c r="B2" s="474" t="s">
        <v>115</v>
      </c>
      <c r="C2" s="474" t="s">
        <v>116</v>
      </c>
      <c r="D2" s="474" t="s">
        <v>117</v>
      </c>
      <c r="E2" s="399" t="s">
        <v>118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8.75" hidden="false" customHeight="true" outlineLevel="0" collapsed="false">
      <c r="A3" s="209" t="s">
        <v>121</v>
      </c>
      <c r="B3" s="475" t="n">
        <v>46854.17</v>
      </c>
      <c r="C3" s="475" t="n">
        <v>0</v>
      </c>
      <c r="D3" s="475" t="n">
        <v>833.33</v>
      </c>
      <c r="E3" s="476" t="n">
        <v>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8.75" hidden="false" customHeight="true" outlineLevel="0" collapsed="false">
      <c r="A4" s="209" t="s">
        <v>122</v>
      </c>
      <c r="B4" s="493" t="n">
        <v>0</v>
      </c>
      <c r="C4" s="493" t="n">
        <v>0</v>
      </c>
      <c r="D4" s="493" t="n">
        <v>0</v>
      </c>
      <c r="E4" s="260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8.75" hidden="false" customHeight="true" outlineLevel="0" collapsed="false">
      <c r="A5" s="209" t="s">
        <v>123</v>
      </c>
      <c r="B5" s="475" t="n">
        <v>0</v>
      </c>
      <c r="C5" s="475" t="n">
        <v>0</v>
      </c>
      <c r="D5" s="475" t="n">
        <v>0</v>
      </c>
      <c r="E5" s="273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8.75" hidden="false" customHeight="true" outlineLevel="0" collapsed="false">
      <c r="A6" s="209" t="s">
        <v>124</v>
      </c>
      <c r="B6" s="79" t="n">
        <f aca="false">(B3*B4/100)+B5</f>
        <v>0</v>
      </c>
      <c r="C6" s="79" t="n">
        <f aca="false">(C3*C4/100)+C5</f>
        <v>0</v>
      </c>
      <c r="D6" s="79" t="n">
        <f aca="false">(D3*D4/100)+D5</f>
        <v>0</v>
      </c>
      <c r="E6" s="273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8.75" hidden="false" customHeight="true" outlineLevel="0" collapsed="false">
      <c r="A7" s="209" t="s">
        <v>125</v>
      </c>
      <c r="B7" s="79" t="n">
        <f aca="false">B3-B6</f>
        <v>46854.17</v>
      </c>
      <c r="C7" s="79" t="n">
        <f aca="false">C3-C6</f>
        <v>0</v>
      </c>
      <c r="D7" s="79" t="n">
        <f aca="false">D3-D6</f>
        <v>833.33</v>
      </c>
      <c r="E7" s="273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8.75" hidden="false" customHeight="true" outlineLevel="0" collapsed="false">
      <c r="A8" s="209"/>
      <c r="B8" s="207"/>
      <c r="C8" s="207"/>
      <c r="D8" s="207"/>
      <c r="E8" s="210"/>
      <c r="F8" s="19"/>
      <c r="G8" s="19"/>
      <c r="H8" s="19"/>
      <c r="I8" s="26" t="s">
        <v>3</v>
      </c>
      <c r="J8" s="27" t="n">
        <f aca="false">E13+E14</f>
        <v>640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8.75" hidden="false" customHeight="true" outlineLevel="0" collapsed="false">
      <c r="A9" s="402" t="s">
        <v>133</v>
      </c>
      <c r="B9" s="402"/>
      <c r="C9" s="402"/>
      <c r="D9" s="402"/>
      <c r="E9" s="494" t="n">
        <f aca="false">B7+C7+D7+E3</f>
        <v>47687.5</v>
      </c>
      <c r="F9" s="19"/>
      <c r="G9" s="19"/>
      <c r="H9" s="19"/>
      <c r="I9" s="27"/>
      <c r="J9" s="27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8.75" hidden="false" customHeight="true" outlineLevel="0" collapsed="false">
      <c r="A10" s="404" t="s">
        <v>134</v>
      </c>
      <c r="B10" s="404"/>
      <c r="C10" s="404"/>
      <c r="D10" s="404"/>
      <c r="E10" s="476" t="n">
        <v>550</v>
      </c>
      <c r="F10" s="19"/>
      <c r="G10" s="19"/>
      <c r="H10" s="19"/>
      <c r="I10" s="32" t="s">
        <v>1</v>
      </c>
      <c r="J10" s="27" t="n">
        <f aca="false">E15-E11-J8</f>
        <v>48237.5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8.75" hidden="false" customHeight="true" outlineLevel="0" collapsed="false">
      <c r="A11" s="404" t="s">
        <v>135</v>
      </c>
      <c r="B11" s="404"/>
      <c r="C11" s="404"/>
      <c r="D11" s="404"/>
      <c r="E11" s="273" t="n">
        <f aca="false">(E9+E10)*20%</f>
        <v>9647.5</v>
      </c>
      <c r="F11" s="19"/>
      <c r="G11" s="19"/>
      <c r="H11" s="19"/>
      <c r="I11" s="27"/>
      <c r="J11" s="27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8.75" hidden="false" customHeight="true" outlineLevel="0" collapsed="false">
      <c r="A12" s="404" t="s">
        <v>136</v>
      </c>
      <c r="B12" s="404"/>
      <c r="C12" s="404"/>
      <c r="D12" s="404"/>
      <c r="E12" s="476" t="n"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8.75" hidden="false" customHeight="true" outlineLevel="0" collapsed="false">
      <c r="A13" s="404" t="s">
        <v>137</v>
      </c>
      <c r="B13" s="404"/>
      <c r="C13" s="404"/>
      <c r="D13" s="404"/>
      <c r="E13" s="476" t="n">
        <v>585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8.75" hidden="false" customHeight="true" outlineLevel="0" collapsed="false">
      <c r="A14" s="404" t="s">
        <v>138</v>
      </c>
      <c r="B14" s="404"/>
      <c r="C14" s="404"/>
      <c r="D14" s="404"/>
      <c r="E14" s="476" t="n">
        <v>55</v>
      </c>
      <c r="F14" s="19"/>
      <c r="G14" s="19" t="s">
        <v>13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8.75" hidden="false" customHeight="true" outlineLevel="0" collapsed="false">
      <c r="A15" s="404" t="s">
        <v>139</v>
      </c>
      <c r="B15" s="404"/>
      <c r="C15" s="404"/>
      <c r="D15" s="404"/>
      <c r="E15" s="495" t="n">
        <f aca="false">(E9+E10+E13+E14+E11)-E12</f>
        <v>58525</v>
      </c>
      <c r="F15" s="19"/>
      <c r="G15" s="205" t="n">
        <f aca="false">E15</f>
        <v>58525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8.75" hidden="false" customHeight="true" outlineLevel="0" collapsed="false">
      <c r="A16" s="404" t="s">
        <v>140</v>
      </c>
      <c r="B16" s="404"/>
      <c r="C16" s="404"/>
      <c r="D16" s="404"/>
      <c r="E16" s="476" t="n">
        <v>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6" t="s">
        <v>15</v>
      </c>
      <c r="Z16" s="19"/>
    </row>
    <row r="17" customFormat="false" ht="18.75" hidden="false" customHeight="true" outlineLevel="0" collapsed="false">
      <c r="A17" s="349" t="s">
        <v>141</v>
      </c>
      <c r="B17" s="349"/>
      <c r="C17" s="349"/>
      <c r="D17" s="349"/>
      <c r="E17" s="210"/>
      <c r="F17" s="19"/>
      <c r="G17" s="19" t="s">
        <v>16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6" t="s">
        <v>17</v>
      </c>
      <c r="Z17" s="19"/>
    </row>
    <row r="18" customFormat="false" ht="18.75" hidden="false" customHeight="true" outlineLevel="0" collapsed="false">
      <c r="A18" s="405" t="s">
        <v>15</v>
      </c>
      <c r="B18" s="406" t="s">
        <v>142</v>
      </c>
      <c r="C18" s="406"/>
      <c r="D18" s="406"/>
      <c r="E18" s="479" t="n">
        <v>0</v>
      </c>
      <c r="F18" s="19"/>
      <c r="G18" s="205" t="n">
        <f aca="false">(B3+C3+D3+E3+E10)*1.2</f>
        <v>57885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6" t="s">
        <v>18</v>
      </c>
      <c r="Z18" s="19"/>
    </row>
    <row r="19" customFormat="false" ht="18.75" hidden="false" customHeight="true" outlineLevel="0" collapsed="false">
      <c r="A19" s="405" t="s">
        <v>17</v>
      </c>
      <c r="B19" s="406" t="s">
        <v>142</v>
      </c>
      <c r="C19" s="406"/>
      <c r="D19" s="406"/>
      <c r="E19" s="479" t="n"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 t="s">
        <v>9</v>
      </c>
    </row>
    <row r="20" customFormat="false" ht="18.75" hidden="false" customHeight="true" outlineLevel="0" collapsed="false">
      <c r="A20" s="405" t="s">
        <v>18</v>
      </c>
      <c r="B20" s="406" t="s">
        <v>142</v>
      </c>
      <c r="C20" s="406"/>
      <c r="D20" s="406"/>
      <c r="E20" s="479" t="n"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 t="s">
        <v>10</v>
      </c>
    </row>
    <row r="21" customFormat="false" ht="18.75" hidden="false" customHeight="true" outlineLevel="0" collapsed="false">
      <c r="A21" s="407" t="s">
        <v>143</v>
      </c>
      <c r="B21" s="407"/>
      <c r="C21" s="407"/>
      <c r="D21" s="407"/>
      <c r="E21" s="480" t="n">
        <f aca="false">E15-((E18*1.2)+(E19*1.2)+(E20*1.2)+(E16*1.2))</f>
        <v>58525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8.75" hidden="false" customHeight="true" outlineLevel="0" collapsed="false">
      <c r="A22" s="207"/>
      <c r="B22" s="207"/>
      <c r="C22" s="207"/>
      <c r="D22" s="207"/>
      <c r="E22" s="207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7.35" hidden="false" customHeight="false" outlineLevel="0" collapsed="false">
      <c r="A23" s="207"/>
      <c r="B23" s="207"/>
      <c r="C23" s="207"/>
      <c r="D23" s="207"/>
      <c r="E23" s="207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56.7" hidden="false" customHeight="true" outlineLevel="0" collapsed="false">
      <c r="A24" s="208" t="s">
        <v>208</v>
      </c>
      <c r="B24" s="208"/>
      <c r="C24" s="208"/>
      <c r="D24" s="208"/>
      <c r="E24" s="20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8.75" hidden="false" customHeight="true" outlineLevel="0" collapsed="false">
      <c r="A25" s="209"/>
      <c r="B25" s="207"/>
      <c r="C25" s="207"/>
      <c r="D25" s="207"/>
      <c r="E25" s="21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8.75" hidden="false" customHeight="true" outlineLevel="0" collapsed="false">
      <c r="A26" s="211" t="s">
        <v>209</v>
      </c>
      <c r="B26" s="211"/>
      <c r="C26" s="211"/>
      <c r="D26" s="211"/>
      <c r="E26" s="211"/>
      <c r="F26" s="19"/>
      <c r="G26" s="212"/>
      <c r="H26" s="212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8.75" hidden="false" customHeight="true" outlineLevel="0" collapsed="false">
      <c r="A27" s="209"/>
      <c r="B27" s="207"/>
      <c r="C27" s="207"/>
      <c r="D27" s="207"/>
      <c r="E27" s="210"/>
      <c r="F27" s="19"/>
      <c r="G27" s="213" t="s">
        <v>46</v>
      </c>
      <c r="H27" s="213" t="n">
        <f aca="false">IF(A32=Y103,1,IF(A32=Y104,1,IF(A32=Y105,3,IF(A32=Y106,6,IF(A32=Y107,9,IF(A32=Y108,12,IF(A32=Y109,3,IF(A32=Y110,6,IF(A32=Y111,9,0)))))))))</f>
        <v>0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8.75" hidden="false" customHeight="true" outlineLevel="0" collapsed="false">
      <c r="A28" s="214" t="s">
        <v>210</v>
      </c>
      <c r="B28" s="215" t="s">
        <v>211</v>
      </c>
      <c r="C28" s="207"/>
      <c r="D28" s="215" t="s">
        <v>212</v>
      </c>
      <c r="E28" s="210"/>
      <c r="F28" s="19"/>
      <c r="G28" s="213" t="s">
        <v>60</v>
      </c>
      <c r="H28" s="213" t="n">
        <f aca="false">IF(A32=Y103,H29-H37,IF(A32=Y104,H29-H37,IF(A32=Y105,H29-1,IF(A32=Y106,H29-1,IF(A32=Y107,H29-1,IF(A32=Y108,H29-1,IF(A32=Y109,H29-H37,IF(A32=Y110,H29-H37,IF(A32=Y111,H29-H37,0)))))))))</f>
        <v>0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8.75" hidden="false" customHeight="true" outlineLevel="0" collapsed="false">
      <c r="A29" s="216" t="s">
        <v>213</v>
      </c>
      <c r="B29" s="217" t="n">
        <v>12345</v>
      </c>
      <c r="C29" s="217"/>
      <c r="D29" s="218" t="n">
        <f aca="true">TODAY()+1</f>
        <v>45008</v>
      </c>
      <c r="E29" s="218"/>
      <c r="F29" s="19"/>
      <c r="G29" s="212" t="s">
        <v>214</v>
      </c>
      <c r="H29" s="212" t="n">
        <f aca="false">B35</f>
        <v>12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8.75" hidden="false" customHeight="true" outlineLevel="0" collapsed="false">
      <c r="A30" s="209"/>
      <c r="B30" s="21"/>
      <c r="C30" s="21"/>
      <c r="D30" s="207"/>
      <c r="E30" s="210"/>
      <c r="F30" s="19"/>
      <c r="G30" s="212" t="s">
        <v>31</v>
      </c>
      <c r="H30" s="212" t="n">
        <f aca="false">D35</f>
        <v>5000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8.75" hidden="false" customHeight="true" outlineLevel="0" collapsed="false">
      <c r="A31" s="214" t="s">
        <v>23</v>
      </c>
      <c r="B31" s="215" t="s">
        <v>215</v>
      </c>
      <c r="C31" s="207"/>
      <c r="D31" s="215" t="s">
        <v>216</v>
      </c>
      <c r="E31" s="210"/>
      <c r="F31" s="19"/>
      <c r="G31" s="212" t="s">
        <v>217</v>
      </c>
      <c r="H31" s="219" t="str">
        <f aca="false">D38</f>
        <v>500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8.75" hidden="false" customHeight="true" outlineLevel="0" collapsed="false">
      <c r="A32" s="216" t="s">
        <v>100</v>
      </c>
      <c r="B32" s="220" t="str">
        <f aca="false">IF(A32=Z103,D38,IF(A32=Z104,D38,IF(A32=Z105,(D38*3),IF(A32=Z106,(D38*6),IF(A32=Z107,(D38*9),IF(A32=Z108,(D38*12),IF(A32=Z109,D38,IF(A32=Z110,D38,IF(A32=Z111,D38,0)))))))))</f>
        <v>500</v>
      </c>
      <c r="C32" s="220"/>
      <c r="D32" s="220" t="n">
        <f aca="false">IF(A32=Z103,A41,IF(A32=Z104,A41,IF(A32=Z105,(A41*3),IF(A32=Z106,(A41*6),IF(A32=Z107,(A41*9),IF(A32=Z108,(A41*12),IF(A32=Z109,A41,IF(A32=Z110,A41,IF(A32=Z111,A41,0)))))))))</f>
        <v>0</v>
      </c>
      <c r="E32" s="220"/>
      <c r="F32" s="19"/>
      <c r="G32" s="221" t="s">
        <v>218</v>
      </c>
      <c r="H32" s="219" t="n">
        <f aca="false">A41</f>
        <v>0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18.75" hidden="false" customHeight="true" outlineLevel="0" collapsed="false">
      <c r="A33" s="222"/>
      <c r="B33" s="174"/>
      <c r="C33" s="223"/>
      <c r="D33" s="176"/>
      <c r="E33" s="210"/>
      <c r="F33" s="19"/>
      <c r="G33" s="221" t="s">
        <v>219</v>
      </c>
      <c r="H33" s="219" t="n">
        <f aca="false">D41</f>
        <v>6000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8.75" hidden="false" customHeight="true" outlineLevel="0" collapsed="false">
      <c r="A34" s="222" t="s">
        <v>220</v>
      </c>
      <c r="B34" s="224" t="s">
        <v>221</v>
      </c>
      <c r="C34" s="223"/>
      <c r="D34" s="64" t="s">
        <v>175</v>
      </c>
      <c r="E34" s="210"/>
      <c r="F34" s="19"/>
      <c r="G34" s="221" t="s">
        <v>222</v>
      </c>
      <c r="H34" s="219" t="str">
        <f aca="false">A44</f>
        <v>12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8.75" hidden="false" customHeight="true" outlineLevel="0" collapsed="false">
      <c r="A35" s="220" t="n">
        <f aca="false">B32+D32</f>
        <v>500</v>
      </c>
      <c r="B35" s="217" t="n">
        <v>12</v>
      </c>
      <c r="C35" s="217"/>
      <c r="D35" s="217" t="n">
        <v>5000</v>
      </c>
      <c r="E35" s="217"/>
      <c r="F35" s="19"/>
      <c r="G35" s="225"/>
      <c r="H35" s="226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8.75" hidden="false" customHeight="true" outlineLevel="0" collapsed="false">
      <c r="A36" s="209"/>
      <c r="B36" s="207"/>
      <c r="C36" s="207"/>
      <c r="D36" s="207"/>
      <c r="E36" s="210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8.75" hidden="false" customHeight="true" outlineLevel="0" collapsed="false">
      <c r="A37" s="214" t="s">
        <v>223</v>
      </c>
      <c r="B37" s="215" t="s">
        <v>224</v>
      </c>
      <c r="C37" s="207"/>
      <c r="D37" s="215" t="s">
        <v>225</v>
      </c>
      <c r="E37" s="210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8.75" hidden="false" customHeight="true" outlineLevel="0" collapsed="false">
      <c r="A38" s="227" t="n">
        <f aca="false">(B35/12)*D35</f>
        <v>5000</v>
      </c>
      <c r="B38" s="217" t="s">
        <v>10</v>
      </c>
      <c r="C38" s="217"/>
      <c r="D38" s="60" t="s">
        <v>226</v>
      </c>
      <c r="E38" s="60"/>
      <c r="F38" s="19"/>
      <c r="G38" s="19"/>
      <c r="H38" s="19"/>
      <c r="I38" s="22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8.75" hidden="false" customHeight="true" outlineLevel="0" collapsed="false">
      <c r="A39" s="229"/>
      <c r="B39" s="223"/>
      <c r="C39" s="223"/>
      <c r="D39" s="207"/>
      <c r="E39" s="210"/>
      <c r="F39" s="19"/>
      <c r="G39" s="19"/>
      <c r="H39" s="228"/>
      <c r="I39" s="228"/>
      <c r="J39" s="22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8.75" hidden="false" customHeight="true" outlineLevel="0" collapsed="false">
      <c r="A40" s="230" t="s">
        <v>227</v>
      </c>
      <c r="B40" s="231" t="s">
        <v>93</v>
      </c>
      <c r="C40" s="223"/>
      <c r="D40" s="232" t="s">
        <v>228</v>
      </c>
      <c r="E40" s="210"/>
      <c r="F40" s="19"/>
      <c r="G40" s="19"/>
      <c r="H40" s="228"/>
      <c r="I40" s="228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8.75" hidden="false" customHeight="true" outlineLevel="0" collapsed="false">
      <c r="A41" s="60" t="n">
        <v>0</v>
      </c>
      <c r="B41" s="233" t="str">
        <f aca="false">IF(B38="YES", D38+A41, D38)</f>
        <v>500</v>
      </c>
      <c r="C41" s="233"/>
      <c r="D41" s="234" t="n">
        <v>6000</v>
      </c>
      <c r="E41" s="234"/>
      <c r="F41" s="19"/>
      <c r="G41" s="19"/>
      <c r="H41" s="235"/>
      <c r="I41" s="22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8.75" hidden="false" customHeight="true" outlineLevel="0" collapsed="false">
      <c r="A42" s="229"/>
      <c r="B42" s="223"/>
      <c r="C42" s="223"/>
      <c r="D42" s="223"/>
      <c r="E42" s="236"/>
      <c r="F42" s="19"/>
      <c r="G42" s="237" t="s">
        <v>42</v>
      </c>
      <c r="H42" s="237"/>
      <c r="I42" s="22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8.75" hidden="false" customHeight="true" outlineLevel="0" collapsed="false">
      <c r="A43" s="230" t="s">
        <v>111</v>
      </c>
      <c r="B43" s="231" t="s">
        <v>229</v>
      </c>
      <c r="C43" s="223"/>
      <c r="D43" s="231" t="s">
        <v>230</v>
      </c>
      <c r="E43" s="236"/>
      <c r="F43" s="19"/>
      <c r="G43" s="19" t="s">
        <v>231</v>
      </c>
      <c r="H43" s="228" t="n">
        <f aca="false">((((D38*(B35-1))+B32)/B35) + (A44/B35))</f>
        <v>501</v>
      </c>
      <c r="I43" s="22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8.75" hidden="false" customHeight="true" outlineLevel="0" collapsed="false">
      <c r="A44" s="60" t="s">
        <v>232</v>
      </c>
      <c r="B44" s="234" t="n">
        <v>0</v>
      </c>
      <c r="C44" s="234"/>
      <c r="D44" s="234" t="n">
        <v>0</v>
      </c>
      <c r="E44" s="234"/>
      <c r="F44" s="19"/>
      <c r="G44" s="19" t="s">
        <v>233</v>
      </c>
      <c r="H44" s="228" t="n">
        <f aca="false">H32</f>
        <v>0</v>
      </c>
      <c r="I44" s="238" t="n">
        <f aca="false">((A41*(B35-1))+D32)/B35</f>
        <v>0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8.75" hidden="false" customHeight="true" outlineLevel="0" collapsed="false">
      <c r="A45" s="229"/>
      <c r="B45" s="223"/>
      <c r="C45" s="223"/>
      <c r="D45" s="223"/>
      <c r="E45" s="236"/>
      <c r="F45" s="19"/>
      <c r="G45" s="19" t="s">
        <v>234</v>
      </c>
      <c r="H45" s="239" t="n">
        <f aca="false">H43+H44</f>
        <v>501</v>
      </c>
      <c r="I45" s="22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8.75" hidden="false" customHeight="true" outlineLevel="0" collapsed="false">
      <c r="A46" s="230" t="s">
        <v>235</v>
      </c>
      <c r="B46" s="231" t="s">
        <v>236</v>
      </c>
      <c r="C46" s="223"/>
      <c r="D46" s="231" t="s">
        <v>237</v>
      </c>
      <c r="E46" s="236"/>
      <c r="F46" s="19"/>
      <c r="G46" s="19" t="s">
        <v>238</v>
      </c>
      <c r="H46" s="228" t="n">
        <f aca="false">H43</f>
        <v>501</v>
      </c>
      <c r="I46" s="22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8.75" hidden="false" customHeight="true" outlineLevel="0" collapsed="false">
      <c r="A47" s="240" t="n">
        <v>0</v>
      </c>
      <c r="B47" s="241" t="n">
        <v>0</v>
      </c>
      <c r="C47" s="241"/>
      <c r="D47" s="234" t="n">
        <v>0</v>
      </c>
      <c r="E47" s="234"/>
      <c r="F47" s="19"/>
      <c r="G47" s="19"/>
      <c r="H47" s="228"/>
      <c r="I47" s="22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8.75" hidden="false" customHeight="true" outlineLevel="0" collapsed="false">
      <c r="A48" s="229"/>
      <c r="B48" s="223"/>
      <c r="C48" s="223"/>
      <c r="D48" s="223"/>
      <c r="E48" s="236"/>
      <c r="F48" s="19"/>
      <c r="G48" s="19"/>
      <c r="H48" s="228"/>
      <c r="I48" s="22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8.75" hidden="false" customHeight="true" outlineLevel="0" collapsed="false">
      <c r="A49" s="229"/>
      <c r="B49" s="223"/>
      <c r="C49" s="223"/>
      <c r="D49" s="223"/>
      <c r="E49" s="236"/>
      <c r="F49" s="19"/>
      <c r="G49" s="19"/>
      <c r="H49" s="228"/>
      <c r="I49" s="22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8.75" hidden="false" customHeight="true" outlineLevel="0" collapsed="false">
      <c r="B50" s="223"/>
      <c r="C50" s="223"/>
      <c r="D50" s="223"/>
      <c r="E50" s="236"/>
      <c r="F50" s="19"/>
      <c r="G50" s="19"/>
      <c r="H50" s="228"/>
      <c r="I50" s="22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8.75" hidden="false" customHeight="true" outlineLevel="0" collapsed="false">
      <c r="A51" s="229"/>
      <c r="B51" s="223"/>
      <c r="C51" s="223"/>
      <c r="D51" s="223"/>
      <c r="E51" s="236"/>
      <c r="F51" s="19"/>
      <c r="G51" s="19"/>
      <c r="H51" s="228"/>
      <c r="I51" s="22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8.75" hidden="false" customHeight="true" outlineLevel="0" collapsed="false">
      <c r="A52" s="242" t="s">
        <v>239</v>
      </c>
      <c r="B52" s="223"/>
      <c r="C52" s="223"/>
      <c r="D52" s="223"/>
      <c r="E52" s="236"/>
      <c r="F52" s="19"/>
      <c r="G52" s="19"/>
      <c r="H52" s="228"/>
      <c r="I52" s="22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8.75" hidden="false" customHeight="true" outlineLevel="0" collapsed="false">
      <c r="A53" s="229"/>
      <c r="B53" s="223"/>
      <c r="C53" s="223"/>
      <c r="D53" s="223"/>
      <c r="E53" s="236"/>
      <c r="F53" s="19"/>
      <c r="G53" s="19"/>
      <c r="H53" s="228"/>
      <c r="I53" s="22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8.75" hidden="false" customHeight="true" outlineLevel="0" collapsed="false">
      <c r="A54" s="243" t="s">
        <v>239</v>
      </c>
      <c r="B54" s="207"/>
      <c r="C54" s="207"/>
      <c r="D54" s="244"/>
      <c r="E54" s="245"/>
      <c r="F54" s="19"/>
      <c r="G54" s="19"/>
      <c r="H54" s="228"/>
      <c r="I54" s="22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8.75" hidden="false" customHeight="true" outlineLevel="0" collapsed="false">
      <c r="A55" s="209"/>
      <c r="B55" s="246"/>
      <c r="C55" s="246"/>
      <c r="D55" s="207"/>
      <c r="E55" s="210"/>
      <c r="F55" s="19"/>
      <c r="G55" s="19"/>
      <c r="H55" s="247"/>
      <c r="I55" s="22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8.75" hidden="false" customHeight="true" outlineLevel="0" collapsed="false">
      <c r="A56" s="248" t="s">
        <v>28</v>
      </c>
      <c r="B56" s="249" t="s">
        <v>33</v>
      </c>
      <c r="C56" s="249"/>
      <c r="D56" s="207"/>
      <c r="E56" s="210"/>
      <c r="F56" s="19"/>
      <c r="G56" s="19"/>
      <c r="H56" s="19"/>
      <c r="I56" s="22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8.75" hidden="false" customHeight="true" outlineLevel="0" collapsed="false">
      <c r="A57" s="248"/>
      <c r="B57" s="250" t="n">
        <f aca="false">H30</f>
        <v>5000</v>
      </c>
      <c r="C57" s="250"/>
      <c r="D57" s="207"/>
      <c r="E57" s="210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8.75" hidden="false" customHeight="true" outlineLevel="0" collapsed="false">
      <c r="A58" s="251" t="n">
        <f aca="false">H29</f>
        <v>12</v>
      </c>
      <c r="B58" s="92" t="n">
        <f aca="false">H45</f>
        <v>501</v>
      </c>
      <c r="C58" s="92"/>
      <c r="D58" s="207"/>
      <c r="E58" s="210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8.75" hidden="false" customHeight="true" outlineLevel="0" collapsed="false">
      <c r="A59" s="209"/>
      <c r="B59" s="207"/>
      <c r="C59" s="207"/>
      <c r="D59" s="207"/>
      <c r="E59" s="210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8.75" hidden="false" customHeight="true" outlineLevel="0" collapsed="false">
      <c r="A60" s="252"/>
      <c r="B60" s="253"/>
      <c r="C60" s="253"/>
      <c r="D60" s="253"/>
      <c r="E60" s="254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8.75" hidden="false" customHeight="true" outlineLevel="0" collapsed="false">
      <c r="A61" s="207"/>
      <c r="B61" s="207"/>
      <c r="C61" s="207"/>
      <c r="D61" s="207"/>
      <c r="E61" s="207"/>
      <c r="F61" s="19"/>
      <c r="G61" s="207"/>
      <c r="H61" s="207"/>
      <c r="I61" s="207"/>
      <c r="J61" s="207"/>
      <c r="K61" s="207"/>
      <c r="L61" s="19"/>
      <c r="M61" s="207"/>
      <c r="N61" s="207"/>
      <c r="O61" s="207"/>
      <c r="P61" s="207"/>
      <c r="Q61" s="207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8.75" hidden="false" customHeight="true" outlineLevel="0" collapsed="false">
      <c r="A62" s="255"/>
      <c r="B62" s="256"/>
      <c r="C62" s="256"/>
      <c r="D62" s="256"/>
      <c r="E62" s="257"/>
      <c r="F62" s="19"/>
      <c r="G62" s="255"/>
      <c r="H62" s="256"/>
      <c r="I62" s="256"/>
      <c r="J62" s="256"/>
      <c r="K62" s="257"/>
      <c r="L62" s="19"/>
      <c r="M62" s="255"/>
      <c r="N62" s="256"/>
      <c r="O62" s="256"/>
      <c r="P62" s="256"/>
      <c r="Q62" s="257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8.75" hidden="false" customHeight="true" outlineLevel="0" collapsed="false">
      <c r="A63" s="209" t="s">
        <v>46</v>
      </c>
      <c r="B63" s="207" t="n">
        <f aca="false">IF(B105=Z103,1,IF(B105=Z104,1,IF(B105=Z105,3,IF(B105=Z106,6,IF(B105=Z107,9,IF(B105=Z108,12,IF(B105=Z109,3,IF(B105=Z110,6,IF(B105=Z111,9,0)))))))))</f>
        <v>9</v>
      </c>
      <c r="C63" s="207"/>
      <c r="D63" s="207"/>
      <c r="E63" s="210"/>
      <c r="F63" s="19"/>
      <c r="G63" s="209" t="s">
        <v>46</v>
      </c>
      <c r="H63" s="207" t="n">
        <f aca="false">IF(H105=Y103,1,IF(H105=Y104,1,IF(H105=Y105,3,IF(H105=Y106,6,IF(H105=Y107,9,IF(H105=Y108,12,IF(H105=Y109,3,IF(H105=Y110,6,IF(H105=Y111,9,0)))))))))</f>
        <v>0</v>
      </c>
      <c r="I63" s="207"/>
      <c r="J63" s="207"/>
      <c r="K63" s="210"/>
      <c r="L63" s="19"/>
      <c r="M63" s="209" t="s">
        <v>46</v>
      </c>
      <c r="N63" s="207" t="n">
        <f aca="false">IF(N105=Y103,1,IF(N105=Y104,1,IF(N105=Y105,3,IF(N105=Y106,6,IF(N105=Y107,9,IF(N105=Y108,12,IF(N105=Y109,3,IF(N105=Y110,6,IF(N105=Y111,9,0)))))))))</f>
        <v>0</v>
      </c>
      <c r="O63" s="207"/>
      <c r="P63" s="207"/>
      <c r="Q63" s="210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8.75" hidden="false" customHeight="true" outlineLevel="0" collapsed="false">
      <c r="A64" s="209" t="s">
        <v>60</v>
      </c>
      <c r="B64" s="207" t="n">
        <f aca="false">IF(B105=Z103,H29-B63,IF(B105=Z104,H29-B63,IF(B105=Z105,H29-1,IF(B105=Z106,H29-1,IF(B105=Z107,H29-1,IF(B105=Z108,H29-1,IF(B105=Z109,H29-B63,IF(B105=Z110,H29-B63,IF(B105=Z111,H29-B63,0)))))))))</f>
        <v>3</v>
      </c>
      <c r="C64" s="207"/>
      <c r="D64" s="207"/>
      <c r="E64" s="210"/>
      <c r="F64" s="19"/>
      <c r="G64" s="209" t="s">
        <v>60</v>
      </c>
      <c r="H64" s="207" t="n">
        <f aca="false">IF(H105=Y103,H29-H63,IF(H105=Y104,H29-H63,IF(H105=Y105,H29-1,IF(H105=Y106,H29-1,IF(H105=Y107,H29-1,IF(H105=Y108,H29-1,IF(H105=Y109,H29-H63,IF(H105=Y110,H29-H63,IF(H105=Y111,H29-H63,0)))))))))</f>
        <v>0</v>
      </c>
      <c r="I64" s="207"/>
      <c r="J64" s="207"/>
      <c r="K64" s="210"/>
      <c r="L64" s="19"/>
      <c r="M64" s="209" t="s">
        <v>60</v>
      </c>
      <c r="N64" s="207" t="n">
        <f aca="false">IF(N105=Y103,H29-N63,IF(N105=Y104,H29-N63,IF(N105=Y105,H29-1,IF(N105=Y106,H29-1,IF(N105=Y107,H29-1,IF(N105=Y108,H29-1,IF(N105=Y109,H29-N63,IF(N105=Y110,H29-N63,IF(N105=Y111,H29-N63,0)))))))))</f>
        <v>0</v>
      </c>
      <c r="O64" s="207"/>
      <c r="P64" s="207"/>
      <c r="Q64" s="210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8.75" hidden="false" customHeight="true" outlineLevel="0" collapsed="false">
      <c r="A65" s="209"/>
      <c r="C65" s="207"/>
      <c r="D65" s="207"/>
      <c r="E65" s="210"/>
      <c r="F65" s="19"/>
      <c r="G65" s="209"/>
      <c r="H65" s="207"/>
      <c r="I65" s="207"/>
      <c r="J65" s="207"/>
      <c r="K65" s="210"/>
      <c r="L65" s="19"/>
      <c r="M65" s="209"/>
      <c r="N65" s="207"/>
      <c r="O65" s="207"/>
      <c r="P65" s="207"/>
      <c r="Q65" s="210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8.75" hidden="false" customHeight="true" outlineLevel="0" collapsed="false">
      <c r="A66" s="209"/>
      <c r="B66" s="207"/>
      <c r="C66" s="207"/>
      <c r="D66" s="207"/>
      <c r="E66" s="210"/>
      <c r="F66" s="19"/>
      <c r="G66" s="209"/>
      <c r="H66" s="207"/>
      <c r="I66" s="207"/>
      <c r="J66" s="207"/>
      <c r="K66" s="210"/>
      <c r="L66" s="19"/>
      <c r="M66" s="209"/>
      <c r="N66" s="207"/>
      <c r="O66" s="207"/>
      <c r="P66" s="207"/>
      <c r="Q66" s="210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8.75" hidden="false" customHeight="true" outlineLevel="0" collapsed="false">
      <c r="A67" s="209" t="s">
        <v>16</v>
      </c>
      <c r="B67" s="79" t="n">
        <f aca="false">G18</f>
        <v>57885</v>
      </c>
      <c r="C67" s="207"/>
      <c r="D67" s="207"/>
      <c r="E67" s="210"/>
      <c r="F67" s="19"/>
      <c r="G67" s="209" t="s">
        <v>16</v>
      </c>
      <c r="H67" s="79" t="n">
        <f aca="false">G18</f>
        <v>57885</v>
      </c>
      <c r="I67" s="207"/>
      <c r="J67" s="207"/>
      <c r="K67" s="210"/>
      <c r="L67" s="19"/>
      <c r="M67" s="209" t="s">
        <v>16</v>
      </c>
      <c r="N67" s="79" t="n">
        <f aca="false">G18</f>
        <v>57885</v>
      </c>
      <c r="O67" s="207"/>
      <c r="P67" s="207"/>
      <c r="Q67" s="210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8.75" hidden="false" customHeight="true" outlineLevel="0" collapsed="false">
      <c r="A68" s="258" t="s">
        <v>241</v>
      </c>
      <c r="B68" s="259" t="n">
        <v>0.07</v>
      </c>
      <c r="C68" s="207"/>
      <c r="D68" s="207"/>
      <c r="E68" s="210"/>
      <c r="F68" s="19"/>
      <c r="G68" s="258" t="s">
        <v>241</v>
      </c>
      <c r="H68" s="259" t="n">
        <v>0.07</v>
      </c>
      <c r="I68" s="207"/>
      <c r="J68" s="207"/>
      <c r="K68" s="210"/>
      <c r="L68" s="19"/>
      <c r="M68" s="258" t="s">
        <v>241</v>
      </c>
      <c r="N68" s="259" t="n">
        <v>0.07</v>
      </c>
      <c r="O68" s="207"/>
      <c r="P68" s="207"/>
      <c r="Q68" s="210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8.75" hidden="false" customHeight="true" outlineLevel="0" collapsed="false">
      <c r="A69" s="209" t="s">
        <v>242</v>
      </c>
      <c r="B69" s="260" t="n">
        <f aca="false">B68+(B68*0.25*(H29/12-1))</f>
        <v>0.07</v>
      </c>
      <c r="C69" s="207"/>
      <c r="D69" s="207"/>
      <c r="E69" s="210"/>
      <c r="F69" s="19"/>
      <c r="G69" s="209" t="s">
        <v>242</v>
      </c>
      <c r="H69" s="260" t="n">
        <f aca="false">H68+(H68*0.25*(H29/12-1))</f>
        <v>0.07</v>
      </c>
      <c r="I69" s="207"/>
      <c r="J69" s="207"/>
      <c r="K69" s="210"/>
      <c r="L69" s="19"/>
      <c r="M69" s="209" t="s">
        <v>242</v>
      </c>
      <c r="N69" s="260" t="n">
        <f aca="false">N68+(N68*0.25*(H29/12-1))</f>
        <v>0.07</v>
      </c>
      <c r="O69" s="207"/>
      <c r="P69" s="207"/>
      <c r="Q69" s="210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18.75" hidden="false" customHeight="true" outlineLevel="0" collapsed="false">
      <c r="A70" s="252" t="s">
        <v>65</v>
      </c>
      <c r="B70" s="139" t="n">
        <f aca="false">B67*B69</f>
        <v>4051.95</v>
      </c>
      <c r="C70" s="207" t="n">
        <v>10000</v>
      </c>
      <c r="D70" s="79" t="n">
        <f aca="false">B70-A149</f>
        <v>4051.95</v>
      </c>
      <c r="E70" s="210" t="n">
        <f aca="false">D70/12</f>
        <v>337.6625</v>
      </c>
      <c r="F70" s="19"/>
      <c r="G70" s="252" t="s">
        <v>65</v>
      </c>
      <c r="H70" s="139" t="n">
        <f aca="false">H67*H69</f>
        <v>4051.95</v>
      </c>
      <c r="I70" s="207"/>
      <c r="J70" s="79" t="n">
        <f aca="false">H70-G151</f>
        <v>4051.95</v>
      </c>
      <c r="K70" s="210"/>
      <c r="L70" s="19"/>
      <c r="M70" s="252" t="s">
        <v>65</v>
      </c>
      <c r="N70" s="139" t="n">
        <f aca="false">N67*N69</f>
        <v>4051.95</v>
      </c>
      <c r="O70" s="207"/>
      <c r="P70" s="79" t="n">
        <f aca="false">N70-M151</f>
        <v>4051.95</v>
      </c>
      <c r="Q70" s="210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18.75" hidden="false" customHeight="true" outlineLevel="0" collapsed="false">
      <c r="A71" s="258" t="s">
        <v>66</v>
      </c>
      <c r="B71" s="259" t="n">
        <v>0.01</v>
      </c>
      <c r="C71" s="207"/>
      <c r="D71" s="207"/>
      <c r="E71" s="210"/>
      <c r="F71" s="19"/>
      <c r="G71" s="258" t="s">
        <v>66</v>
      </c>
      <c r="H71" s="259" t="n">
        <v>0.005</v>
      </c>
      <c r="I71" s="207"/>
      <c r="J71" s="207"/>
      <c r="K71" s="210"/>
      <c r="L71" s="19"/>
      <c r="M71" s="258" t="s">
        <v>66</v>
      </c>
      <c r="N71" s="259" t="n">
        <v>0.005</v>
      </c>
      <c r="O71" s="207"/>
      <c r="P71" s="207"/>
      <c r="Q71" s="210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8.75" hidden="false" customHeight="true" outlineLevel="0" collapsed="false">
      <c r="A72" s="209" t="s">
        <v>67</v>
      </c>
      <c r="B72" s="260" t="n">
        <f aca="false">B71+(B71*0.5*(H29/12-1))</f>
        <v>0.01</v>
      </c>
      <c r="C72" s="207"/>
      <c r="D72" s="207"/>
      <c r="E72" s="210"/>
      <c r="F72" s="19"/>
      <c r="G72" s="209" t="s">
        <v>67</v>
      </c>
      <c r="H72" s="260" t="n">
        <f aca="false">H71+(H71*0.5*(H29/12-1))</f>
        <v>0.005</v>
      </c>
      <c r="I72" s="207"/>
      <c r="J72" s="207"/>
      <c r="K72" s="210"/>
      <c r="L72" s="19"/>
      <c r="M72" s="209" t="s">
        <v>67</v>
      </c>
      <c r="N72" s="260" t="n">
        <f aca="false">N71+(N71*0.5*(H29/12-1))</f>
        <v>0.005</v>
      </c>
      <c r="O72" s="207"/>
      <c r="P72" s="207"/>
      <c r="Q72" s="210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8.75" hidden="false" customHeight="true" outlineLevel="0" collapsed="false">
      <c r="A73" s="252" t="s">
        <v>68</v>
      </c>
      <c r="B73" s="139" t="n">
        <f aca="false">B67*B72</f>
        <v>578.85</v>
      </c>
      <c r="C73" s="207"/>
      <c r="D73" s="79"/>
      <c r="E73" s="210"/>
      <c r="F73" s="19"/>
      <c r="G73" s="252" t="s">
        <v>68</v>
      </c>
      <c r="H73" s="139" t="n">
        <f aca="false">H67*H72</f>
        <v>289.425</v>
      </c>
      <c r="I73" s="207"/>
      <c r="J73" s="79"/>
      <c r="K73" s="210"/>
      <c r="L73" s="19"/>
      <c r="M73" s="252" t="s">
        <v>68</v>
      </c>
      <c r="N73" s="139" t="n">
        <f aca="false">N67*N72</f>
        <v>289.425</v>
      </c>
      <c r="O73" s="207"/>
      <c r="P73" s="79"/>
      <c r="Q73" s="210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8.75" hidden="false" customHeight="true" outlineLevel="0" collapsed="false">
      <c r="A74" s="258" t="s">
        <v>69</v>
      </c>
      <c r="B74" s="259" t="n">
        <v>0.0075</v>
      </c>
      <c r="C74" s="207"/>
      <c r="D74" s="207"/>
      <c r="E74" s="210"/>
      <c r="F74" s="19"/>
      <c r="G74" s="258" t="s">
        <v>69</v>
      </c>
      <c r="H74" s="259" t="n">
        <v>0.0075</v>
      </c>
      <c r="I74" s="207"/>
      <c r="J74" s="207"/>
      <c r="K74" s="210"/>
      <c r="L74" s="19"/>
      <c r="M74" s="258" t="s">
        <v>69</v>
      </c>
      <c r="N74" s="259" t="n">
        <v>0.0075</v>
      </c>
      <c r="O74" s="207"/>
      <c r="P74" s="207"/>
      <c r="Q74" s="210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8.75" hidden="false" customHeight="true" outlineLevel="0" collapsed="false">
      <c r="A75" s="261" t="s">
        <v>70</v>
      </c>
      <c r="B75" s="262" t="n">
        <v>0.12</v>
      </c>
      <c r="C75" s="207"/>
      <c r="D75" s="207"/>
      <c r="E75" s="210"/>
      <c r="F75" s="19"/>
      <c r="G75" s="261" t="s">
        <v>70</v>
      </c>
      <c r="H75" s="262" t="n">
        <v>0.12</v>
      </c>
      <c r="I75" s="207"/>
      <c r="J75" s="207"/>
      <c r="K75" s="210"/>
      <c r="L75" s="19"/>
      <c r="M75" s="261" t="s">
        <v>70</v>
      </c>
      <c r="N75" s="262" t="n">
        <v>0.12</v>
      </c>
      <c r="O75" s="207"/>
      <c r="P75" s="207"/>
      <c r="Q75" s="210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8.75" hidden="false" customHeight="true" outlineLevel="0" collapsed="false">
      <c r="A76" s="252" t="s">
        <v>71</v>
      </c>
      <c r="B76" s="263" t="n">
        <f aca="false">B74*(1+B75)</f>
        <v>0.0084</v>
      </c>
      <c r="C76" s="207"/>
      <c r="D76" s="207"/>
      <c r="E76" s="210"/>
      <c r="F76" s="19"/>
      <c r="G76" s="252" t="s">
        <v>71</v>
      </c>
      <c r="H76" s="263" t="n">
        <f aca="false">H74*(1+H75)</f>
        <v>0.0084</v>
      </c>
      <c r="I76" s="207"/>
      <c r="J76" s="207"/>
      <c r="K76" s="210"/>
      <c r="L76" s="19"/>
      <c r="M76" s="252" t="s">
        <v>71</v>
      </c>
      <c r="N76" s="263" t="n">
        <f aca="false">N74*(1+N75)</f>
        <v>0.0084</v>
      </c>
      <c r="O76" s="207"/>
      <c r="P76" s="207"/>
      <c r="Q76" s="210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8.75" hidden="false" customHeight="true" outlineLevel="0" collapsed="false">
      <c r="A77" s="258" t="s">
        <v>72</v>
      </c>
      <c r="B77" s="264" t="n">
        <v>200</v>
      </c>
      <c r="C77" s="207"/>
      <c r="D77" s="207"/>
      <c r="E77" s="210"/>
      <c r="F77" s="19"/>
      <c r="G77" s="258" t="s">
        <v>72</v>
      </c>
      <c r="H77" s="264" t="n">
        <v>160</v>
      </c>
      <c r="I77" s="207"/>
      <c r="J77" s="207"/>
      <c r="K77" s="210"/>
      <c r="L77" s="19"/>
      <c r="M77" s="258" t="s">
        <v>72</v>
      </c>
      <c r="N77" s="264" t="n">
        <v>160</v>
      </c>
      <c r="O77" s="207"/>
      <c r="P77" s="207"/>
      <c r="Q77" s="210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8.75" hidden="false" customHeight="true" outlineLevel="0" collapsed="false">
      <c r="A78" s="261" t="s">
        <v>73</v>
      </c>
      <c r="B78" s="265" t="n">
        <v>5</v>
      </c>
      <c r="C78" s="207"/>
      <c r="D78" s="207"/>
      <c r="E78" s="210"/>
      <c r="F78" s="19"/>
      <c r="G78" s="261" t="s">
        <v>73</v>
      </c>
      <c r="H78" s="265" t="n">
        <v>4.5</v>
      </c>
      <c r="I78" s="207"/>
      <c r="J78" s="207"/>
      <c r="K78" s="210"/>
      <c r="L78" s="19"/>
      <c r="M78" s="261" t="s">
        <v>73</v>
      </c>
      <c r="N78" s="265" t="n">
        <v>4.5</v>
      </c>
      <c r="O78" s="207"/>
      <c r="P78" s="207"/>
      <c r="Q78" s="210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8.75" hidden="false" customHeight="true" outlineLevel="0" collapsed="false">
      <c r="A79" s="252" t="s">
        <v>74</v>
      </c>
      <c r="B79" s="139" t="n">
        <f aca="false">B78*H29</f>
        <v>60</v>
      </c>
      <c r="C79" s="207"/>
      <c r="D79" s="79" t="n">
        <f aca="false">B79+B77</f>
        <v>260</v>
      </c>
      <c r="E79" s="266" t="n">
        <f aca="false">D79+D85+D86</f>
        <v>660</v>
      </c>
      <c r="F79" s="19"/>
      <c r="G79" s="252" t="s">
        <v>74</v>
      </c>
      <c r="H79" s="139" t="n">
        <f aca="false">H78*H29</f>
        <v>54</v>
      </c>
      <c r="I79" s="207"/>
      <c r="J79" s="79" t="n">
        <f aca="false">H79+H77</f>
        <v>214</v>
      </c>
      <c r="K79" s="210"/>
      <c r="L79" s="19"/>
      <c r="M79" s="252" t="s">
        <v>74</v>
      </c>
      <c r="N79" s="139" t="n">
        <f aca="false">N78*H29</f>
        <v>54</v>
      </c>
      <c r="O79" s="207"/>
      <c r="P79" s="79" t="n">
        <f aca="false">N79+N77</f>
        <v>214</v>
      </c>
      <c r="Q79" s="210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8.75" hidden="false" customHeight="true" outlineLevel="0" collapsed="false">
      <c r="A80" s="258" t="s">
        <v>243</v>
      </c>
      <c r="B80" s="264" t="n">
        <v>0</v>
      </c>
      <c r="C80" s="207"/>
      <c r="D80" s="207"/>
      <c r="E80" s="266" t="n">
        <f aca="false">E79+D82</f>
        <v>660</v>
      </c>
      <c r="F80" s="19"/>
      <c r="G80" s="258" t="s">
        <v>243</v>
      </c>
      <c r="H80" s="264" t="n">
        <v>150</v>
      </c>
      <c r="I80" s="207"/>
      <c r="J80" s="207"/>
      <c r="K80" s="210"/>
      <c r="L80" s="19"/>
      <c r="M80" s="267" t="s">
        <v>243</v>
      </c>
      <c r="N80" s="268" t="n">
        <v>0</v>
      </c>
      <c r="O80" s="207"/>
      <c r="P80" s="207"/>
      <c r="Q80" s="210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18.75" hidden="false" customHeight="true" outlineLevel="0" collapsed="false">
      <c r="A81" s="261" t="s">
        <v>244</v>
      </c>
      <c r="B81" s="265" t="n">
        <v>0</v>
      </c>
      <c r="C81" s="207"/>
      <c r="D81" s="207"/>
      <c r="E81" s="210" t="n">
        <f aca="false">E80/12</f>
        <v>55</v>
      </c>
      <c r="F81" s="19"/>
      <c r="G81" s="261" t="s">
        <v>244</v>
      </c>
      <c r="H81" s="265" t="n">
        <f aca="false">IF(G18&gt;40000, 325, 0)</f>
        <v>325</v>
      </c>
      <c r="I81" s="207"/>
      <c r="J81" s="207"/>
      <c r="K81" s="210"/>
      <c r="L81" s="19"/>
      <c r="M81" s="269" t="s">
        <v>244</v>
      </c>
      <c r="N81" s="270" t="n">
        <v>0</v>
      </c>
      <c r="O81" s="207"/>
      <c r="P81" s="207"/>
      <c r="Q81" s="210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18.75" hidden="false" customHeight="true" outlineLevel="0" collapsed="false">
      <c r="A82" s="252" t="s">
        <v>245</v>
      </c>
      <c r="B82" s="139" t="n">
        <f aca="false">((B80+B81)/12)*(H29-11)</f>
        <v>0</v>
      </c>
      <c r="C82" s="207"/>
      <c r="D82" s="79" t="n">
        <f aca="false">IF(A50="YES", 0, B82)</f>
        <v>0</v>
      </c>
      <c r="E82" s="210"/>
      <c r="F82" s="19"/>
      <c r="G82" s="252" t="s">
        <v>245</v>
      </c>
      <c r="H82" s="139" t="n">
        <f aca="false">((H80+H81)/12)*(H29-11)</f>
        <v>39.5833333333333</v>
      </c>
      <c r="I82" s="207"/>
      <c r="J82" s="79" t="n">
        <f aca="false">IF(A50="YES", 0, H82)</f>
        <v>39.5833333333333</v>
      </c>
      <c r="K82" s="210"/>
      <c r="L82" s="19"/>
      <c r="M82" s="271" t="s">
        <v>245</v>
      </c>
      <c r="N82" s="272" t="n">
        <f aca="false">((N80+N81)/12)*(H29-11)</f>
        <v>0</v>
      </c>
      <c r="O82" s="207"/>
      <c r="P82" s="79" t="n">
        <f aca="false">IF(A50="YES", 0, N82)</f>
        <v>0</v>
      </c>
      <c r="Q82" s="210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8.75" hidden="false" customHeight="true" outlineLevel="0" collapsed="false">
      <c r="A83" s="258" t="s">
        <v>246</v>
      </c>
      <c r="B83" s="264" t="n">
        <f aca="false">B108/(1-0.1)</f>
        <v>444.444444444444</v>
      </c>
      <c r="C83" s="207"/>
      <c r="D83" s="79" t="n">
        <f aca="false">B83</f>
        <v>444.444444444444</v>
      </c>
      <c r="E83" s="210" t="n">
        <f aca="false">D83/12</f>
        <v>37.037037037037</v>
      </c>
      <c r="F83" s="19"/>
      <c r="G83" s="258" t="s">
        <v>246</v>
      </c>
      <c r="H83" s="264" t="n">
        <f aca="false">H108</f>
        <v>1200</v>
      </c>
      <c r="I83" s="207"/>
      <c r="J83" s="79" t="n">
        <f aca="false">H83</f>
        <v>1200</v>
      </c>
      <c r="K83" s="210"/>
      <c r="L83" s="19"/>
      <c r="M83" s="258" t="s">
        <v>246</v>
      </c>
      <c r="N83" s="264" t="n">
        <f aca="false">N108</f>
        <v>1200</v>
      </c>
      <c r="O83" s="207"/>
      <c r="P83" s="79" t="n">
        <f aca="false">N83</f>
        <v>1200</v>
      </c>
      <c r="Q83" s="210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18.75" hidden="false" customHeight="true" outlineLevel="0" collapsed="false">
      <c r="A84" s="209" t="s">
        <v>247</v>
      </c>
      <c r="B84" s="273" t="n">
        <f aca="false">D108/(1-0.1)</f>
        <v>222.222222222222</v>
      </c>
      <c r="C84" s="207"/>
      <c r="D84" s="79" t="n">
        <f aca="false">B84</f>
        <v>222.222222222222</v>
      </c>
      <c r="E84" s="210"/>
      <c r="F84" s="19"/>
      <c r="G84" s="209" t="s">
        <v>248</v>
      </c>
      <c r="H84" s="273" t="n">
        <f aca="false">J108</f>
        <v>1500</v>
      </c>
      <c r="I84" s="207"/>
      <c r="J84" s="79" t="n">
        <f aca="false">H84</f>
        <v>1500</v>
      </c>
      <c r="K84" s="210"/>
      <c r="L84" s="19"/>
      <c r="M84" s="209" t="s">
        <v>248</v>
      </c>
      <c r="N84" s="273" t="n">
        <f aca="false">P108</f>
        <v>1500</v>
      </c>
      <c r="O84" s="207"/>
      <c r="P84" s="79" t="n">
        <f aca="false">N84</f>
        <v>1500</v>
      </c>
      <c r="Q84" s="210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8.75" hidden="false" customHeight="true" outlineLevel="0" collapsed="false">
      <c r="A85" s="261" t="s">
        <v>75</v>
      </c>
      <c r="B85" s="265" t="n">
        <v>200</v>
      </c>
      <c r="C85" s="207"/>
      <c r="D85" s="79" t="n">
        <f aca="false">B85</f>
        <v>200</v>
      </c>
      <c r="E85" s="210"/>
      <c r="F85" s="19"/>
      <c r="G85" s="261" t="s">
        <v>75</v>
      </c>
      <c r="H85" s="265" t="n">
        <v>100</v>
      </c>
      <c r="I85" s="207"/>
      <c r="J85" s="79" t="n">
        <f aca="false">H85</f>
        <v>100</v>
      </c>
      <c r="K85" s="210"/>
      <c r="L85" s="19"/>
      <c r="M85" s="261" t="s">
        <v>75</v>
      </c>
      <c r="N85" s="265" t="n">
        <v>100</v>
      </c>
      <c r="O85" s="207"/>
      <c r="P85" s="79" t="n">
        <f aca="false">N85</f>
        <v>100</v>
      </c>
      <c r="Q85" s="210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8.75" hidden="false" customHeight="true" outlineLevel="0" collapsed="false">
      <c r="A86" s="274" t="s">
        <v>76</v>
      </c>
      <c r="B86" s="275" t="n">
        <v>200</v>
      </c>
      <c r="C86" s="207"/>
      <c r="D86" s="79" t="n">
        <f aca="false">B86</f>
        <v>200</v>
      </c>
      <c r="E86" s="210"/>
      <c r="F86" s="19"/>
      <c r="G86" s="274" t="s">
        <v>76</v>
      </c>
      <c r="H86" s="275" t="n">
        <v>100</v>
      </c>
      <c r="I86" s="207"/>
      <c r="J86" s="79" t="n">
        <f aca="false">H86</f>
        <v>100</v>
      </c>
      <c r="K86" s="210"/>
      <c r="L86" s="19"/>
      <c r="M86" s="274" t="s">
        <v>76</v>
      </c>
      <c r="N86" s="275" t="n">
        <v>100</v>
      </c>
      <c r="O86" s="207"/>
      <c r="P86" s="79" t="n">
        <f aca="false">N86</f>
        <v>100</v>
      </c>
      <c r="Q86" s="210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8.75" hidden="false" customHeight="true" outlineLevel="0" collapsed="false">
      <c r="A87" s="276" t="s">
        <v>77</v>
      </c>
      <c r="B87" s="277" t="n">
        <f aca="false">SUM(D70:D86)</f>
        <v>5378.61666666667</v>
      </c>
      <c r="C87" s="207"/>
      <c r="D87" s="207"/>
      <c r="E87" s="210"/>
      <c r="F87" s="19"/>
      <c r="G87" s="276" t="s">
        <v>77</v>
      </c>
      <c r="H87" s="277" t="n">
        <f aca="false">SUM(J70:J86)</f>
        <v>7205.53333333333</v>
      </c>
      <c r="I87" s="207"/>
      <c r="J87" s="207"/>
      <c r="K87" s="210"/>
      <c r="L87" s="19"/>
      <c r="M87" s="276" t="s">
        <v>77</v>
      </c>
      <c r="N87" s="277" t="n">
        <f aca="false">SUM(P70:P86)</f>
        <v>7165.95</v>
      </c>
      <c r="O87" s="207"/>
      <c r="P87" s="207"/>
      <c r="Q87" s="210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8.75" hidden="false" customHeight="true" outlineLevel="0" collapsed="false">
      <c r="A88" s="209" t="s">
        <v>78</v>
      </c>
      <c r="B88" s="273" t="n">
        <f aca="false">B87/H29</f>
        <v>448.218055555556</v>
      </c>
      <c r="C88" s="207"/>
      <c r="D88" s="207"/>
      <c r="E88" s="210"/>
      <c r="F88" s="19"/>
      <c r="G88" s="209" t="s">
        <v>78</v>
      </c>
      <c r="H88" s="273" t="n">
        <f aca="false">H87/H29</f>
        <v>600.461111111111</v>
      </c>
      <c r="I88" s="207"/>
      <c r="J88" s="207"/>
      <c r="K88" s="210"/>
      <c r="L88" s="19"/>
      <c r="M88" s="209" t="s">
        <v>78</v>
      </c>
      <c r="N88" s="273" t="n">
        <f aca="false">N87/H29</f>
        <v>597.1625</v>
      </c>
      <c r="O88" s="207"/>
      <c r="P88" s="207"/>
      <c r="Q88" s="210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8.75" hidden="false" customHeight="true" outlineLevel="0" collapsed="false">
      <c r="A89" s="278" t="s">
        <v>79</v>
      </c>
      <c r="B89" s="279" t="n">
        <f aca="false">H46</f>
        <v>501</v>
      </c>
      <c r="C89" s="207"/>
      <c r="D89" s="207"/>
      <c r="E89" s="210"/>
      <c r="F89" s="19"/>
      <c r="G89" s="278" t="s">
        <v>79</v>
      </c>
      <c r="H89" s="279" t="n">
        <f aca="false">H46</f>
        <v>501</v>
      </c>
      <c r="I89" s="207"/>
      <c r="J89" s="207"/>
      <c r="K89" s="210"/>
      <c r="L89" s="19"/>
      <c r="M89" s="278" t="s">
        <v>79</v>
      </c>
      <c r="N89" s="279" t="n">
        <f aca="false">H46</f>
        <v>501</v>
      </c>
      <c r="O89" s="207"/>
      <c r="P89" s="207"/>
      <c r="Q89" s="210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8.75" hidden="false" customHeight="true" outlineLevel="0" collapsed="false">
      <c r="A90" s="209"/>
      <c r="B90" s="79"/>
      <c r="C90" s="207"/>
      <c r="D90" s="207"/>
      <c r="E90" s="210"/>
      <c r="F90" s="19"/>
      <c r="G90" s="209"/>
      <c r="H90" s="79"/>
      <c r="I90" s="207"/>
      <c r="J90" s="207"/>
      <c r="K90" s="210"/>
      <c r="L90" s="19"/>
      <c r="M90" s="209"/>
      <c r="N90" s="79"/>
      <c r="O90" s="207"/>
      <c r="P90" s="207"/>
      <c r="Q90" s="210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8.75" hidden="false" customHeight="true" outlineLevel="0" collapsed="false">
      <c r="A91" s="255" t="s">
        <v>88</v>
      </c>
      <c r="B91" s="137" t="n">
        <f aca="false">((B89*H29)+B87)</f>
        <v>11390.6166666667</v>
      </c>
      <c r="C91" s="207"/>
      <c r="D91" s="207"/>
      <c r="E91" s="210"/>
      <c r="F91" s="19"/>
      <c r="G91" s="255" t="s">
        <v>88</v>
      </c>
      <c r="H91" s="137" t="n">
        <f aca="false">((H89*H29)+H87)*1.2</f>
        <v>15861.04</v>
      </c>
      <c r="I91" s="207"/>
      <c r="J91" s="207"/>
      <c r="K91" s="210"/>
      <c r="L91" s="19"/>
      <c r="M91" s="255" t="s">
        <v>88</v>
      </c>
      <c r="N91" s="137" t="n">
        <f aca="false">((N89*H29)+N87)</f>
        <v>13177.95</v>
      </c>
      <c r="O91" s="207"/>
      <c r="P91" s="207"/>
      <c r="Q91" s="210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8.75" hidden="false" customHeight="true" outlineLevel="0" collapsed="false">
      <c r="A92" s="209" t="s">
        <v>89</v>
      </c>
      <c r="B92" s="273" t="n">
        <f aca="false">(((B89*H29)+B87)/(1-B76))*B76</f>
        <v>96.4917103670835</v>
      </c>
      <c r="C92" s="207"/>
      <c r="D92" s="207"/>
      <c r="E92" s="280"/>
      <c r="F92" s="19"/>
      <c r="G92" s="209" t="s">
        <v>89</v>
      </c>
      <c r="H92" s="273" t="n">
        <f aca="false">(((H89*H29)+H87)/(1-H76))*H76</f>
        <v>111.967809600645</v>
      </c>
      <c r="I92" s="207"/>
      <c r="J92" s="207"/>
      <c r="K92" s="210"/>
      <c r="L92" s="19"/>
      <c r="M92" s="209" t="s">
        <v>89</v>
      </c>
      <c r="N92" s="273" t="n">
        <f aca="false">(N91/(1-N76))*N76</f>
        <v>111.632492940702</v>
      </c>
      <c r="O92" s="207"/>
      <c r="P92" s="207"/>
      <c r="Q92" s="210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8.75" hidden="false" customHeight="true" outlineLevel="0" collapsed="false">
      <c r="A93" s="252" t="s">
        <v>90</v>
      </c>
      <c r="B93" s="139" t="n">
        <f aca="false">IF(B116="YES",((B91+B92)-E120),(B91+B92))</f>
        <v>7487.10837703375</v>
      </c>
      <c r="C93" s="207"/>
      <c r="D93" s="207"/>
      <c r="E93" s="210"/>
      <c r="F93" s="19"/>
      <c r="G93" s="252" t="s">
        <v>90</v>
      </c>
      <c r="H93" s="139" t="n">
        <f aca="false">IF(H116="YES",((H91+H92)-K120),(H91+H92))</f>
        <v>17973.0078096006</v>
      </c>
      <c r="I93" s="207"/>
      <c r="J93" s="207"/>
      <c r="K93" s="210"/>
      <c r="L93" s="19"/>
      <c r="M93" s="252" t="s">
        <v>90</v>
      </c>
      <c r="N93" s="139" t="n">
        <f aca="false">IF(N116="YES",((N91+N92)-K120),(N91+N92))</f>
        <v>15289.5824929407</v>
      </c>
      <c r="O93" s="207"/>
      <c r="P93" s="207"/>
      <c r="Q93" s="210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18.75" hidden="false" customHeight="true" outlineLevel="0" collapsed="false">
      <c r="A94" s="209"/>
      <c r="B94" s="79"/>
      <c r="C94" s="207"/>
      <c r="D94" s="207"/>
      <c r="E94" s="210"/>
      <c r="F94" s="19"/>
      <c r="G94" s="209"/>
      <c r="H94" s="79"/>
      <c r="I94" s="207"/>
      <c r="J94" s="207"/>
      <c r="K94" s="210"/>
      <c r="L94" s="19"/>
      <c r="M94" s="209"/>
      <c r="N94" s="79"/>
      <c r="O94" s="207"/>
      <c r="P94" s="207"/>
      <c r="Q94" s="210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8.75" hidden="false" customHeight="true" outlineLevel="0" collapsed="false">
      <c r="A95" s="276" t="s">
        <v>91</v>
      </c>
      <c r="B95" s="277" t="n">
        <f aca="false">IF(B105=Z104,(((H44*B35)+(H44*B35)*(B111/100))/(B64)),(((H44*B35)+(H44*B35)*(B111/100))/(B63+B64)))</f>
        <v>0</v>
      </c>
      <c r="C95" s="207"/>
      <c r="D95" s="207"/>
      <c r="E95" s="210"/>
      <c r="F95" s="19"/>
      <c r="G95" s="276" t="s">
        <v>91</v>
      </c>
      <c r="H95" s="277" t="e">
        <f aca="false">(((H44*B35)+((H44*B35)*H111))/(H63+H64))*1.2</f>
        <v>#DIV/0!</v>
      </c>
      <c r="I95" s="207"/>
      <c r="J95" s="207"/>
      <c r="K95" s="210"/>
      <c r="L95" s="19"/>
      <c r="M95" s="276" t="s">
        <v>91</v>
      </c>
      <c r="N95" s="277" t="e">
        <f aca="false">((H44*B35)+((H44*B35)*N111))/(N63+N64)</f>
        <v>#DIV/0!</v>
      </c>
      <c r="O95" s="207"/>
      <c r="P95" s="207"/>
      <c r="Q95" s="210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8.75" hidden="false" customHeight="true" outlineLevel="0" collapsed="false">
      <c r="A96" s="281" t="s">
        <v>92</v>
      </c>
      <c r="B96" s="282" t="n">
        <f aca="false">IF(B105=Z104, (B93-D111)/(B64), B93/(B63+B64))</f>
        <v>623.925698086146</v>
      </c>
      <c r="C96" s="207"/>
      <c r="D96" s="207"/>
      <c r="E96" s="210"/>
      <c r="F96" s="19"/>
      <c r="G96" s="281" t="s">
        <v>92</v>
      </c>
      <c r="H96" s="282" t="e">
        <f aca="false">IF(H105=Y104, (H93-J111)/(H64), H93/(H63+H64))</f>
        <v>#DIV/0!</v>
      </c>
      <c r="I96" s="207"/>
      <c r="J96" s="207"/>
      <c r="K96" s="210"/>
      <c r="L96" s="19"/>
      <c r="M96" s="281" t="s">
        <v>92</v>
      </c>
      <c r="N96" s="282" t="e">
        <f aca="false">IF(N105=Y104, (N93-P111)/(N64), N93/(N63+N64))</f>
        <v>#DIV/0!</v>
      </c>
      <c r="O96" s="207"/>
      <c r="P96" s="207"/>
      <c r="Q96" s="210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8.75" hidden="false" customHeight="true" outlineLevel="0" collapsed="false">
      <c r="A97" s="283" t="s">
        <v>93</v>
      </c>
      <c r="B97" s="284" t="n">
        <f aca="false">IF(A111="YES", B96+B95, B96)</f>
        <v>623.925698086146</v>
      </c>
      <c r="C97" s="207"/>
      <c r="D97" s="285"/>
      <c r="E97" s="210"/>
      <c r="F97" s="19"/>
      <c r="G97" s="283" t="s">
        <v>93</v>
      </c>
      <c r="H97" s="284" t="e">
        <f aca="false">IF(G111="YES", H96+H95, H96)</f>
        <v>#DIV/0!</v>
      </c>
      <c r="I97" s="207"/>
      <c r="J97" s="207"/>
      <c r="K97" s="210"/>
      <c r="L97" s="19"/>
      <c r="M97" s="283" t="s">
        <v>93</v>
      </c>
      <c r="N97" s="284" t="e">
        <f aca="false">IF(M111="YES", N96+N95, N96)</f>
        <v>#DIV/0!</v>
      </c>
      <c r="O97" s="207"/>
      <c r="P97" s="207"/>
      <c r="Q97" s="210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18.75" hidden="false" customHeight="true" outlineLevel="0" collapsed="false">
      <c r="A98" s="252"/>
      <c r="B98" s="253"/>
      <c r="C98" s="253"/>
      <c r="D98" s="253"/>
      <c r="E98" s="254"/>
      <c r="F98" s="19"/>
      <c r="G98" s="252"/>
      <c r="H98" s="253"/>
      <c r="I98" s="253"/>
      <c r="J98" s="253"/>
      <c r="K98" s="254"/>
      <c r="L98" s="19"/>
      <c r="M98" s="252"/>
      <c r="N98" s="253"/>
      <c r="O98" s="253"/>
      <c r="P98" s="253"/>
      <c r="Q98" s="254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18.75" hidden="false" customHeight="true" outlineLevel="0" collapsed="false">
      <c r="A99" s="207"/>
      <c r="B99" s="207"/>
      <c r="C99" s="207"/>
      <c r="D99" s="207"/>
      <c r="E99" s="207"/>
      <c r="F99" s="19"/>
      <c r="G99" s="207"/>
      <c r="H99" s="207"/>
      <c r="I99" s="207"/>
      <c r="J99" s="207"/>
      <c r="K99" s="207"/>
      <c r="L99" s="19"/>
      <c r="M99" s="207"/>
      <c r="N99" s="207"/>
      <c r="O99" s="207"/>
      <c r="P99" s="207"/>
      <c r="Q99" s="207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48.75" hidden="false" customHeight="true" outlineLevel="0" collapsed="false">
      <c r="A100" s="208" t="s">
        <v>249</v>
      </c>
      <c r="B100" s="208"/>
      <c r="C100" s="208"/>
      <c r="D100" s="208"/>
      <c r="E100" s="208"/>
      <c r="F100" s="19"/>
      <c r="G100" s="208" t="s">
        <v>250</v>
      </c>
      <c r="H100" s="208"/>
      <c r="I100" s="208"/>
      <c r="J100" s="208"/>
      <c r="K100" s="208"/>
      <c r="L100" s="19"/>
      <c r="M100" s="208" t="s">
        <v>251</v>
      </c>
      <c r="N100" s="208"/>
      <c r="O100" s="208"/>
      <c r="P100" s="208"/>
      <c r="Q100" s="208"/>
      <c r="R100" s="19"/>
      <c r="S100" s="19"/>
      <c r="T100" s="19"/>
      <c r="U100" s="19"/>
      <c r="V100" s="19"/>
      <c r="W100" s="19"/>
      <c r="X100" s="19"/>
      <c r="Y100" s="19"/>
      <c r="Z100" s="19"/>
    </row>
    <row r="101" customFormat="false" ht="18.75" hidden="false" customHeight="true" outlineLevel="0" collapsed="false">
      <c r="A101" s="209"/>
      <c r="B101" s="207"/>
      <c r="C101" s="207"/>
      <c r="D101" s="207"/>
      <c r="E101" s="210"/>
      <c r="F101" s="19"/>
      <c r="G101" s="209"/>
      <c r="H101" s="207"/>
      <c r="I101" s="207"/>
      <c r="J101" s="207"/>
      <c r="K101" s="210"/>
      <c r="L101" s="19"/>
      <c r="M101" s="209"/>
      <c r="N101" s="207"/>
      <c r="O101" s="207"/>
      <c r="P101" s="207"/>
      <c r="Q101" s="210"/>
      <c r="R101" s="19"/>
      <c r="S101" s="19"/>
      <c r="T101" s="19"/>
      <c r="U101" s="19"/>
      <c r="V101" s="19"/>
      <c r="W101" s="19"/>
      <c r="X101" s="19"/>
      <c r="Y101" s="19"/>
      <c r="Z101" s="19"/>
    </row>
    <row r="102" customFormat="false" ht="18.75" hidden="false" customHeight="true" outlineLevel="0" collapsed="false">
      <c r="A102" s="211" t="s">
        <v>26</v>
      </c>
      <c r="B102" s="211"/>
      <c r="C102" s="211"/>
      <c r="D102" s="211"/>
      <c r="E102" s="211"/>
      <c r="F102" s="19"/>
      <c r="G102" s="211" t="s">
        <v>26</v>
      </c>
      <c r="H102" s="211"/>
      <c r="I102" s="211"/>
      <c r="J102" s="211"/>
      <c r="K102" s="211"/>
      <c r="L102" s="19"/>
      <c r="M102" s="211" t="s">
        <v>26</v>
      </c>
      <c r="N102" s="211"/>
      <c r="O102" s="211"/>
      <c r="P102" s="211"/>
      <c r="Q102" s="211"/>
      <c r="R102" s="19"/>
      <c r="S102" s="19"/>
      <c r="T102" s="19"/>
      <c r="U102" s="19"/>
      <c r="V102" s="19"/>
      <c r="W102" s="19"/>
      <c r="X102" s="19"/>
      <c r="Y102" s="19"/>
      <c r="Z102" s="19"/>
    </row>
    <row r="103" customFormat="false" ht="18.75" hidden="false" customHeight="true" outlineLevel="0" collapsed="false">
      <c r="A103" s="209"/>
      <c r="B103" s="207"/>
      <c r="C103" s="207"/>
      <c r="D103" s="207"/>
      <c r="E103" s="210"/>
      <c r="F103" s="19"/>
      <c r="G103" s="209"/>
      <c r="H103" s="207"/>
      <c r="I103" s="207"/>
      <c r="J103" s="207"/>
      <c r="K103" s="210"/>
      <c r="L103" s="19"/>
      <c r="M103" s="209"/>
      <c r="N103" s="207"/>
      <c r="O103" s="207"/>
      <c r="P103" s="207"/>
      <c r="Q103" s="210"/>
      <c r="R103" s="19"/>
      <c r="S103" s="19"/>
      <c r="T103" s="19"/>
      <c r="U103" s="19"/>
      <c r="V103" s="19"/>
      <c r="W103" s="19"/>
      <c r="X103" s="19"/>
      <c r="Y103" s="19"/>
      <c r="Z103" s="19" t="s">
        <v>100</v>
      </c>
    </row>
    <row r="104" customFormat="false" ht="18.75" hidden="false" customHeight="true" outlineLevel="0" collapsed="false">
      <c r="A104" s="209" t="s">
        <v>98</v>
      </c>
      <c r="B104" s="207" t="s">
        <v>23</v>
      </c>
      <c r="C104" s="207"/>
      <c r="D104" s="207" t="s">
        <v>252</v>
      </c>
      <c r="E104" s="210"/>
      <c r="F104" s="19"/>
      <c r="G104" s="209" t="s">
        <v>98</v>
      </c>
      <c r="H104" s="207" t="s">
        <v>23</v>
      </c>
      <c r="I104" s="207"/>
      <c r="J104" s="207" t="s">
        <v>252</v>
      </c>
      <c r="K104" s="210"/>
      <c r="L104" s="19"/>
      <c r="M104" s="209" t="s">
        <v>98</v>
      </c>
      <c r="N104" s="207" t="s">
        <v>23</v>
      </c>
      <c r="O104" s="207"/>
      <c r="P104" s="207" t="s">
        <v>252</v>
      </c>
      <c r="Q104" s="210"/>
      <c r="R104" s="19"/>
      <c r="S104" s="19"/>
      <c r="T104" s="19"/>
      <c r="U104" s="19"/>
      <c r="V104" s="19"/>
      <c r="W104" s="19"/>
      <c r="X104" s="19"/>
      <c r="Y104" s="19"/>
      <c r="Z104" s="19" t="s">
        <v>253</v>
      </c>
    </row>
    <row r="105" customFormat="false" ht="18.75" hidden="false" customHeight="true" outlineLevel="0" collapsed="false">
      <c r="A105" s="214"/>
      <c r="B105" s="286" t="s">
        <v>315</v>
      </c>
      <c r="C105" s="286"/>
      <c r="D105" s="287" t="n">
        <v>1000</v>
      </c>
      <c r="E105" s="287"/>
      <c r="F105" s="19"/>
      <c r="G105" s="214" t="s">
        <v>254</v>
      </c>
      <c r="H105" s="286" t="s">
        <v>255</v>
      </c>
      <c r="I105" s="286"/>
      <c r="J105" s="287" t="n">
        <v>5000</v>
      </c>
      <c r="K105" s="287"/>
      <c r="L105" s="19"/>
      <c r="M105" s="214" t="s">
        <v>254</v>
      </c>
      <c r="N105" s="286" t="s">
        <v>256</v>
      </c>
      <c r="O105" s="286"/>
      <c r="P105" s="287" t="n">
        <v>0</v>
      </c>
      <c r="Q105" s="287"/>
      <c r="R105" s="19"/>
      <c r="S105" s="19"/>
      <c r="T105" s="19"/>
      <c r="U105" s="19"/>
      <c r="V105" s="19"/>
      <c r="W105" s="19"/>
      <c r="X105" s="19"/>
      <c r="Y105" s="19"/>
      <c r="Z105" s="19" t="s">
        <v>257</v>
      </c>
    </row>
    <row r="106" customFormat="false" ht="18.75" hidden="false" customHeight="true" outlineLevel="0" collapsed="false">
      <c r="A106" s="209"/>
      <c r="B106" s="207"/>
      <c r="C106" s="207"/>
      <c r="D106" s="207"/>
      <c r="E106" s="210"/>
      <c r="F106" s="19"/>
      <c r="G106" s="209"/>
      <c r="H106" s="207"/>
      <c r="I106" s="207"/>
      <c r="J106" s="207"/>
      <c r="K106" s="210"/>
      <c r="L106" s="19"/>
      <c r="M106" s="209"/>
      <c r="N106" s="207"/>
      <c r="O106" s="207"/>
      <c r="P106" s="207"/>
      <c r="Q106" s="210"/>
      <c r="R106" s="19"/>
      <c r="S106" s="19"/>
      <c r="T106" s="19"/>
      <c r="U106" s="19"/>
      <c r="V106" s="19"/>
      <c r="W106" s="19"/>
      <c r="X106" s="19"/>
      <c r="Y106" s="19"/>
      <c r="Z106" s="19" t="s">
        <v>258</v>
      </c>
    </row>
    <row r="107" customFormat="false" ht="18.75" hidden="false" customHeight="true" outlineLevel="0" collapsed="false">
      <c r="A107" s="209" t="s">
        <v>259</v>
      </c>
      <c r="B107" s="207" t="s">
        <v>260</v>
      </c>
      <c r="C107" s="207"/>
      <c r="D107" s="207" t="s">
        <v>261</v>
      </c>
      <c r="E107" s="210"/>
      <c r="F107" s="19"/>
      <c r="G107" s="209" t="s">
        <v>259</v>
      </c>
      <c r="H107" s="207" t="s">
        <v>260</v>
      </c>
      <c r="I107" s="207"/>
      <c r="J107" s="207" t="s">
        <v>261</v>
      </c>
      <c r="K107" s="210"/>
      <c r="L107" s="19"/>
      <c r="M107" s="209" t="s">
        <v>259</v>
      </c>
      <c r="N107" s="207" t="s">
        <v>260</v>
      </c>
      <c r="O107" s="207"/>
      <c r="P107" s="207" t="s">
        <v>261</v>
      </c>
      <c r="Q107" s="210"/>
      <c r="R107" s="19"/>
      <c r="S107" s="19"/>
      <c r="T107" s="19"/>
      <c r="U107" s="19"/>
      <c r="V107" s="19"/>
      <c r="W107" s="19"/>
      <c r="X107" s="19"/>
      <c r="Y107" s="19"/>
      <c r="Z107" s="19" t="s">
        <v>262</v>
      </c>
    </row>
    <row r="108" customFormat="false" ht="18.75" hidden="false" customHeight="true" outlineLevel="0" collapsed="false">
      <c r="A108" s="288" t="n">
        <v>199.99</v>
      </c>
      <c r="B108" s="72" t="n">
        <v>400</v>
      </c>
      <c r="C108" s="72"/>
      <c r="D108" s="72" t="n">
        <v>200</v>
      </c>
      <c r="E108" s="72"/>
      <c r="F108" s="19"/>
      <c r="G108" s="288" t="n">
        <f aca="false">199.99*1.2</f>
        <v>239.988</v>
      </c>
      <c r="H108" s="72" t="n">
        <v>1200</v>
      </c>
      <c r="I108" s="72"/>
      <c r="J108" s="72" t="n">
        <v>1500</v>
      </c>
      <c r="K108" s="72"/>
      <c r="L108" s="19"/>
      <c r="M108" s="288" t="n">
        <v>199.99</v>
      </c>
      <c r="N108" s="72" t="n">
        <v>1200</v>
      </c>
      <c r="O108" s="72"/>
      <c r="P108" s="72" t="n">
        <v>1500</v>
      </c>
      <c r="Q108" s="72"/>
      <c r="R108" s="19"/>
      <c r="S108" s="19"/>
      <c r="T108" s="19"/>
      <c r="U108" s="19"/>
      <c r="V108" s="19"/>
      <c r="W108" s="19"/>
      <c r="X108" s="19"/>
      <c r="Y108" s="19"/>
      <c r="Z108" s="19" t="s">
        <v>256</v>
      </c>
    </row>
    <row r="109" customFormat="false" ht="18.75" hidden="false" customHeight="true" outlineLevel="0" collapsed="false">
      <c r="A109" s="209"/>
      <c r="B109" s="207"/>
      <c r="C109" s="207"/>
      <c r="D109" s="207"/>
      <c r="E109" s="210"/>
      <c r="F109" s="19"/>
      <c r="G109" s="209"/>
      <c r="H109" s="207"/>
      <c r="I109" s="207"/>
      <c r="J109" s="207"/>
      <c r="K109" s="210"/>
      <c r="L109" s="19"/>
      <c r="M109" s="209"/>
      <c r="N109" s="207"/>
      <c r="O109" s="207"/>
      <c r="P109" s="207"/>
      <c r="Q109" s="210"/>
      <c r="R109" s="19"/>
      <c r="S109" s="19"/>
      <c r="T109" s="19"/>
      <c r="U109" s="19"/>
      <c r="V109" s="19"/>
      <c r="W109" s="19"/>
      <c r="X109" s="19"/>
      <c r="Y109" s="19"/>
      <c r="Z109" s="19" t="s">
        <v>255</v>
      </c>
    </row>
    <row r="110" customFormat="false" ht="18.75" hidden="false" customHeight="true" outlineLevel="0" collapsed="false">
      <c r="A110" s="214" t="s">
        <v>22</v>
      </c>
      <c r="B110" s="19" t="s">
        <v>101</v>
      </c>
      <c r="C110" s="207"/>
      <c r="D110" s="207" t="s">
        <v>112</v>
      </c>
      <c r="E110" s="210"/>
      <c r="F110" s="19"/>
      <c r="G110" s="214" t="s">
        <v>22</v>
      </c>
      <c r="H110" s="19" t="s">
        <v>101</v>
      </c>
      <c r="I110" s="207"/>
      <c r="J110" s="207" t="s">
        <v>112</v>
      </c>
      <c r="K110" s="210"/>
      <c r="L110" s="19"/>
      <c r="M110" s="214" t="s">
        <v>22</v>
      </c>
      <c r="N110" s="19" t="s">
        <v>101</v>
      </c>
      <c r="O110" s="207"/>
      <c r="P110" s="207" t="s">
        <v>112</v>
      </c>
      <c r="Q110" s="210"/>
      <c r="R110" s="19"/>
      <c r="S110" s="19"/>
      <c r="T110" s="19"/>
      <c r="U110" s="19"/>
      <c r="V110" s="19"/>
      <c r="W110" s="19"/>
      <c r="X110" s="19"/>
      <c r="Y110" s="19"/>
      <c r="Z110" s="19" t="s">
        <v>263</v>
      </c>
    </row>
    <row r="111" customFormat="false" ht="18.75" hidden="false" customHeight="true" outlineLevel="0" collapsed="false">
      <c r="A111" s="216" t="s">
        <v>10</v>
      </c>
      <c r="B111" s="286" t="n">
        <v>0</v>
      </c>
      <c r="C111" s="286"/>
      <c r="D111" s="72" t="s">
        <v>264</v>
      </c>
      <c r="E111" s="72"/>
      <c r="F111" s="19"/>
      <c r="G111" s="216" t="s">
        <v>9</v>
      </c>
      <c r="H111" s="289" t="n">
        <v>0.2</v>
      </c>
      <c r="I111" s="289"/>
      <c r="J111" s="72" t="n">
        <v>5000</v>
      </c>
      <c r="K111" s="72"/>
      <c r="L111" s="19"/>
      <c r="M111" s="216" t="s">
        <v>9</v>
      </c>
      <c r="N111" s="289" t="n">
        <v>0.2</v>
      </c>
      <c r="O111" s="289"/>
      <c r="P111" s="72" t="n">
        <v>5000</v>
      </c>
      <c r="Q111" s="72"/>
      <c r="R111" s="19"/>
      <c r="S111" s="19"/>
      <c r="T111" s="19"/>
      <c r="U111" s="19"/>
      <c r="V111" s="19"/>
      <c r="W111" s="19"/>
      <c r="X111" s="19"/>
      <c r="Y111" s="19"/>
      <c r="Z111" s="19" t="s">
        <v>265</v>
      </c>
    </row>
    <row r="112" customFormat="false" ht="18.75" hidden="false" customHeight="true" outlineLevel="0" collapsed="false">
      <c r="A112" s="209"/>
      <c r="B112" s="207"/>
      <c r="C112" s="207"/>
      <c r="D112" s="207" t="s">
        <v>4</v>
      </c>
      <c r="E112" s="210"/>
      <c r="F112" s="19"/>
      <c r="G112" s="209"/>
      <c r="H112" s="207"/>
      <c r="I112" s="207"/>
      <c r="J112" s="207"/>
      <c r="K112" s="210"/>
      <c r="L112" s="19"/>
      <c r="M112" s="209"/>
      <c r="N112" s="207"/>
      <c r="O112" s="207"/>
      <c r="P112" s="207"/>
      <c r="Q112" s="210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8.75" hidden="false" customHeight="true" outlineLevel="0" collapsed="false">
      <c r="A113" s="209"/>
      <c r="B113" s="207"/>
      <c r="C113" s="207"/>
      <c r="D113" s="207"/>
      <c r="E113" s="210"/>
      <c r="F113" s="19"/>
      <c r="G113" s="209"/>
      <c r="H113" s="207"/>
      <c r="I113" s="207"/>
      <c r="J113" s="207"/>
      <c r="K113" s="210"/>
      <c r="L113" s="19"/>
      <c r="M113" s="209"/>
      <c r="N113" s="207" t="s">
        <v>266</v>
      </c>
      <c r="O113" s="216" t="s">
        <v>9</v>
      </c>
      <c r="P113" s="207"/>
      <c r="Q113" s="210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8.75" hidden="false" customHeight="true" outlineLevel="0" collapsed="false">
      <c r="A114" s="211" t="s">
        <v>267</v>
      </c>
      <c r="B114" s="211"/>
      <c r="C114" s="211"/>
      <c r="D114" s="211"/>
      <c r="E114" s="211"/>
      <c r="F114" s="19"/>
      <c r="G114" s="211" t="s">
        <v>267</v>
      </c>
      <c r="H114" s="211"/>
      <c r="I114" s="211"/>
      <c r="J114" s="211"/>
      <c r="K114" s="211"/>
      <c r="L114" s="19"/>
      <c r="M114" s="211" t="s">
        <v>267</v>
      </c>
      <c r="N114" s="211"/>
      <c r="O114" s="211"/>
      <c r="P114" s="211"/>
      <c r="Q114" s="211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8.75" hidden="false" customHeight="true" outlineLevel="0" collapsed="false">
      <c r="A115" s="209"/>
      <c r="B115" s="207"/>
      <c r="C115" s="207"/>
      <c r="D115" s="207"/>
      <c r="E115" s="210"/>
      <c r="F115" s="19"/>
      <c r="G115" s="209"/>
      <c r="H115" s="207"/>
      <c r="I115" s="207"/>
      <c r="J115" s="207"/>
      <c r="K115" s="210"/>
      <c r="L115" s="19"/>
      <c r="M115" s="209"/>
      <c r="N115" s="207"/>
      <c r="O115" s="207"/>
      <c r="P115" s="207"/>
      <c r="Q115" s="210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8.75" hidden="false" customHeight="true" outlineLevel="0" collapsed="false">
      <c r="A116" s="209" t="s">
        <v>268</v>
      </c>
      <c r="B116" s="216" t="s">
        <v>9</v>
      </c>
      <c r="C116" s="207"/>
      <c r="D116" s="207"/>
      <c r="E116" s="210"/>
      <c r="F116" s="19"/>
      <c r="G116" s="209" t="s">
        <v>268</v>
      </c>
      <c r="H116" s="216" t="s">
        <v>9</v>
      </c>
      <c r="I116" s="207"/>
      <c r="J116" s="207"/>
      <c r="K116" s="210"/>
      <c r="L116" s="19"/>
      <c r="M116" s="209" t="s">
        <v>268</v>
      </c>
      <c r="N116" s="216" t="s">
        <v>9</v>
      </c>
      <c r="O116" s="207"/>
      <c r="P116" s="207"/>
      <c r="Q116" s="210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8.75" hidden="false" customHeight="true" outlineLevel="0" collapsed="false">
      <c r="A117" s="209"/>
      <c r="B117" s="207"/>
      <c r="C117" s="207"/>
      <c r="D117" s="207"/>
      <c r="E117" s="210"/>
      <c r="F117" s="19"/>
      <c r="G117" s="209"/>
      <c r="H117" s="207"/>
      <c r="I117" s="207"/>
      <c r="J117" s="207"/>
      <c r="K117" s="210"/>
      <c r="L117" s="19"/>
      <c r="M117" s="209"/>
      <c r="N117" s="207"/>
      <c r="O117" s="207"/>
      <c r="P117" s="207"/>
      <c r="Q117" s="210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8.75" hidden="false" customHeight="true" outlineLevel="0" collapsed="false">
      <c r="A118" s="209" t="s">
        <v>146</v>
      </c>
      <c r="B118" s="207"/>
      <c r="C118" s="207"/>
      <c r="D118" s="288" t="n">
        <v>10000</v>
      </c>
      <c r="E118" s="72" t="n">
        <v>6000</v>
      </c>
      <c r="F118" s="19"/>
      <c r="G118" s="209" t="s">
        <v>146</v>
      </c>
      <c r="H118" s="207"/>
      <c r="I118" s="207"/>
      <c r="J118" s="288" t="n">
        <v>10000</v>
      </c>
      <c r="K118" s="72" t="n">
        <v>5000</v>
      </c>
      <c r="L118" s="19"/>
      <c r="M118" s="209" t="s">
        <v>146</v>
      </c>
      <c r="N118" s="207"/>
      <c r="O118" s="207"/>
      <c r="P118" s="288" t="n">
        <v>10000</v>
      </c>
      <c r="Q118" s="72" t="n">
        <v>5000</v>
      </c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8.75" hidden="false" customHeight="true" outlineLevel="0" collapsed="false">
      <c r="A119" s="209" t="s">
        <v>147</v>
      </c>
      <c r="B119" s="207"/>
      <c r="C119" s="207"/>
      <c r="D119" s="38" t="n">
        <f aca="false">E119</f>
        <v>2000</v>
      </c>
      <c r="E119" s="72" t="n">
        <v>2000</v>
      </c>
      <c r="F119" s="19"/>
      <c r="G119" s="209" t="s">
        <v>147</v>
      </c>
      <c r="H119" s="207"/>
      <c r="I119" s="207"/>
      <c r="J119" s="38" t="n">
        <f aca="false">K119</f>
        <v>7000</v>
      </c>
      <c r="K119" s="72" t="n">
        <v>7000</v>
      </c>
      <c r="L119" s="19"/>
      <c r="M119" s="209" t="s">
        <v>147</v>
      </c>
      <c r="N119" s="207"/>
      <c r="O119" s="207"/>
      <c r="P119" s="38" t="n">
        <f aca="false">Q119</f>
        <v>7000</v>
      </c>
      <c r="Q119" s="72" t="n">
        <v>7000</v>
      </c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8.75" hidden="false" customHeight="true" outlineLevel="0" collapsed="false">
      <c r="A120" s="209" t="s">
        <v>148</v>
      </c>
      <c r="B120" s="207"/>
      <c r="C120" s="207"/>
      <c r="D120" s="38" t="n">
        <f aca="false">D118-D119</f>
        <v>8000</v>
      </c>
      <c r="E120" s="163" t="n">
        <f aca="false">E118-E119</f>
        <v>4000</v>
      </c>
      <c r="F120" s="19"/>
      <c r="G120" s="209" t="s">
        <v>148</v>
      </c>
      <c r="H120" s="207"/>
      <c r="I120" s="207"/>
      <c r="J120" s="38" t="n">
        <f aca="false">J118-J119</f>
        <v>3000</v>
      </c>
      <c r="K120" s="163" t="n">
        <f aca="false">K118-K119</f>
        <v>-2000</v>
      </c>
      <c r="L120" s="19"/>
      <c r="M120" s="209" t="s">
        <v>148</v>
      </c>
      <c r="N120" s="207"/>
      <c r="O120" s="207"/>
      <c r="P120" s="38" t="n">
        <f aca="false">P118-P119</f>
        <v>3000</v>
      </c>
      <c r="Q120" s="163" t="n">
        <f aca="false">Q118-Q119</f>
        <v>-2000</v>
      </c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8.75" hidden="false" customHeight="true" outlineLevel="0" collapsed="false">
      <c r="A121" s="209" t="s">
        <v>149</v>
      </c>
      <c r="B121" s="207"/>
      <c r="C121" s="207"/>
      <c r="D121" s="38" t="n">
        <f aca="false">D120-E120</f>
        <v>4000</v>
      </c>
      <c r="E121" s="210"/>
      <c r="F121" s="19"/>
      <c r="G121" s="209" t="s">
        <v>149</v>
      </c>
      <c r="H121" s="207"/>
      <c r="I121" s="207"/>
      <c r="J121" s="38" t="n">
        <f aca="false">J120-K120</f>
        <v>5000</v>
      </c>
      <c r="K121" s="210"/>
      <c r="L121" s="19"/>
      <c r="M121" s="209" t="s">
        <v>149</v>
      </c>
      <c r="N121" s="207"/>
      <c r="O121" s="207"/>
      <c r="P121" s="38" t="n">
        <f aca="false">P120-Q120</f>
        <v>5000</v>
      </c>
      <c r="Q121" s="210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8.75" hidden="false" customHeight="true" outlineLevel="0" collapsed="false">
      <c r="A122" s="209"/>
      <c r="B122" s="207"/>
      <c r="C122" s="207"/>
      <c r="D122" s="207"/>
      <c r="E122" s="210"/>
      <c r="F122" s="19"/>
      <c r="G122" s="209"/>
      <c r="H122" s="207"/>
      <c r="I122" s="207"/>
      <c r="J122" s="207"/>
      <c r="K122" s="210"/>
      <c r="L122" s="19"/>
      <c r="M122" s="209"/>
      <c r="N122" s="207"/>
      <c r="O122" s="207"/>
      <c r="P122" s="207"/>
      <c r="Q122" s="210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8.75" hidden="false" customHeight="true" outlineLevel="0" collapsed="false">
      <c r="A123" s="255" t="s">
        <v>108</v>
      </c>
      <c r="B123" s="256"/>
      <c r="C123" s="256"/>
      <c r="D123" s="256"/>
      <c r="E123" s="137" t="n">
        <f aca="false">D105</f>
        <v>1000</v>
      </c>
      <c r="F123" s="19"/>
      <c r="G123" s="255" t="s">
        <v>108</v>
      </c>
      <c r="H123" s="256"/>
      <c r="I123" s="256"/>
      <c r="J123" s="256"/>
      <c r="K123" s="137" t="n">
        <f aca="false">J105</f>
        <v>5000</v>
      </c>
      <c r="L123" s="19"/>
      <c r="M123" s="255" t="s">
        <v>108</v>
      </c>
      <c r="N123" s="256"/>
      <c r="O123" s="256"/>
      <c r="P123" s="256"/>
      <c r="Q123" s="137" t="n">
        <f aca="false">P105</f>
        <v>0</v>
      </c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8.75" hidden="false" customHeight="true" outlineLevel="0" collapsed="false">
      <c r="A124" s="209" t="s">
        <v>152</v>
      </c>
      <c r="B124" s="207"/>
      <c r="C124" s="207"/>
      <c r="D124" s="207"/>
      <c r="E124" s="273" t="n">
        <f aca="false">A108</f>
        <v>199.99</v>
      </c>
      <c r="F124" s="19"/>
      <c r="G124" s="209" t="s">
        <v>152</v>
      </c>
      <c r="H124" s="207"/>
      <c r="I124" s="207"/>
      <c r="J124" s="207"/>
      <c r="K124" s="273" t="n">
        <f aca="false">G108</f>
        <v>239.988</v>
      </c>
      <c r="L124" s="19"/>
      <c r="M124" s="209" t="s">
        <v>152</v>
      </c>
      <c r="N124" s="207"/>
      <c r="O124" s="207"/>
      <c r="P124" s="207"/>
      <c r="Q124" s="273" t="n">
        <f aca="false">M108</f>
        <v>199.99</v>
      </c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8.75" hidden="false" customHeight="true" outlineLevel="0" collapsed="false">
      <c r="A125" s="290" t="s">
        <v>269</v>
      </c>
      <c r="B125" s="253"/>
      <c r="C125" s="253"/>
      <c r="D125" s="253"/>
      <c r="E125" s="139" t="n">
        <f aca="false">(E124+E123)-E120</f>
        <v>-2800.01</v>
      </c>
      <c r="F125" s="19"/>
      <c r="G125" s="290" t="s">
        <v>269</v>
      </c>
      <c r="H125" s="253"/>
      <c r="I125" s="253"/>
      <c r="J125" s="253"/>
      <c r="K125" s="139" t="n">
        <f aca="false">(K124+K123)-K120</f>
        <v>7239.988</v>
      </c>
      <c r="L125" s="19"/>
      <c r="M125" s="290" t="s">
        <v>269</v>
      </c>
      <c r="N125" s="253"/>
      <c r="O125" s="253"/>
      <c r="P125" s="253"/>
      <c r="Q125" s="139" t="n">
        <f aca="false">(Q124+Q123)-Q120</f>
        <v>2199.99</v>
      </c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8.75" hidden="false" customHeight="true" outlineLevel="0" collapsed="false">
      <c r="A126" s="209"/>
      <c r="B126" s="207"/>
      <c r="C126" s="207"/>
      <c r="D126" s="207"/>
      <c r="E126" s="210"/>
      <c r="F126" s="19"/>
      <c r="G126" s="209"/>
      <c r="H126" s="207"/>
      <c r="I126" s="207"/>
      <c r="J126" s="207"/>
      <c r="K126" s="210"/>
      <c r="L126" s="19"/>
      <c r="M126" s="209"/>
      <c r="N126" s="207"/>
      <c r="O126" s="207"/>
      <c r="P126" s="207"/>
      <c r="Q126" s="210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8.75" hidden="false" customHeight="true" outlineLevel="0" collapsed="false">
      <c r="A127" s="209"/>
      <c r="B127" s="207"/>
      <c r="C127" s="207"/>
      <c r="D127" s="207"/>
      <c r="E127" s="210"/>
      <c r="F127" s="19"/>
      <c r="G127" s="209"/>
      <c r="H127" s="207"/>
      <c r="I127" s="207"/>
      <c r="J127" s="207"/>
      <c r="K127" s="210"/>
      <c r="L127" s="19"/>
      <c r="M127" s="209"/>
      <c r="N127" s="207"/>
      <c r="O127" s="207"/>
      <c r="P127" s="207"/>
      <c r="Q127" s="210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8.75" hidden="false" customHeight="true" outlineLevel="0" collapsed="false">
      <c r="A128" s="211" t="s">
        <v>270</v>
      </c>
      <c r="B128" s="211"/>
      <c r="C128" s="211"/>
      <c r="D128" s="211"/>
      <c r="E128" s="211"/>
      <c r="F128" s="19"/>
      <c r="G128" s="211" t="s">
        <v>270</v>
      </c>
      <c r="H128" s="211"/>
      <c r="I128" s="211"/>
      <c r="J128" s="211"/>
      <c r="K128" s="211"/>
      <c r="L128" s="19"/>
      <c r="M128" s="211" t="s">
        <v>270</v>
      </c>
      <c r="N128" s="211"/>
      <c r="O128" s="211"/>
      <c r="P128" s="211"/>
      <c r="Q128" s="211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8.75" hidden="false" customHeight="true" outlineLevel="0" collapsed="false">
      <c r="A129" s="291"/>
      <c r="B129" s="292"/>
      <c r="C129" s="292"/>
      <c r="D129" s="292"/>
      <c r="E129" s="293"/>
      <c r="F129" s="19"/>
      <c r="G129" s="209"/>
      <c r="H129" s="207"/>
      <c r="I129" s="207"/>
      <c r="J129" s="207"/>
      <c r="K129" s="210"/>
      <c r="L129" s="19"/>
      <c r="M129" s="209"/>
      <c r="N129" s="207"/>
      <c r="O129" s="207"/>
      <c r="P129" s="207"/>
      <c r="Q129" s="210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8.75" hidden="false" customHeight="true" outlineLevel="0" collapsed="false">
      <c r="A130" s="294" t="s">
        <v>98</v>
      </c>
      <c r="B130" s="295" t="n">
        <v>0</v>
      </c>
      <c r="C130" s="296"/>
      <c r="D130" s="295" t="s">
        <v>33</v>
      </c>
      <c r="E130" s="297"/>
      <c r="F130" s="19"/>
      <c r="G130" s="209" t="s">
        <v>29</v>
      </c>
      <c r="H130" s="168" t="n">
        <v>0</v>
      </c>
      <c r="I130" s="168"/>
      <c r="J130" s="207"/>
      <c r="K130" s="210"/>
      <c r="L130" s="19"/>
      <c r="M130" s="209" t="s">
        <v>29</v>
      </c>
      <c r="N130" s="168" t="n">
        <v>0</v>
      </c>
      <c r="O130" s="168"/>
      <c r="P130" s="207"/>
      <c r="Q130" s="210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8.75" hidden="false" customHeight="true" outlineLevel="0" collapsed="false">
      <c r="A131" s="298" t="s">
        <v>254</v>
      </c>
      <c r="B131" s="299" t="n">
        <f aca="false">A167</f>
        <v>12</v>
      </c>
      <c r="C131" s="300"/>
      <c r="D131" s="299" t="n">
        <f aca="false">B166</f>
        <v>5000</v>
      </c>
      <c r="E131" s="297"/>
      <c r="F131" s="19"/>
      <c r="G131" s="209"/>
      <c r="H131" s="207"/>
      <c r="I131" s="207"/>
      <c r="J131" s="207"/>
      <c r="K131" s="210"/>
      <c r="L131" s="19"/>
      <c r="M131" s="209"/>
      <c r="N131" s="207"/>
      <c r="O131" s="207"/>
      <c r="P131" s="207"/>
      <c r="Q131" s="210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8.75" hidden="false" customHeight="true" outlineLevel="0" collapsed="false">
      <c r="A132" s="294"/>
      <c r="B132" s="295"/>
      <c r="C132" s="295"/>
      <c r="D132" s="295"/>
      <c r="E132" s="297"/>
      <c r="F132" s="19"/>
      <c r="G132" s="209" t="s">
        <v>28</v>
      </c>
      <c r="H132" s="207" t="s">
        <v>33</v>
      </c>
      <c r="I132" s="207"/>
      <c r="J132" s="207" t="s">
        <v>60</v>
      </c>
      <c r="K132" s="210"/>
      <c r="L132" s="19"/>
      <c r="M132" s="209" t="s">
        <v>28</v>
      </c>
      <c r="N132" s="207" t="s">
        <v>33</v>
      </c>
      <c r="O132" s="207"/>
      <c r="P132" s="207" t="s">
        <v>60</v>
      </c>
      <c r="Q132" s="210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8.75" hidden="false" customHeight="true" outlineLevel="0" collapsed="false">
      <c r="A133" s="294" t="s">
        <v>92</v>
      </c>
      <c r="B133" s="295" t="s">
        <v>271</v>
      </c>
      <c r="C133" s="296"/>
      <c r="D133" s="295" t="s">
        <v>272</v>
      </c>
      <c r="E133" s="297"/>
      <c r="F133" s="19"/>
      <c r="G133" s="222" t="n">
        <f aca="false">G158</f>
        <v>12</v>
      </c>
      <c r="H133" s="174" t="n">
        <f aca="false">B157</f>
        <v>0</v>
      </c>
      <c r="I133" s="223"/>
      <c r="J133" s="174" t="n">
        <f aca="false">B64</f>
        <v>3</v>
      </c>
      <c r="K133" s="210"/>
      <c r="L133" s="19"/>
      <c r="M133" s="222" t="n">
        <f aca="false">M161</f>
        <v>12</v>
      </c>
      <c r="N133" s="174" t="n">
        <f aca="false">B157</f>
        <v>0</v>
      </c>
      <c r="O133" s="223"/>
      <c r="P133" s="174" t="n">
        <f aca="false">B64</f>
        <v>3</v>
      </c>
      <c r="Q133" s="210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8.75" hidden="false" customHeight="true" outlineLevel="0" collapsed="false">
      <c r="A134" s="298" t="n">
        <f aca="false">B96</f>
        <v>623.925698086146</v>
      </c>
      <c r="B134" s="296" t="n">
        <f aca="false">IF(A111="YES", B95, 0)</f>
        <v>0</v>
      </c>
      <c r="C134" s="301"/>
      <c r="D134" s="296" t="n">
        <f aca="false">B97</f>
        <v>623.925698086146</v>
      </c>
      <c r="E134" s="297"/>
      <c r="F134" s="19"/>
      <c r="G134" s="209"/>
      <c r="H134" s="207"/>
      <c r="I134" s="207"/>
      <c r="J134" s="207"/>
      <c r="K134" s="210"/>
      <c r="L134" s="19"/>
      <c r="M134" s="209"/>
      <c r="N134" s="207"/>
      <c r="O134" s="207"/>
      <c r="P134" s="207"/>
      <c r="Q134" s="210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8.75" hidden="false" customHeight="true" outlineLevel="0" collapsed="false">
      <c r="A135" s="291"/>
      <c r="B135" s="292"/>
      <c r="C135" s="292"/>
      <c r="D135" s="292"/>
      <c r="E135" s="293"/>
      <c r="F135" s="19"/>
      <c r="G135" s="302" t="s">
        <v>273</v>
      </c>
      <c r="H135" s="303" t="s">
        <v>274</v>
      </c>
      <c r="I135" s="303"/>
      <c r="J135" s="303" t="s">
        <v>275</v>
      </c>
      <c r="K135" s="210"/>
      <c r="L135" s="19"/>
      <c r="M135" s="302" t="s">
        <v>276</v>
      </c>
      <c r="N135" s="303" t="s">
        <v>227</v>
      </c>
      <c r="O135" s="303"/>
      <c r="P135" s="303" t="s">
        <v>93</v>
      </c>
      <c r="Q135" s="210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8.75" hidden="false" customHeight="true" outlineLevel="0" collapsed="false">
      <c r="A136" s="304" t="s">
        <v>23</v>
      </c>
      <c r="B136" s="305" t="s">
        <v>277</v>
      </c>
      <c r="C136" s="306"/>
      <c r="D136" s="305" t="s">
        <v>278</v>
      </c>
      <c r="E136" s="293"/>
      <c r="F136" s="19"/>
      <c r="G136" s="307" t="e">
        <f aca="false">H96</f>
        <v>#DIV/0!</v>
      </c>
      <c r="H136" s="172" t="e">
        <f aca="false">IF(G111="YES", H95*H63, 0)</f>
        <v>#DIV/0!</v>
      </c>
      <c r="I136" s="172"/>
      <c r="J136" s="308" t="e">
        <f aca="false">H97</f>
        <v>#DIV/0!</v>
      </c>
      <c r="K136" s="210"/>
      <c r="L136" s="19"/>
      <c r="M136" s="307" t="e">
        <f aca="false">N96</f>
        <v>#DIV/0!</v>
      </c>
      <c r="N136" s="172" t="e">
        <f aca="false">IF(M111="YES", N95*N63, 0)</f>
        <v>#DIV/0!</v>
      </c>
      <c r="O136" s="172"/>
      <c r="P136" s="172" t="e">
        <f aca="false">N97</f>
        <v>#DIV/0!</v>
      </c>
      <c r="Q136" s="210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8.75" hidden="false" customHeight="true" outlineLevel="0" collapsed="false">
      <c r="A137" s="309" t="str">
        <f aca="false">B105</f>
        <v>Terminal pause with 9 down</v>
      </c>
      <c r="B137" s="201" t="n">
        <f aca="false">B96*B63</f>
        <v>5615.33128277531</v>
      </c>
      <c r="C137" s="292"/>
      <c r="D137" s="201" t="n">
        <f aca="false">IF(A111="YES", B95*B63, 0)</f>
        <v>0</v>
      </c>
      <c r="E137" s="293"/>
      <c r="F137" s="19"/>
      <c r="G137" s="209"/>
      <c r="H137" s="207"/>
      <c r="I137" s="207"/>
      <c r="J137" s="207"/>
      <c r="K137" s="210"/>
      <c r="L137" s="19"/>
      <c r="M137" s="209"/>
      <c r="N137" s="207"/>
      <c r="O137" s="207"/>
      <c r="P137" s="207"/>
      <c r="Q137" s="210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8.75" hidden="false" customHeight="true" outlineLevel="0" collapsed="false">
      <c r="A138" s="291"/>
      <c r="B138" s="292"/>
      <c r="C138" s="292"/>
      <c r="D138" s="292"/>
      <c r="E138" s="293"/>
      <c r="F138" s="19"/>
      <c r="G138" s="209" t="s">
        <v>279</v>
      </c>
      <c r="H138" s="207" t="s">
        <v>280</v>
      </c>
      <c r="I138" s="207"/>
      <c r="J138" s="207" t="s">
        <v>281</v>
      </c>
      <c r="K138" s="210"/>
      <c r="L138" s="19"/>
      <c r="M138" s="209" t="s">
        <v>282</v>
      </c>
      <c r="N138" s="207" t="s">
        <v>216</v>
      </c>
      <c r="O138" s="207"/>
      <c r="P138" s="207" t="s">
        <v>220</v>
      </c>
      <c r="Q138" s="210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8.75" hidden="false" customHeight="true" outlineLevel="0" collapsed="false">
      <c r="A139" s="123" t="s">
        <v>283</v>
      </c>
      <c r="B139" s="200" t="s">
        <v>284</v>
      </c>
      <c r="C139" s="310"/>
      <c r="D139" s="240" t="s">
        <v>177</v>
      </c>
      <c r="E139" s="293"/>
      <c r="F139" s="19"/>
      <c r="G139" s="69" t="e">
        <f aca="false">H96*H63</f>
        <v>#DIV/0!</v>
      </c>
      <c r="H139" s="37" t="e">
        <f aca="false">IF(G111="YES", H95*H63, 0)</f>
        <v>#DIV/0!</v>
      </c>
      <c r="I139" s="215"/>
      <c r="J139" s="37" t="e">
        <f aca="false">H97*H63</f>
        <v>#DIV/0!</v>
      </c>
      <c r="K139" s="210"/>
      <c r="L139" s="19"/>
      <c r="M139" s="69" t="e">
        <f aca="false">N96*N63</f>
        <v>#DIV/0!</v>
      </c>
      <c r="N139" s="37" t="e">
        <f aca="false">IF(M111="YES", N95*N63, 0)</f>
        <v>#DIV/0!</v>
      </c>
      <c r="O139" s="215"/>
      <c r="P139" s="232" t="e">
        <f aca="false">N97*N63</f>
        <v>#DIV/0!</v>
      </c>
      <c r="Q139" s="210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8.75" hidden="false" customHeight="true" outlineLevel="0" collapsed="false">
      <c r="A140" s="70" t="n">
        <f aca="false">B97*B63</f>
        <v>5615.33128277531</v>
      </c>
      <c r="B140" s="201" t="n">
        <f aca="false">E120</f>
        <v>4000</v>
      </c>
      <c r="C140" s="292"/>
      <c r="D140" s="311" t="n">
        <f aca="false">B64</f>
        <v>3</v>
      </c>
      <c r="E140" s="293"/>
      <c r="F140" s="19"/>
      <c r="G140" s="209"/>
      <c r="H140" s="207"/>
      <c r="I140" s="207"/>
      <c r="J140" s="207"/>
      <c r="K140" s="210"/>
      <c r="L140" s="19"/>
      <c r="M140" s="209"/>
      <c r="N140" s="207"/>
      <c r="O140" s="207"/>
      <c r="P140" s="207"/>
      <c r="Q140" s="210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8.75" hidden="false" customHeight="true" outlineLevel="0" collapsed="false">
      <c r="A141" s="70"/>
      <c r="B141" s="312"/>
      <c r="C141" s="292"/>
      <c r="D141" s="292"/>
      <c r="E141" s="293"/>
      <c r="F141" s="19"/>
      <c r="G141" s="209" t="s">
        <v>285</v>
      </c>
      <c r="H141" s="207" t="s">
        <v>286</v>
      </c>
      <c r="I141" s="207"/>
      <c r="J141" s="207" t="s">
        <v>287</v>
      </c>
      <c r="K141" s="210"/>
      <c r="L141" s="19"/>
      <c r="M141" s="209" t="s">
        <v>229</v>
      </c>
      <c r="N141" s="207" t="s">
        <v>230</v>
      </c>
      <c r="O141" s="207"/>
      <c r="P141" s="207" t="s">
        <v>235</v>
      </c>
      <c r="Q141" s="210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8.75" hidden="false" customHeight="true" outlineLevel="0" collapsed="false">
      <c r="A142" s="78" t="s">
        <v>92</v>
      </c>
      <c r="B142" s="313" t="s">
        <v>271</v>
      </c>
      <c r="C142" s="292"/>
      <c r="D142" s="292" t="s">
        <v>272</v>
      </c>
      <c r="E142" s="293"/>
      <c r="F142" s="19"/>
      <c r="G142" s="70" t="n">
        <f aca="false">E15*0.000006</f>
        <v>0.35115</v>
      </c>
      <c r="H142" s="37" t="n">
        <f aca="false">IF(G111="YES", E15*0.000002, 0)</f>
        <v>0.11705</v>
      </c>
      <c r="I142" s="37"/>
      <c r="J142" s="37" t="n">
        <f aca="false">G142+H142</f>
        <v>0.4682</v>
      </c>
      <c r="K142" s="177"/>
      <c r="L142" s="19"/>
      <c r="M142" s="70" t="n">
        <f aca="false">E15*0.000006</f>
        <v>0.35115</v>
      </c>
      <c r="N142" s="37" t="n">
        <f aca="false">IF(M111="YES", E15*0.000002, 0)</f>
        <v>0.11705</v>
      </c>
      <c r="O142" s="37"/>
      <c r="P142" s="37" t="n">
        <f aca="false">M142+N142</f>
        <v>0.4682</v>
      </c>
      <c r="Q142" s="177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8.75" hidden="false" customHeight="true" outlineLevel="0" collapsed="false">
      <c r="A143" s="70" t="n">
        <f aca="false">B96</f>
        <v>623.925698086146</v>
      </c>
      <c r="B143" s="201" t="n">
        <f aca="false">IF(A111="YES", B95, 0)</f>
        <v>0</v>
      </c>
      <c r="C143" s="292"/>
      <c r="D143" s="201" t="n">
        <f aca="false">B97</f>
        <v>623.925698086146</v>
      </c>
      <c r="E143" s="293"/>
      <c r="F143" s="19"/>
      <c r="G143" s="209"/>
      <c r="H143" s="207"/>
      <c r="I143" s="207"/>
      <c r="J143" s="207"/>
      <c r="K143" s="210"/>
      <c r="L143" s="19"/>
      <c r="M143" s="209"/>
      <c r="N143" s="207"/>
      <c r="O143" s="207"/>
      <c r="P143" s="207"/>
      <c r="Q143" s="210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8.75" hidden="false" customHeight="true" outlineLevel="0" collapsed="false">
      <c r="A144" s="291"/>
      <c r="B144" s="292"/>
      <c r="C144" s="292"/>
      <c r="D144" s="292"/>
      <c r="E144" s="293"/>
      <c r="F144" s="19"/>
      <c r="G144" s="209" t="s">
        <v>288</v>
      </c>
      <c r="H144" s="207" t="s">
        <v>289</v>
      </c>
      <c r="I144" s="207"/>
      <c r="J144" s="207" t="s">
        <v>290</v>
      </c>
      <c r="K144" s="210"/>
      <c r="L144" s="19"/>
      <c r="M144" s="209" t="s">
        <v>111</v>
      </c>
      <c r="N144" s="207" t="s">
        <v>289</v>
      </c>
      <c r="O144" s="207"/>
      <c r="P144" s="207" t="s">
        <v>290</v>
      </c>
      <c r="Q144" s="210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8.75" hidden="false" customHeight="true" outlineLevel="0" collapsed="false">
      <c r="A145" s="314" t="s">
        <v>180</v>
      </c>
      <c r="B145" s="315" t="s">
        <v>291</v>
      </c>
      <c r="C145" s="201"/>
      <c r="D145" s="315" t="s">
        <v>182</v>
      </c>
      <c r="E145" s="177"/>
      <c r="F145" s="19"/>
      <c r="G145" s="70" t="n">
        <f aca="false">G108</f>
        <v>239.988</v>
      </c>
      <c r="H145" s="37" t="n">
        <f aca="false">H73/1.2</f>
        <v>241.1875</v>
      </c>
      <c r="I145" s="37"/>
      <c r="J145" s="37" t="n">
        <f aca="false">H108*0.9</f>
        <v>1080</v>
      </c>
      <c r="K145" s="177"/>
      <c r="L145" s="19"/>
      <c r="M145" s="70" t="n">
        <f aca="false">M108</f>
        <v>199.99</v>
      </c>
      <c r="N145" s="37" t="n">
        <f aca="false">N73/1.2</f>
        <v>241.1875</v>
      </c>
      <c r="O145" s="37"/>
      <c r="P145" s="37" t="n">
        <f aca="false">N108*0.9</f>
        <v>1080</v>
      </c>
      <c r="Q145" s="177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8.75" hidden="false" customHeight="true" outlineLevel="0" collapsed="false">
      <c r="A146" s="316" t="n">
        <f aca="false">(G18*0.000006)*1.2*100</f>
        <v>41.6772</v>
      </c>
      <c r="B146" s="317" t="n">
        <f aca="false">G18*0.000002 *1.2*100</f>
        <v>13.8924</v>
      </c>
      <c r="C146" s="292"/>
      <c r="D146" s="317" t="n">
        <f aca="false">A146+B146</f>
        <v>55.5696</v>
      </c>
      <c r="E146" s="293"/>
      <c r="F146" s="19"/>
      <c r="G146" s="209"/>
      <c r="H146" s="207"/>
      <c r="I146" s="207"/>
      <c r="J146" s="207"/>
      <c r="K146" s="210"/>
      <c r="L146" s="19"/>
      <c r="M146" s="209"/>
      <c r="N146" s="207"/>
      <c r="O146" s="207"/>
      <c r="P146" s="207"/>
      <c r="Q146" s="210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8.75" hidden="false" customHeight="true" outlineLevel="0" collapsed="false">
      <c r="A147" s="316"/>
      <c r="B147" s="317"/>
      <c r="C147" s="292"/>
      <c r="D147" s="317"/>
      <c r="E147" s="293"/>
      <c r="F147" s="19"/>
      <c r="G147" s="209" t="s">
        <v>292</v>
      </c>
      <c r="H147" s="207" t="s">
        <v>293</v>
      </c>
      <c r="I147" s="207"/>
      <c r="J147" s="207" t="s">
        <v>294</v>
      </c>
      <c r="K147" s="210"/>
      <c r="L147" s="19"/>
      <c r="M147" s="209" t="s">
        <v>292</v>
      </c>
      <c r="N147" s="207" t="s">
        <v>293</v>
      </c>
      <c r="O147" s="207"/>
      <c r="P147" s="207" t="s">
        <v>294</v>
      </c>
      <c r="Q147" s="210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8.75" hidden="false" customHeight="true" outlineLevel="0" collapsed="false">
      <c r="A148" s="314" t="s">
        <v>295</v>
      </c>
      <c r="B148" s="315" t="s">
        <v>152</v>
      </c>
      <c r="C148" s="201"/>
      <c r="D148" s="315" t="s">
        <v>246</v>
      </c>
      <c r="E148" s="293"/>
      <c r="F148" s="19"/>
      <c r="G148" s="70" t="n">
        <f aca="false">IF(G111="YES", ((A41*H111)*0.1)*(G133), 0)</f>
        <v>0</v>
      </c>
      <c r="H148" s="37" t="n">
        <f aca="false">G108-100</f>
        <v>139.988</v>
      </c>
      <c r="I148" s="37"/>
      <c r="J148" s="37" t="n">
        <f aca="false">(H145+J145+G148+H148)-H151</f>
        <v>1461.1755</v>
      </c>
      <c r="K148" s="177"/>
      <c r="L148" s="19"/>
      <c r="M148" s="70" t="n">
        <f aca="false">IF(M111="YES", ((A41*N111)*0.1)*(M133), 0)</f>
        <v>0</v>
      </c>
      <c r="N148" s="37" t="n">
        <f aca="false">M108-100</f>
        <v>99.99</v>
      </c>
      <c r="O148" s="37"/>
      <c r="P148" s="37" t="n">
        <f aca="false">(N145+P145+M148+N148)-N151</f>
        <v>1421.1775</v>
      </c>
      <c r="Q148" s="177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8.75" hidden="false" customHeight="true" outlineLevel="0" collapsed="false">
      <c r="A149" s="70" t="n">
        <v>0</v>
      </c>
      <c r="B149" s="201" t="n">
        <f aca="false">E124</f>
        <v>199.99</v>
      </c>
      <c r="C149" s="292"/>
      <c r="D149" s="152" t="n">
        <f aca="false">B108</f>
        <v>400</v>
      </c>
      <c r="E149" s="293"/>
      <c r="F149" s="19"/>
      <c r="G149" s="209"/>
      <c r="H149" s="207"/>
      <c r="I149" s="207"/>
      <c r="J149" s="207"/>
      <c r="K149" s="210"/>
      <c r="L149" s="19"/>
      <c r="M149" s="209"/>
      <c r="N149" s="207"/>
      <c r="O149" s="207"/>
      <c r="P149" s="207"/>
      <c r="Q149" s="210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8.75" hidden="false" customHeight="true" outlineLevel="0" collapsed="false">
      <c r="A150" s="70"/>
      <c r="B150" s="201"/>
      <c r="C150" s="292"/>
      <c r="D150" s="201"/>
      <c r="E150" s="293"/>
      <c r="F150" s="19"/>
      <c r="G150" s="209" t="s">
        <v>296</v>
      </c>
      <c r="H150" s="207" t="s">
        <v>297</v>
      </c>
      <c r="I150" s="207"/>
      <c r="J150" s="207"/>
      <c r="K150" s="210"/>
      <c r="L150" s="19"/>
      <c r="M150" s="209" t="s">
        <v>296</v>
      </c>
      <c r="N150" s="207" t="s">
        <v>297</v>
      </c>
      <c r="O150" s="207"/>
      <c r="P150" s="207"/>
      <c r="Q150" s="210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8.75" hidden="false" customHeight="true" outlineLevel="0" collapsed="false">
      <c r="A151" s="318" t="s">
        <v>298</v>
      </c>
      <c r="B151" s="319"/>
      <c r="C151" s="320"/>
      <c r="D151" s="319"/>
      <c r="E151" s="321"/>
      <c r="F151" s="19"/>
      <c r="G151" s="70" t="n">
        <f aca="false">IF((1200-H108) &lt;= 0, 0, (1200-H108))</f>
        <v>0</v>
      </c>
      <c r="H151" s="37" t="n">
        <f aca="false">(H145+J145+G148+H148)*(G151/H70)</f>
        <v>0</v>
      </c>
      <c r="I151" s="207"/>
      <c r="J151" s="207"/>
      <c r="K151" s="210"/>
      <c r="L151" s="19"/>
      <c r="M151" s="70" t="n">
        <f aca="false">IF((1200-N108) &lt;= 0, 0, (1200-N108))</f>
        <v>0</v>
      </c>
      <c r="N151" s="37" t="n">
        <f aca="false">(N145+P145+M148+N148)*(M151/N70)</f>
        <v>0</v>
      </c>
      <c r="O151" s="207"/>
      <c r="P151" s="207"/>
      <c r="Q151" s="210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8.75" hidden="false" customHeight="true" outlineLevel="0" collapsed="false">
      <c r="A152" s="316"/>
      <c r="B152" s="317"/>
      <c r="C152" s="292"/>
      <c r="D152" s="317"/>
      <c r="E152" s="293"/>
      <c r="F152" s="19"/>
      <c r="G152" s="209"/>
      <c r="H152" s="207"/>
      <c r="I152" s="207"/>
      <c r="J152" s="207"/>
      <c r="K152" s="210"/>
      <c r="L152" s="19"/>
      <c r="M152" s="70"/>
      <c r="N152" s="37"/>
      <c r="O152" s="207"/>
      <c r="P152" s="207"/>
      <c r="Q152" s="210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8.75" hidden="false" customHeight="true" outlineLevel="0" collapsed="false">
      <c r="A153" s="291" t="s">
        <v>299</v>
      </c>
      <c r="B153" s="292" t="s">
        <v>300</v>
      </c>
      <c r="C153" s="292"/>
      <c r="D153" s="292" t="s">
        <v>301</v>
      </c>
      <c r="E153" s="293"/>
      <c r="F153" s="19"/>
      <c r="G153" s="209"/>
      <c r="H153" s="207"/>
      <c r="I153" s="207"/>
      <c r="J153" s="207"/>
      <c r="K153" s="210"/>
      <c r="L153" s="19"/>
      <c r="M153" s="78" t="s">
        <v>302</v>
      </c>
      <c r="N153" s="38" t="s">
        <v>303</v>
      </c>
      <c r="O153" s="207"/>
      <c r="P153" s="207"/>
      <c r="Q153" s="210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8.75" hidden="false" customHeight="true" outlineLevel="0" collapsed="false">
      <c r="A154" s="70" t="n">
        <f aca="false">B73</f>
        <v>578.85</v>
      </c>
      <c r="B154" s="201" t="n">
        <f aca="false">B108</f>
        <v>400</v>
      </c>
      <c r="C154" s="201"/>
      <c r="D154" s="201" t="n">
        <f aca="false">IF(A111="YES", (A41/100*B111)*B131, 0)*0.1</f>
        <v>0</v>
      </c>
      <c r="E154" s="177"/>
      <c r="F154" s="19"/>
      <c r="G154" s="243" t="s">
        <v>304</v>
      </c>
      <c r="H154" s="207"/>
      <c r="I154" s="207"/>
      <c r="J154" s="244"/>
      <c r="K154" s="245"/>
      <c r="L154" s="19"/>
      <c r="M154" s="322" t="n">
        <f aca="false">H40</f>
        <v>0</v>
      </c>
      <c r="N154" s="323" t="n">
        <v>0.99</v>
      </c>
      <c r="O154" s="323"/>
      <c r="P154" s="207"/>
      <c r="Q154" s="210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8.75" hidden="false" customHeight="true" outlineLevel="0" collapsed="false">
      <c r="A155" s="291"/>
      <c r="B155" s="292"/>
      <c r="C155" s="292"/>
      <c r="D155" s="292"/>
      <c r="E155" s="293"/>
      <c r="F155" s="19"/>
      <c r="G155" s="209"/>
      <c r="H155" s="246"/>
      <c r="I155" s="246"/>
      <c r="J155" s="207"/>
      <c r="K155" s="210"/>
      <c r="L155" s="19"/>
      <c r="M155" s="209"/>
      <c r="N155" s="207"/>
      <c r="O155" s="207"/>
      <c r="P155" s="207"/>
      <c r="Q155" s="210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8.75" hidden="false" customHeight="true" outlineLevel="0" collapsed="false">
      <c r="A156" s="291" t="s">
        <v>305</v>
      </c>
      <c r="B156" s="292" t="s">
        <v>297</v>
      </c>
      <c r="C156" s="292"/>
      <c r="D156" s="292" t="s">
        <v>294</v>
      </c>
      <c r="E156" s="293"/>
      <c r="F156" s="19"/>
      <c r="G156" s="248" t="s">
        <v>28</v>
      </c>
      <c r="H156" s="249" t="s">
        <v>33</v>
      </c>
      <c r="I156" s="249"/>
      <c r="J156" s="207"/>
      <c r="K156" s="210"/>
      <c r="L156" s="19"/>
      <c r="M156" s="209"/>
      <c r="N156" s="207"/>
      <c r="O156" s="207"/>
      <c r="P156" s="207"/>
      <c r="Q156" s="210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8.75" hidden="false" customHeight="true" outlineLevel="0" collapsed="false">
      <c r="A157" s="70" t="n">
        <f aca="false">E124-100</f>
        <v>99.99</v>
      </c>
      <c r="B157" s="201" t="n">
        <f aca="false">(A154+B154+D154+A157)*(A149/B70)</f>
        <v>0</v>
      </c>
      <c r="C157" s="201"/>
      <c r="D157" s="201" t="n">
        <f aca="false">(A154+B154+D154+A157)-B157</f>
        <v>1078.84</v>
      </c>
      <c r="E157" s="177"/>
      <c r="F157" s="19"/>
      <c r="G157" s="248"/>
      <c r="H157" s="250" t="n">
        <f aca="false">B57</f>
        <v>5000</v>
      </c>
      <c r="I157" s="250"/>
      <c r="J157" s="207"/>
      <c r="K157" s="210"/>
      <c r="L157" s="19"/>
      <c r="M157" s="243" t="s">
        <v>304</v>
      </c>
      <c r="N157" s="207"/>
      <c r="O157" s="207"/>
      <c r="P157" s="244"/>
      <c r="Q157" s="245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8.75" hidden="false" customHeight="true" outlineLevel="0" collapsed="false">
      <c r="A158" s="291"/>
      <c r="B158" s="292"/>
      <c r="C158" s="292"/>
      <c r="D158" s="292"/>
      <c r="E158" s="293"/>
      <c r="F158" s="19"/>
      <c r="G158" s="251" t="n">
        <f aca="false">A58</f>
        <v>12</v>
      </c>
      <c r="H158" s="92" t="e">
        <f aca="false">H97</f>
        <v>#DIV/0!</v>
      </c>
      <c r="I158" s="92"/>
      <c r="J158" s="207"/>
      <c r="K158" s="210"/>
      <c r="L158" s="19"/>
      <c r="M158" s="209"/>
      <c r="N158" s="246"/>
      <c r="O158" s="246"/>
      <c r="P158" s="207"/>
      <c r="Q158" s="210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8.75" hidden="false" customHeight="true" outlineLevel="0" collapsed="false">
      <c r="A159" s="291" t="s">
        <v>306</v>
      </c>
      <c r="B159" s="292"/>
      <c r="C159" s="292"/>
      <c r="D159" s="292"/>
      <c r="E159" s="293"/>
      <c r="F159" s="19"/>
      <c r="G159" s="209"/>
      <c r="H159" s="207"/>
      <c r="I159" s="207"/>
      <c r="J159" s="207"/>
      <c r="K159" s="210"/>
      <c r="L159" s="19"/>
      <c r="M159" s="248" t="s">
        <v>28</v>
      </c>
      <c r="N159" s="249" t="s">
        <v>33</v>
      </c>
      <c r="O159" s="249"/>
      <c r="P159" s="207"/>
      <c r="Q159" s="210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8.75" hidden="false" customHeight="true" outlineLevel="0" collapsed="false">
      <c r="A160" s="70" t="n">
        <f aca="false">D108</f>
        <v>200</v>
      </c>
      <c r="B160" s="201"/>
      <c r="C160" s="292"/>
      <c r="D160" s="292"/>
      <c r="E160" s="293"/>
      <c r="F160" s="19"/>
      <c r="G160" s="209"/>
      <c r="H160" s="207"/>
      <c r="I160" s="207"/>
      <c r="J160" s="207"/>
      <c r="K160" s="210"/>
      <c r="L160" s="19"/>
      <c r="M160" s="248"/>
      <c r="N160" s="250" t="n">
        <f aca="false">B57</f>
        <v>5000</v>
      </c>
      <c r="O160" s="250"/>
      <c r="P160" s="207"/>
      <c r="Q160" s="210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8.75" hidden="false" customHeight="true" outlineLevel="0" collapsed="false">
      <c r="A161" s="291"/>
      <c r="B161" s="292"/>
      <c r="C161" s="292"/>
      <c r="D161" s="292"/>
      <c r="E161" s="293"/>
      <c r="F161" s="19"/>
      <c r="G161" s="209"/>
      <c r="H161" s="207"/>
      <c r="I161" s="207"/>
      <c r="J161" s="207"/>
      <c r="K161" s="210"/>
      <c r="L161" s="19"/>
      <c r="M161" s="251" t="n">
        <f aca="false">A58</f>
        <v>12</v>
      </c>
      <c r="N161" s="92" t="e">
        <f aca="false">N97</f>
        <v>#DIV/0!</v>
      </c>
      <c r="O161" s="92"/>
      <c r="P161" s="207"/>
      <c r="Q161" s="210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8.75" hidden="false" customHeight="true" outlineLevel="0" collapsed="false">
      <c r="A162" s="291"/>
      <c r="B162" s="292"/>
      <c r="C162" s="292"/>
      <c r="D162" s="292"/>
      <c r="E162" s="293"/>
      <c r="F162" s="19"/>
      <c r="G162" s="209"/>
      <c r="H162" s="207"/>
      <c r="I162" s="207"/>
      <c r="J162" s="207"/>
      <c r="K162" s="210"/>
      <c r="L162" s="19"/>
      <c r="M162" s="209"/>
      <c r="N162" s="207"/>
      <c r="O162" s="207"/>
      <c r="P162" s="207"/>
      <c r="Q162" s="210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8.75" hidden="false" customHeight="true" outlineLevel="0" collapsed="false">
      <c r="A163" s="324" t="s">
        <v>304</v>
      </c>
      <c r="B163" s="292"/>
      <c r="C163" s="292"/>
      <c r="D163" s="325"/>
      <c r="E163" s="326"/>
      <c r="F163" s="19"/>
      <c r="G163" s="252"/>
      <c r="H163" s="253"/>
      <c r="I163" s="253"/>
      <c r="J163" s="253"/>
      <c r="K163" s="254"/>
      <c r="L163" s="19"/>
      <c r="M163" s="209"/>
      <c r="N163" s="207"/>
      <c r="O163" s="207"/>
      <c r="P163" s="207"/>
      <c r="Q163" s="210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8.75" hidden="false" customHeight="true" outlineLevel="0" collapsed="false">
      <c r="A164" s="291"/>
      <c r="B164" s="327"/>
      <c r="C164" s="327"/>
      <c r="D164" s="292"/>
      <c r="E164" s="293"/>
      <c r="F164" s="19"/>
      <c r="G164" s="19"/>
      <c r="H164" s="19"/>
      <c r="I164" s="19"/>
      <c r="J164" s="19"/>
      <c r="K164" s="19"/>
      <c r="L164" s="19"/>
      <c r="M164" s="209"/>
      <c r="N164" s="207"/>
      <c r="O164" s="207"/>
      <c r="P164" s="207"/>
      <c r="Q164" s="210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8.75" hidden="false" customHeight="true" outlineLevel="0" collapsed="false">
      <c r="A165" s="248" t="s">
        <v>28</v>
      </c>
      <c r="B165" s="249" t="s">
        <v>33</v>
      </c>
      <c r="C165" s="249"/>
      <c r="D165" s="292"/>
      <c r="E165" s="293"/>
      <c r="F165" s="19"/>
      <c r="G165" s="19"/>
      <c r="H165" s="19"/>
      <c r="I165" s="19"/>
      <c r="J165" s="19"/>
      <c r="K165" s="19"/>
      <c r="L165" s="19"/>
      <c r="M165" s="209"/>
      <c r="N165" s="207"/>
      <c r="O165" s="207"/>
      <c r="P165" s="207"/>
      <c r="Q165" s="210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8.75" hidden="false" customHeight="true" outlineLevel="0" collapsed="false">
      <c r="A166" s="248"/>
      <c r="B166" s="250" t="n">
        <f aca="false">B57</f>
        <v>5000</v>
      </c>
      <c r="C166" s="250"/>
      <c r="D166" s="292"/>
      <c r="E166" s="293"/>
      <c r="F166" s="19"/>
      <c r="G166" s="19"/>
      <c r="H166" s="19"/>
      <c r="I166" s="19"/>
      <c r="J166" s="19"/>
      <c r="K166" s="19"/>
      <c r="L166" s="19"/>
      <c r="M166" s="209"/>
      <c r="N166" s="207"/>
      <c r="O166" s="207"/>
      <c r="P166" s="207"/>
      <c r="Q166" s="210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8.75" hidden="false" customHeight="true" outlineLevel="0" collapsed="false">
      <c r="A167" s="251" t="n">
        <f aca="false">A58</f>
        <v>12</v>
      </c>
      <c r="B167" s="92" t="n">
        <f aca="false">B97</f>
        <v>623.925698086146</v>
      </c>
      <c r="C167" s="92"/>
      <c r="D167" s="292"/>
      <c r="E167" s="293"/>
      <c r="F167" s="19"/>
      <c r="G167" s="19"/>
      <c r="H167" s="19"/>
      <c r="I167" s="19"/>
      <c r="J167" s="19"/>
      <c r="K167" s="19"/>
      <c r="L167" s="19"/>
      <c r="M167" s="209"/>
      <c r="N167" s="207"/>
      <c r="O167" s="207"/>
      <c r="P167" s="207"/>
      <c r="Q167" s="210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8.75" hidden="false" customHeight="true" outlineLevel="0" collapsed="false">
      <c r="A168" s="291"/>
      <c r="B168" s="292"/>
      <c r="C168" s="292"/>
      <c r="D168" s="292"/>
      <c r="E168" s="293"/>
      <c r="F168" s="19"/>
      <c r="G168" s="19"/>
      <c r="H168" s="19"/>
      <c r="I168" s="19"/>
      <c r="J168" s="19"/>
      <c r="K168" s="19"/>
      <c r="L168" s="19"/>
      <c r="M168" s="252"/>
      <c r="N168" s="253"/>
      <c r="O168" s="253"/>
      <c r="P168" s="253"/>
      <c r="Q168" s="254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8.75" hidden="false" customHeight="true" outlineLevel="0" collapsed="false">
      <c r="A169" s="291"/>
      <c r="B169" s="292"/>
      <c r="C169" s="292"/>
      <c r="D169" s="292"/>
      <c r="E169" s="293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8.75" hidden="false" customHeight="true" outlineLevel="0" collapsed="false">
      <c r="A170" s="291"/>
      <c r="B170" s="292"/>
      <c r="C170" s="292"/>
      <c r="D170" s="292"/>
      <c r="E170" s="293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8.75" hidden="false" customHeight="true" outlineLevel="0" collapsed="false">
      <c r="A171" s="328" t="s">
        <v>270</v>
      </c>
      <c r="B171" s="328"/>
      <c r="C171" s="328"/>
      <c r="D171" s="328"/>
      <c r="E171" s="328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8.75" hidden="false" customHeight="true" outlineLevel="0" collapsed="false">
      <c r="A172" s="291"/>
      <c r="B172" s="329"/>
      <c r="C172" s="329"/>
      <c r="D172" s="329"/>
      <c r="E172" s="293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8.75" hidden="false" customHeight="true" outlineLevel="0" collapsed="false">
      <c r="A173" s="294" t="s">
        <v>98</v>
      </c>
      <c r="B173" s="330" t="s">
        <v>174</v>
      </c>
      <c r="C173" s="331"/>
      <c r="D173" s="330" t="s">
        <v>33</v>
      </c>
      <c r="E173" s="297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8.75" hidden="false" customHeight="true" outlineLevel="0" collapsed="false">
      <c r="A174" s="298" t="s">
        <v>254</v>
      </c>
      <c r="B174" s="332" t="n">
        <f aca="false">A167</f>
        <v>12</v>
      </c>
      <c r="C174" s="333"/>
      <c r="D174" s="331" t="n">
        <f aca="false">B166</f>
        <v>5000</v>
      </c>
      <c r="E174" s="297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8.75" hidden="false" customHeight="true" outlineLevel="0" collapsed="false">
      <c r="A175" s="294"/>
      <c r="B175" s="330"/>
      <c r="C175" s="330"/>
      <c r="D175" s="330"/>
      <c r="E175" s="297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8.75" hidden="false" customHeight="true" outlineLevel="0" collapsed="false">
      <c r="A176" s="294" t="s">
        <v>92</v>
      </c>
      <c r="B176" s="330" t="s">
        <v>271</v>
      </c>
      <c r="C176" s="331"/>
      <c r="D176" s="330" t="s">
        <v>272</v>
      </c>
      <c r="E176" s="297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8.75" hidden="false" customHeight="true" outlineLevel="0" collapsed="false">
      <c r="A177" s="298" t="n">
        <f aca="false">B96</f>
        <v>623.925698086146</v>
      </c>
      <c r="B177" s="331" t="n">
        <f aca="false">IF(A111="YES", B95, 0)</f>
        <v>0</v>
      </c>
      <c r="C177" s="334"/>
      <c r="D177" s="331" t="n">
        <f aca="false">B91</f>
        <v>11390.6166666667</v>
      </c>
      <c r="E177" s="297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8.75" hidden="false" customHeight="true" outlineLevel="0" collapsed="false">
      <c r="A178" s="291"/>
      <c r="B178" s="329"/>
      <c r="C178" s="329"/>
      <c r="D178" s="329"/>
      <c r="E178" s="293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8.75" hidden="false" customHeight="true" outlineLevel="0" collapsed="false">
      <c r="A179" s="304" t="s">
        <v>23</v>
      </c>
      <c r="B179" s="335" t="s">
        <v>277</v>
      </c>
      <c r="C179" s="223"/>
      <c r="D179" s="335" t="s">
        <v>278</v>
      </c>
      <c r="E179" s="293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8.75" hidden="false" customHeight="true" outlineLevel="0" collapsed="false">
      <c r="A180" s="309" t="str">
        <f aca="false">B105</f>
        <v>Terminal pause with 9 down</v>
      </c>
      <c r="B180" s="37" t="n">
        <f aca="false">B96*B63</f>
        <v>5615.33128277531</v>
      </c>
      <c r="C180" s="329"/>
      <c r="D180" s="37" t="n">
        <f aca="false">IF(A111="YES", B95*B63, 0)</f>
        <v>0</v>
      </c>
      <c r="E180" s="293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8.75" hidden="false" customHeight="true" outlineLevel="0" collapsed="false">
      <c r="A181" s="291"/>
      <c r="B181" s="329"/>
      <c r="C181" s="329"/>
      <c r="D181" s="329"/>
      <c r="E181" s="293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8.75" hidden="false" customHeight="true" outlineLevel="0" collapsed="false">
      <c r="A182" s="123" t="s">
        <v>283</v>
      </c>
      <c r="B182" s="38" t="s">
        <v>284</v>
      </c>
      <c r="C182" s="336"/>
      <c r="D182" s="233" t="s">
        <v>177</v>
      </c>
      <c r="E182" s="293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8.75" hidden="false" customHeight="true" outlineLevel="0" collapsed="false">
      <c r="A183" s="70" t="n">
        <f aca="false">B97*B63</f>
        <v>5615.33128277531</v>
      </c>
      <c r="B183" s="37" t="n">
        <f aca="false">E120</f>
        <v>4000</v>
      </c>
      <c r="C183" s="329"/>
      <c r="D183" s="337" t="n">
        <f aca="false">B64</f>
        <v>3</v>
      </c>
      <c r="E183" s="293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8.75" hidden="false" customHeight="true" outlineLevel="0" collapsed="false">
      <c r="A184" s="70"/>
      <c r="B184" s="338"/>
      <c r="C184" s="329"/>
      <c r="D184" s="329"/>
      <c r="E184" s="293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8.75" hidden="false" customHeight="true" outlineLevel="0" collapsed="false">
      <c r="A185" s="78" t="s">
        <v>92</v>
      </c>
      <c r="B185" s="339" t="s">
        <v>271</v>
      </c>
      <c r="C185" s="329"/>
      <c r="D185" s="329" t="s">
        <v>272</v>
      </c>
      <c r="E185" s="293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8.75" hidden="false" customHeight="true" outlineLevel="0" collapsed="false">
      <c r="A186" s="70" t="n">
        <f aca="false">B96</f>
        <v>623.925698086146</v>
      </c>
      <c r="B186" s="37" t="n">
        <f aca="false">IF(A111="YES", B95, 0)</f>
        <v>0</v>
      </c>
      <c r="C186" s="329"/>
      <c r="D186" s="37" t="n">
        <f aca="false">B97</f>
        <v>623.925698086146</v>
      </c>
      <c r="E186" s="293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8.75" hidden="false" customHeight="true" outlineLevel="0" collapsed="false">
      <c r="A187" s="291"/>
      <c r="B187" s="329"/>
      <c r="C187" s="329"/>
      <c r="D187" s="329"/>
      <c r="E187" s="293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8.75" hidden="false" customHeight="true" outlineLevel="0" collapsed="false">
      <c r="A188" s="314" t="s">
        <v>180</v>
      </c>
      <c r="B188" s="340" t="s">
        <v>291</v>
      </c>
      <c r="C188" s="37"/>
      <c r="D188" s="340" t="s">
        <v>182</v>
      </c>
      <c r="E188" s="177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8.75" hidden="false" customHeight="true" outlineLevel="0" collapsed="false">
      <c r="A189" s="316" t="n">
        <f aca="false">(G18*0.000006)*1.2*100</f>
        <v>41.6772</v>
      </c>
      <c r="B189" s="341" t="n">
        <f aca="false">G18*0.000002 *1.2*100</f>
        <v>13.8924</v>
      </c>
      <c r="C189" s="329"/>
      <c r="D189" s="341" t="n">
        <f aca="false">A189+B189</f>
        <v>55.5696</v>
      </c>
      <c r="E189" s="293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8.75" hidden="false" customHeight="true" outlineLevel="0" collapsed="false">
      <c r="A190" s="316"/>
      <c r="B190" s="341"/>
      <c r="C190" s="329"/>
      <c r="D190" s="341"/>
      <c r="E190" s="293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8.75" hidden="false" customHeight="true" outlineLevel="0" collapsed="false">
      <c r="A191" s="314" t="s">
        <v>295</v>
      </c>
      <c r="B191" s="340" t="s">
        <v>152</v>
      </c>
      <c r="C191" s="37"/>
      <c r="D191" s="340" t="s">
        <v>246</v>
      </c>
      <c r="E191" s="293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8.75" hidden="false" customHeight="true" outlineLevel="0" collapsed="false">
      <c r="A192" s="70" t="n">
        <v>0</v>
      </c>
      <c r="B192" s="37" t="n">
        <f aca="false">E124</f>
        <v>199.99</v>
      </c>
      <c r="C192" s="329"/>
      <c r="D192" s="152" t="n">
        <f aca="false">B108</f>
        <v>400</v>
      </c>
      <c r="E192" s="293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8.75" hidden="false" customHeight="true" outlineLevel="0" collapsed="false">
      <c r="A193" s="70"/>
      <c r="B193" s="37"/>
      <c r="C193" s="329"/>
      <c r="D193" s="37"/>
      <c r="E193" s="293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8.75" hidden="false" customHeight="true" outlineLevel="0" collapsed="false">
      <c r="A194" s="318" t="s">
        <v>298</v>
      </c>
      <c r="B194" s="319"/>
      <c r="C194" s="320"/>
      <c r="D194" s="319"/>
      <c r="E194" s="321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8.75" hidden="false" customHeight="true" outlineLevel="0" collapsed="false">
      <c r="A195" s="316"/>
      <c r="B195" s="341"/>
      <c r="C195" s="329"/>
      <c r="D195" s="341"/>
      <c r="E195" s="293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8.75" hidden="false" customHeight="true" outlineLevel="0" collapsed="false">
      <c r="A196" s="291" t="s">
        <v>299</v>
      </c>
      <c r="B196" s="329" t="s">
        <v>300</v>
      </c>
      <c r="C196" s="329"/>
      <c r="D196" s="329" t="s">
        <v>301</v>
      </c>
      <c r="E196" s="293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8.75" hidden="false" customHeight="true" outlineLevel="0" collapsed="false">
      <c r="A197" s="70" t="n">
        <f aca="false">B73</f>
        <v>578.85</v>
      </c>
      <c r="B197" s="37" t="n">
        <f aca="false">B108</f>
        <v>400</v>
      </c>
      <c r="C197" s="37"/>
      <c r="D197" s="37" t="n">
        <f aca="false">IF(A111="YES", (A41/100*B111)*B131, 0)*0.1</f>
        <v>0</v>
      </c>
      <c r="E197" s="177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8.75" hidden="false" customHeight="true" outlineLevel="0" collapsed="false">
      <c r="A198" s="291"/>
      <c r="B198" s="329"/>
      <c r="C198" s="329"/>
      <c r="D198" s="329"/>
      <c r="E198" s="293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8.75" hidden="false" customHeight="true" outlineLevel="0" collapsed="false">
      <c r="A199" s="291" t="s">
        <v>305</v>
      </c>
      <c r="B199" s="329" t="s">
        <v>297</v>
      </c>
      <c r="C199" s="329"/>
      <c r="D199" s="329" t="s">
        <v>294</v>
      </c>
      <c r="E199" s="293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8.75" hidden="false" customHeight="true" outlineLevel="0" collapsed="false">
      <c r="A200" s="70" t="n">
        <f aca="false">E124-100</f>
        <v>99.99</v>
      </c>
      <c r="B200" s="37" t="n">
        <f aca="false">(A154+B154+D154+A157)*(A149/B70)</f>
        <v>0</v>
      </c>
      <c r="C200" s="37"/>
      <c r="D200" s="37" t="n">
        <f aca="false">(A154+B154+D154+A157)-B157</f>
        <v>1078.84</v>
      </c>
      <c r="E200" s="177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8.75" hidden="false" customHeight="true" outlineLevel="0" collapsed="false">
      <c r="A201" s="291"/>
      <c r="B201" s="329"/>
      <c r="C201" s="329"/>
      <c r="D201" s="329"/>
      <c r="E201" s="293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8.75" hidden="false" customHeight="true" outlineLevel="0" collapsed="false">
      <c r="A202" s="291" t="s">
        <v>306</v>
      </c>
      <c r="B202" s="329"/>
      <c r="C202" s="329"/>
      <c r="D202" s="329"/>
      <c r="E202" s="293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8.75" hidden="false" customHeight="true" outlineLevel="0" collapsed="false">
      <c r="A203" s="70" t="n">
        <f aca="false">D108</f>
        <v>200</v>
      </c>
      <c r="B203" s="37"/>
      <c r="C203" s="329"/>
      <c r="D203" s="329"/>
      <c r="E203" s="293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8.75" hidden="false" customHeight="true" outlineLevel="0" collapsed="false">
      <c r="A204" s="342"/>
      <c r="B204" s="343"/>
      <c r="C204" s="343"/>
      <c r="D204" s="343"/>
      <c r="E204" s="344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8.75" hidden="false" customHeight="true" outlineLevel="0" collapsed="false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8.75" hidden="false" customHeight="true" outlineLevel="0" collapsed="false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8.75" hidden="false" customHeight="true" outlineLevel="0" collapsed="false">
      <c r="A207" s="328" t="s">
        <v>185</v>
      </c>
      <c r="B207" s="328"/>
      <c r="C207" s="328"/>
      <c r="D207" s="328"/>
      <c r="E207" s="328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8.75" hidden="false" customHeight="true" outlineLevel="0" collapsed="false">
      <c r="A208" s="291"/>
      <c r="B208" s="292"/>
      <c r="C208" s="292"/>
      <c r="D208" s="292"/>
      <c r="E208" s="293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8.75" hidden="false" customHeight="true" outlineLevel="0" collapsed="false">
      <c r="A209" s="294" t="s">
        <v>186</v>
      </c>
      <c r="B209" s="345" t="n">
        <f aca="false">H35</f>
        <v>0</v>
      </c>
      <c r="C209" s="296" t="s">
        <v>188</v>
      </c>
      <c r="D209" s="346" t="n">
        <f aca="false">D70</f>
        <v>4051.95</v>
      </c>
      <c r="E209" s="297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8.75" hidden="false" customHeight="true" outlineLevel="0" collapsed="false">
      <c r="A210" s="298"/>
      <c r="B210" s="299"/>
      <c r="C210" s="300"/>
      <c r="D210" s="299"/>
      <c r="E210" s="297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8.75" hidden="false" customHeight="true" outlineLevel="0" collapsed="false">
      <c r="A211" s="294" t="s">
        <v>189</v>
      </c>
      <c r="B211" s="296" t="n">
        <f aca="false">B219</f>
        <v>578.85</v>
      </c>
      <c r="C211" s="295" t="s">
        <v>190</v>
      </c>
      <c r="D211" s="346" t="n">
        <f aca="false">B225+E221+B221+B223</f>
        <v>339.99</v>
      </c>
      <c r="E211" s="297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8.75" hidden="false" customHeight="true" outlineLevel="0" collapsed="false">
      <c r="A212" s="294"/>
      <c r="B212" s="347"/>
      <c r="C212" s="296"/>
      <c r="D212" s="295"/>
      <c r="E212" s="297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8.75" hidden="false" customHeight="true" outlineLevel="0" collapsed="false">
      <c r="A213" s="298" t="s">
        <v>191</v>
      </c>
      <c r="B213" s="296" t="n">
        <f aca="false">E223</f>
        <v>3813.09</v>
      </c>
      <c r="C213" s="300"/>
      <c r="D213" s="296"/>
      <c r="E213" s="297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8.75" hidden="false" customHeight="true" outlineLevel="0" collapsed="false">
      <c r="A214" s="291"/>
      <c r="B214" s="313"/>
      <c r="C214" s="292"/>
      <c r="D214" s="292"/>
      <c r="E214" s="293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8.75" hidden="false" customHeight="true" outlineLevel="0" collapsed="false">
      <c r="A215" s="222" t="s">
        <v>186</v>
      </c>
      <c r="B215" s="348" t="n">
        <v>0.065</v>
      </c>
      <c r="C215" s="306"/>
      <c r="D215" s="305"/>
      <c r="E215" s="293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8.75" hidden="false" customHeight="true" outlineLevel="0" collapsed="false">
      <c r="A216" s="349"/>
      <c r="B216" s="200"/>
      <c r="C216" s="292"/>
      <c r="D216" s="201"/>
      <c r="E216" s="293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8.75" hidden="false" customHeight="true" outlineLevel="0" collapsed="false">
      <c r="A217" s="350" t="s">
        <v>188</v>
      </c>
      <c r="B217" s="60" t="n">
        <f aca="false">D70</f>
        <v>4051.95</v>
      </c>
      <c r="C217" s="351" t="s">
        <v>194</v>
      </c>
      <c r="D217" s="292"/>
      <c r="E217" s="352" t="n">
        <f aca="false">B72</f>
        <v>0.01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8.75" hidden="false" customHeight="true" outlineLevel="0" collapsed="false">
      <c r="A218" s="69"/>
      <c r="B218" s="200"/>
      <c r="C218" s="310"/>
      <c r="D218" s="240"/>
      <c r="E218" s="293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8.75" hidden="false" customHeight="true" outlineLevel="0" collapsed="false">
      <c r="A219" s="70" t="s">
        <v>194</v>
      </c>
      <c r="B219" s="60" t="n">
        <f aca="false">B73</f>
        <v>578.85</v>
      </c>
      <c r="C219" s="310" t="s">
        <v>307</v>
      </c>
      <c r="D219" s="353"/>
      <c r="E219" s="103" t="n">
        <v>0.001</v>
      </c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8.75" hidden="false" customHeight="true" outlineLevel="0" collapsed="false">
      <c r="A220" s="70"/>
      <c r="B220" s="313"/>
      <c r="C220" s="310"/>
      <c r="D220" s="292"/>
      <c r="E220" s="293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8.75" hidden="false" customHeight="true" outlineLevel="0" collapsed="false">
      <c r="A221" s="70" t="s">
        <v>307</v>
      </c>
      <c r="B221" s="233" t="n">
        <f aca="false">B197*E219*100</f>
        <v>40</v>
      </c>
      <c r="C221" s="310" t="s">
        <v>196</v>
      </c>
      <c r="D221" s="292"/>
      <c r="E221" s="20" t="n">
        <f aca="false">A200</f>
        <v>99.99</v>
      </c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18.75" hidden="false" customHeight="true" outlineLevel="0" collapsed="false">
      <c r="A222" s="70"/>
      <c r="B222" s="200"/>
      <c r="C222" s="310"/>
      <c r="D222" s="201"/>
      <c r="E222" s="293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18.75" hidden="false" customHeight="true" outlineLevel="0" collapsed="false">
      <c r="A223" s="350" t="s">
        <v>308</v>
      </c>
      <c r="B223" s="233" t="n">
        <f aca="false">B84-(B84*(E219*100))</f>
        <v>200</v>
      </c>
      <c r="C223" s="310" t="s">
        <v>191</v>
      </c>
      <c r="D223" s="292"/>
      <c r="E223" s="20" t="n">
        <f aca="false">(B217-B211+D211)</f>
        <v>3813.09</v>
      </c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18.75" hidden="false" customHeight="true" outlineLevel="0" collapsed="false">
      <c r="A224" s="354"/>
      <c r="B224" s="315"/>
      <c r="C224" s="201"/>
      <c r="D224" s="315"/>
      <c r="E224" s="163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18.75" hidden="false" customHeight="true" outlineLevel="0" collapsed="false">
      <c r="A225" s="354" t="s">
        <v>309</v>
      </c>
      <c r="B225" s="315" t="n">
        <f aca="false">D197/0.1</f>
        <v>0</v>
      </c>
      <c r="C225" s="201"/>
      <c r="D225" s="315"/>
      <c r="E225" s="163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18.75" hidden="false" customHeight="true" outlineLevel="0" collapsed="false">
      <c r="A226" s="354"/>
      <c r="B226" s="315"/>
      <c r="C226" s="201"/>
      <c r="D226" s="315"/>
      <c r="E226" s="163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customFormat="false" ht="18.75" hidden="false" customHeight="true" outlineLevel="0" collapsed="false">
      <c r="A227" s="318" t="s">
        <v>310</v>
      </c>
      <c r="B227" s="355"/>
      <c r="C227" s="320"/>
      <c r="D227" s="319"/>
      <c r="E227" s="321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18.75" hidden="false" customHeight="true" outlineLevel="0" collapsed="false">
      <c r="A228" s="316"/>
      <c r="B228" s="356"/>
      <c r="C228" s="292"/>
      <c r="D228" s="317"/>
      <c r="E228" s="293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18.75" hidden="false" customHeight="true" outlineLevel="0" collapsed="false">
      <c r="A229" s="316" t="s">
        <v>198</v>
      </c>
      <c r="B229" s="60" t="n">
        <f aca="false">B77</f>
        <v>200</v>
      </c>
      <c r="C229" s="310" t="s">
        <v>199</v>
      </c>
      <c r="D229" s="317"/>
      <c r="E229" s="150" t="n">
        <f aca="false">B78</f>
        <v>5</v>
      </c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18.75" hidden="false" customHeight="true" outlineLevel="0" collapsed="false">
      <c r="A230" s="316"/>
      <c r="B230" s="356"/>
      <c r="C230" s="310" t="s">
        <v>200</v>
      </c>
      <c r="D230" s="317"/>
      <c r="E230" s="20" t="n">
        <f aca="false">D79</f>
        <v>260</v>
      </c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18.75" hidden="false" customHeight="true" outlineLevel="0" collapsed="false">
      <c r="A231" s="316" t="s">
        <v>201</v>
      </c>
      <c r="B231" s="357" t="n">
        <f aca="false">B74</f>
        <v>0.0075</v>
      </c>
      <c r="C231" s="310" t="s">
        <v>202</v>
      </c>
      <c r="D231" s="317"/>
      <c r="E231" s="352" t="n">
        <f aca="false">B75</f>
        <v>0.12</v>
      </c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8.75" hidden="false" customHeight="true" outlineLevel="0" collapsed="false">
      <c r="A232" s="316"/>
      <c r="B232" s="356"/>
      <c r="C232" s="310" t="s">
        <v>203</v>
      </c>
      <c r="D232" s="317"/>
      <c r="E232" s="20" t="n">
        <f aca="false">B92</f>
        <v>96.4917103670835</v>
      </c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18.75" hidden="false" customHeight="true" outlineLevel="0" collapsed="false">
      <c r="A233" s="316" t="s">
        <v>204</v>
      </c>
      <c r="B233" s="60" t="n">
        <f aca="false">B85</f>
        <v>200</v>
      </c>
      <c r="C233" s="358" t="s">
        <v>311</v>
      </c>
      <c r="D233" s="359"/>
      <c r="E233" s="150" t="n">
        <f aca="false">B80</f>
        <v>0</v>
      </c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18.75" hidden="false" customHeight="true" outlineLevel="0" collapsed="false">
      <c r="A234" s="350"/>
      <c r="B234" s="313"/>
      <c r="C234" s="358"/>
      <c r="D234" s="360"/>
      <c r="E234" s="361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18.75" hidden="false" customHeight="true" outlineLevel="0" collapsed="false">
      <c r="A235" s="70" t="s">
        <v>205</v>
      </c>
      <c r="B235" s="60" t="n">
        <f aca="false">B86</f>
        <v>200</v>
      </c>
      <c r="C235" s="362" t="s">
        <v>312</v>
      </c>
      <c r="D235" s="362"/>
      <c r="E235" s="150" t="n">
        <f aca="false">B81</f>
        <v>0</v>
      </c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18.75" hidden="false" customHeight="true" outlineLevel="0" collapsed="false">
      <c r="A236" s="291"/>
      <c r="B236" s="292"/>
      <c r="C236" s="292"/>
      <c r="D236" s="292"/>
      <c r="E236" s="293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18.75" hidden="false" customHeight="true" outlineLevel="0" collapsed="false">
      <c r="A237" s="291"/>
      <c r="B237" s="292"/>
      <c r="C237" s="292"/>
      <c r="D237" s="292"/>
      <c r="E237" s="293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18.75" hidden="false" customHeight="true" outlineLevel="0" collapsed="false">
      <c r="A238" s="70"/>
      <c r="B238" s="201"/>
      <c r="C238" s="201"/>
      <c r="D238" s="201"/>
      <c r="E238" s="177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18.75" hidden="false" customHeight="true" outlineLevel="0" collapsed="false">
      <c r="A239" s="291"/>
      <c r="B239" s="292"/>
      <c r="C239" s="292"/>
      <c r="D239" s="292"/>
      <c r="E239" s="293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18.75" hidden="false" customHeight="true" outlineLevel="0" collapsed="false">
      <c r="A240" s="291"/>
      <c r="B240" s="292"/>
      <c r="C240" s="292"/>
      <c r="D240" s="292"/>
      <c r="E240" s="293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18.75" hidden="false" customHeight="true" outlineLevel="0" collapsed="false">
      <c r="A241" s="70"/>
      <c r="B241" s="201"/>
      <c r="C241" s="292"/>
      <c r="D241" s="292"/>
      <c r="E241" s="293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18.75" hidden="false" customHeight="true" outlineLevel="0" collapsed="false">
      <c r="A242" s="342"/>
      <c r="B242" s="343"/>
      <c r="C242" s="343"/>
      <c r="D242" s="343"/>
      <c r="E242" s="344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18.75" hidden="false" customHeight="tru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18.75" hidden="false" customHeight="tru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18.75" hidden="false" customHeight="tru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18.75" hidden="false" customHeight="tru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18.75" hidden="false" customHeight="tru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18.75" hidden="false" customHeight="tru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18.75" hidden="false" customHeight="tru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18.75" hidden="false" customHeight="tru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18.75" hidden="false" customHeight="tru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18.75" hidden="false" customHeight="tru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18.75" hidden="false" customHeight="tru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18.75" hidden="false" customHeight="tru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18.75" hidden="false" customHeight="tru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18.75" hidden="false" customHeight="tru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18.75" hidden="false" customHeight="tru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18.75" hidden="false" customHeight="tru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18.75" hidden="false" customHeight="tru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18.75" hidden="false" customHeight="tru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18.75" hidden="false" customHeight="tru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18.75" hidden="false" customHeight="tru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18.75" hidden="false" customHeight="tru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18.75" hidden="false" customHeight="tru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18.75" hidden="false" customHeight="tru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18.75" hidden="false" customHeight="tru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18.75" hidden="false" customHeight="tru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18.75" hidden="false" customHeight="tru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18.75" hidden="false" customHeight="tru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18.75" hidden="false" customHeight="tru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18.75" hidden="false" customHeight="tru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18.75" hidden="false" customHeight="tru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18.75" hidden="false" customHeight="tru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18.75" hidden="false" customHeight="tru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18.75" hidden="false" customHeight="tru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18.75" hidden="false" customHeight="tru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18.75" hidden="false" customHeight="tru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18.75" hidden="false" customHeight="tru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18.75" hidden="false" customHeight="tru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18.75" hidden="false" customHeight="tru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18.75" hidden="false" customHeight="tru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18.75" hidden="false" customHeight="tru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18.75" hidden="false" customHeight="tru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18.75" hidden="false" customHeight="tru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18.75" hidden="false" customHeight="tru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18.75" hidden="false" customHeight="tru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18.75" hidden="false" customHeight="tru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18.75" hidden="false" customHeight="tru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18.75" hidden="false" customHeight="tru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18.75" hidden="false" customHeight="tru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18.75" hidden="false" customHeight="tru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18.75" hidden="false" customHeight="tru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18.75" hidden="false" customHeight="tru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18.75" hidden="false" customHeight="tru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18.75" hidden="false" customHeight="tru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18.75" hidden="false" customHeight="tru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18.75" hidden="false" customHeight="tru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18.75" hidden="false" customHeight="tru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18.75" hidden="false" customHeight="tru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18.75" hidden="false" customHeight="tru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18.75" hidden="false" customHeight="tru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18.75" hidden="false" customHeight="tru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18.75" hidden="false" customHeight="tru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18.75" hidden="false" customHeight="tru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18.75" hidden="false" customHeight="tru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18.75" hidden="false" customHeight="tru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18.75" hidden="false" customHeight="tru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18.75" hidden="false" customHeight="tru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18.75" hidden="false" customHeight="tru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18.75" hidden="false" customHeight="tru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18.75" hidden="false" customHeight="tru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18.75" hidden="false" customHeight="tru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18.75" hidden="false" customHeight="tru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18.75" hidden="false" customHeight="tru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18.75" hidden="false" customHeight="tru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18.75" hidden="false" customHeight="tru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18.75" hidden="false" customHeight="tru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18.75" hidden="false" customHeight="tru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18.75" hidden="false" customHeight="tru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18.75" hidden="false" customHeight="tru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18.75" hidden="false" customHeight="tru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18.75" hidden="false" customHeight="tru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18.75" hidden="false" customHeight="tru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18.75" hidden="false" customHeight="tru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18.75" hidden="false" customHeight="tru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18.75" hidden="false" customHeight="tru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18.75" hidden="false" customHeight="tru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18.75" hidden="false" customHeight="tru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18.75" hidden="false" customHeight="tru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18.75" hidden="false" customHeight="tru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18.75" hidden="false" customHeight="tru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18.75" hidden="false" customHeight="tru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18.75" hidden="false" customHeight="tru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18.75" hidden="false" customHeight="tru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18.75" hidden="false" customHeight="tru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18.75" hidden="false" customHeight="tru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18.75" hidden="false" customHeight="tru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18.75" hidden="false" customHeight="tru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18.75" hidden="false" customHeight="tru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18.75" hidden="false" customHeight="tru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18.75" hidden="false" customHeight="tru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18.75" hidden="false" customHeight="tru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18.75" hidden="false" customHeight="tru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18.75" hidden="false" customHeight="tru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18.75" hidden="false" customHeight="tru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18.75" hidden="false" customHeight="tru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18.75" hidden="false" customHeight="tru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18.75" hidden="false" customHeight="tru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18.75" hidden="false" customHeight="tru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18.75" hidden="false" customHeight="tru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18.75" hidden="false" customHeight="tru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18.75" hidden="false" customHeight="tru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18.75" hidden="false" customHeight="true" outlineLevel="0" collapsed="false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customFormat="false" ht="18.75" hidden="false" customHeight="true" outlineLevel="0" collapsed="false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customFormat="false" ht="18.75" hidden="false" customHeight="tru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customFormat="false" ht="18.75" hidden="false" customHeight="true" outlineLevel="0" collapsed="false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customFormat="false" ht="18.75" hidden="false" customHeight="true" outlineLevel="0" collapsed="false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customFormat="false" ht="18.75" hidden="false" customHeight="true" outlineLevel="0" collapsed="false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customFormat="false" ht="18.75" hidden="false" customHeight="true" outlineLevel="0" collapsed="false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customFormat="false" ht="18.75" hidden="false" customHeight="true" outlineLevel="0" collapsed="false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customFormat="false" ht="18.75" hidden="false" customHeight="true" outlineLevel="0" collapsed="false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59" colorId="64" zoomScale="75" zoomScaleNormal="75" zoomScalePageLayoutView="100" workbookViewId="0">
      <selection pane="topLeft" activeCell="B185" activeCellId="0" sqref="B185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6" customWidth="true" hidden="false" style="1" width="18.88" collapsed="false" outlineLevel="0"/>
    <col min="7" max="7" customWidth="true" hidden="false" style="1" width="23.13" collapsed="false" outlineLevel="0"/>
    <col min="8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4" t="s">
        <v>324</v>
      </c>
      <c r="B1" s="4"/>
      <c r="C1" s="4"/>
      <c r="D1" s="4"/>
      <c r="E1" s="4"/>
      <c r="F1" s="4"/>
      <c r="G1" s="4"/>
      <c r="H1" s="4"/>
      <c r="I1" s="2"/>
      <c r="J1" s="2"/>
    </row>
    <row r="2" customFormat="false" ht="19.7" hidden="false" customHeight="false" outlineLevel="0" collapsed="false">
      <c r="A2" s="99"/>
      <c r="B2" s="8" t="s">
        <v>115</v>
      </c>
      <c r="C2" s="8"/>
      <c r="D2" s="8" t="s">
        <v>116</v>
      </c>
      <c r="E2" s="8"/>
      <c r="F2" s="8" t="s">
        <v>117</v>
      </c>
      <c r="G2" s="8"/>
      <c r="H2" s="9" t="s">
        <v>118</v>
      </c>
      <c r="I2" s="2"/>
      <c r="J2" s="2"/>
    </row>
    <row r="3" customFormat="false" ht="17.35" hidden="false" customHeight="false" outlineLevel="0" collapsed="false">
      <c r="A3" s="55" t="s">
        <v>121</v>
      </c>
      <c r="B3" s="13" t="n">
        <v>46854.17</v>
      </c>
      <c r="C3" s="13" t="n">
        <v>0</v>
      </c>
      <c r="D3" s="13" t="n">
        <v>0</v>
      </c>
      <c r="E3" s="13"/>
      <c r="F3" s="13" t="n">
        <v>833.33</v>
      </c>
      <c r="G3" s="13"/>
      <c r="H3" s="14" t="n">
        <v>0</v>
      </c>
      <c r="I3" s="2"/>
      <c r="J3" s="2"/>
    </row>
    <row r="4" customFormat="false" ht="17.35" hidden="false" customHeight="false" outlineLevel="0" collapsed="false">
      <c r="A4" s="55" t="s">
        <v>122</v>
      </c>
      <c r="B4" s="17" t="n">
        <v>0</v>
      </c>
      <c r="C4" s="17" t="n">
        <v>0</v>
      </c>
      <c r="D4" s="17" t="n">
        <v>0</v>
      </c>
      <c r="E4" s="17"/>
      <c r="F4" s="17" t="n">
        <v>0</v>
      </c>
      <c r="G4" s="17"/>
      <c r="H4" s="18"/>
      <c r="I4" s="2"/>
      <c r="J4" s="2"/>
    </row>
    <row r="5" customFormat="false" ht="17.35" hidden="false" customHeight="false" outlineLevel="0" collapsed="false">
      <c r="A5" s="55" t="s">
        <v>123</v>
      </c>
      <c r="B5" s="13" t="n">
        <v>0</v>
      </c>
      <c r="C5" s="13" t="n">
        <v>0</v>
      </c>
      <c r="D5" s="13" t="n">
        <v>0</v>
      </c>
      <c r="E5" s="13"/>
      <c r="F5" s="13" t="n">
        <v>0</v>
      </c>
      <c r="G5" s="13"/>
      <c r="H5" s="20"/>
      <c r="I5" s="2"/>
      <c r="J5" s="2"/>
    </row>
    <row r="6" customFormat="false" ht="17.35" hidden="false" customHeight="false" outlineLevel="0" collapsed="false">
      <c r="A6" s="55" t="s">
        <v>124</v>
      </c>
      <c r="B6" s="21" t="n">
        <f aca="false">(B3*B4/100)+B5</f>
        <v>0</v>
      </c>
      <c r="C6" s="21" t="n">
        <f aca="false">(C3*C4/100)+C5</f>
        <v>0</v>
      </c>
      <c r="D6" s="21" t="n">
        <f aca="false">(D3*D4/100)+D5</f>
        <v>0</v>
      </c>
      <c r="E6" s="21"/>
      <c r="F6" s="21" t="n">
        <f aca="false">(F3*F4/100)+F5</f>
        <v>0</v>
      </c>
      <c r="G6" s="21"/>
      <c r="H6" s="20"/>
      <c r="I6" s="2"/>
      <c r="J6" s="2"/>
    </row>
    <row r="7" customFormat="false" ht="17.35" hidden="false" customHeight="false" outlineLevel="0" collapsed="false">
      <c r="A7" s="55" t="s">
        <v>125</v>
      </c>
      <c r="B7" s="21" t="n">
        <f aca="false">B3-B6</f>
        <v>46854.17</v>
      </c>
      <c r="C7" s="21" t="n">
        <f aca="false">C3-C6</f>
        <v>0</v>
      </c>
      <c r="D7" s="21" t="n">
        <f aca="false">D3-D6</f>
        <v>0</v>
      </c>
      <c r="E7" s="21"/>
      <c r="F7" s="21" t="n">
        <f aca="false">F3-F6</f>
        <v>833.33</v>
      </c>
      <c r="G7" s="21"/>
      <c r="H7" s="20"/>
      <c r="I7" s="2"/>
      <c r="J7" s="2"/>
    </row>
    <row r="8" customFormat="false" ht="17.35" hidden="false" customHeight="false" outlineLevel="0" collapsed="false">
      <c r="A8" s="55"/>
      <c r="B8" s="25"/>
      <c r="C8" s="25"/>
      <c r="D8" s="25"/>
      <c r="E8" s="25"/>
      <c r="F8" s="25"/>
      <c r="G8" s="25"/>
      <c r="H8" s="20"/>
      <c r="I8" s="2"/>
      <c r="J8" s="2"/>
      <c r="L8" s="26" t="s">
        <v>3</v>
      </c>
      <c r="M8" s="27" t="n">
        <f aca="false">H13+H14</f>
        <v>640</v>
      </c>
    </row>
    <row r="9" customFormat="false" ht="19.7" hidden="false" customHeight="false" outlineLevel="0" collapsed="false">
      <c r="A9" s="153" t="s">
        <v>133</v>
      </c>
      <c r="B9" s="153"/>
      <c r="C9" s="153"/>
      <c r="D9" s="153"/>
      <c r="E9" s="153" t="n">
        <f aca="false">(B7+C7+D7+E3)</f>
        <v>46854.17</v>
      </c>
      <c r="F9" s="153"/>
      <c r="G9" s="29"/>
      <c r="H9" s="30" t="n">
        <f aca="false">B7+D7+F7+H3</f>
        <v>47687.5</v>
      </c>
      <c r="I9" s="2"/>
      <c r="J9" s="2"/>
      <c r="L9" s="27"/>
      <c r="M9" s="27"/>
    </row>
    <row r="10" customFormat="false" ht="17.35" hidden="false" customHeight="false" outlineLevel="0" collapsed="false">
      <c r="A10" s="155" t="s">
        <v>134</v>
      </c>
      <c r="B10" s="155"/>
      <c r="C10" s="155"/>
      <c r="D10" s="155"/>
      <c r="E10" s="155" t="n">
        <v>50</v>
      </c>
      <c r="F10" s="155"/>
      <c r="G10" s="21"/>
      <c r="H10" s="14" t="n">
        <v>550</v>
      </c>
      <c r="I10" s="2"/>
      <c r="J10" s="2"/>
      <c r="L10" s="32" t="s">
        <v>1</v>
      </c>
      <c r="M10" s="27" t="n">
        <f aca="false">H15-H11-M8</f>
        <v>48237.5</v>
      </c>
    </row>
    <row r="11" customFormat="false" ht="17.35" hidden="false" customHeight="false" outlineLevel="0" collapsed="false">
      <c r="A11" s="155" t="s">
        <v>135</v>
      </c>
      <c r="B11" s="155"/>
      <c r="C11" s="155"/>
      <c r="D11" s="155"/>
      <c r="E11" s="155"/>
      <c r="F11" s="155"/>
      <c r="G11" s="21"/>
      <c r="H11" s="20" t="n">
        <f aca="false">(H9+H10)*20%</f>
        <v>9647.5</v>
      </c>
      <c r="I11" s="2"/>
      <c r="J11" s="2"/>
      <c r="L11" s="27"/>
      <c r="M11" s="27"/>
    </row>
    <row r="12" customFormat="false" ht="17.35" hidden="false" customHeight="false" outlineLevel="0" collapsed="false">
      <c r="A12" s="155" t="s">
        <v>136</v>
      </c>
      <c r="B12" s="155"/>
      <c r="C12" s="155"/>
      <c r="D12" s="155"/>
      <c r="E12" s="155"/>
      <c r="F12" s="155"/>
      <c r="G12" s="21"/>
      <c r="H12" s="14" t="n">
        <v>0</v>
      </c>
      <c r="I12" s="2"/>
      <c r="J12" s="2"/>
    </row>
    <row r="13" customFormat="false" ht="17.35" hidden="false" customHeight="false" outlineLevel="0" collapsed="false">
      <c r="A13" s="155" t="s">
        <v>137</v>
      </c>
      <c r="B13" s="155"/>
      <c r="C13" s="155"/>
      <c r="D13" s="155"/>
      <c r="E13" s="155" t="n">
        <v>585</v>
      </c>
      <c r="F13" s="155"/>
      <c r="G13" s="21"/>
      <c r="H13" s="14" t="n">
        <v>585</v>
      </c>
      <c r="I13" s="2"/>
      <c r="J13" s="2"/>
    </row>
    <row r="14" customFormat="false" ht="17.35" hidden="false" customHeight="false" outlineLevel="0" collapsed="false">
      <c r="A14" s="155" t="s">
        <v>138</v>
      </c>
      <c r="B14" s="155"/>
      <c r="C14" s="155"/>
      <c r="D14" s="155"/>
      <c r="E14" s="155" t="n">
        <v>55</v>
      </c>
      <c r="F14" s="155"/>
      <c r="G14" s="21"/>
      <c r="H14" s="14" t="n">
        <v>55</v>
      </c>
      <c r="I14" s="2"/>
      <c r="J14" s="2" t="s">
        <v>13</v>
      </c>
    </row>
    <row r="15" customFormat="false" ht="17.35" hidden="false" customHeight="false" outlineLevel="0" collapsed="false">
      <c r="A15" s="155" t="s">
        <v>139</v>
      </c>
      <c r="B15" s="155"/>
      <c r="C15" s="155"/>
      <c r="D15" s="155"/>
      <c r="E15" s="155"/>
      <c r="F15" s="155"/>
      <c r="G15" s="21"/>
      <c r="H15" s="33" t="n">
        <f aca="false">(H9+H10+H13+H14+H11)-H12</f>
        <v>58525</v>
      </c>
      <c r="I15" s="2"/>
      <c r="J15" s="34" t="n">
        <f aca="false">H15</f>
        <v>58525</v>
      </c>
    </row>
    <row r="16" customFormat="false" ht="17.35" hidden="false" customHeight="false" outlineLevel="0" collapsed="false">
      <c r="A16" s="155" t="s">
        <v>140</v>
      </c>
      <c r="B16" s="155"/>
      <c r="C16" s="155"/>
      <c r="D16" s="155"/>
      <c r="E16" s="155" t="n">
        <v>120</v>
      </c>
      <c r="F16" s="155"/>
      <c r="G16" s="21"/>
      <c r="H16" s="14" t="n">
        <v>0</v>
      </c>
      <c r="I16" s="2"/>
      <c r="J16" s="2"/>
      <c r="Y16" s="36" t="s">
        <v>15</v>
      </c>
    </row>
    <row r="17" customFormat="false" ht="17.35" hidden="false" customHeight="false" outlineLevel="0" collapsed="false">
      <c r="A17" s="70" t="s">
        <v>141</v>
      </c>
      <c r="B17" s="70"/>
      <c r="C17" s="70"/>
      <c r="D17" s="70"/>
      <c r="E17" s="70"/>
      <c r="F17" s="70"/>
      <c r="G17" s="37"/>
      <c r="H17" s="20"/>
      <c r="I17" s="2"/>
      <c r="J17" s="2" t="s">
        <v>16</v>
      </c>
      <c r="Y17" s="36" t="s">
        <v>17</v>
      </c>
    </row>
    <row r="18" customFormat="false" ht="17.35" hidden="false" customHeight="false" outlineLevel="0" collapsed="false">
      <c r="A18" s="158" t="s">
        <v>15</v>
      </c>
      <c r="B18" s="159" t="s">
        <v>142</v>
      </c>
      <c r="C18" s="159"/>
      <c r="D18" s="159"/>
      <c r="E18" s="159"/>
      <c r="F18" s="159"/>
      <c r="G18" s="38"/>
      <c r="H18" s="39" t="n">
        <v>0</v>
      </c>
      <c r="I18" s="2"/>
      <c r="J18" s="34" t="n">
        <f aca="false">(B3+D3+F3+H3+H10)*1.2</f>
        <v>57885</v>
      </c>
      <c r="Y18" s="36" t="s">
        <v>18</v>
      </c>
    </row>
    <row r="19" customFormat="false" ht="17.35" hidden="false" customHeight="false" outlineLevel="0" collapsed="false">
      <c r="A19" s="158" t="s">
        <v>17</v>
      </c>
      <c r="B19" s="159" t="s">
        <v>142</v>
      </c>
      <c r="C19" s="159"/>
      <c r="D19" s="159"/>
      <c r="E19" s="159"/>
      <c r="F19" s="159"/>
      <c r="G19" s="38"/>
      <c r="H19" s="39" t="n">
        <v>0</v>
      </c>
      <c r="I19" s="2"/>
      <c r="J19" s="2"/>
      <c r="Z19" s="2" t="s">
        <v>9</v>
      </c>
    </row>
    <row r="20" customFormat="false" ht="17.35" hidden="false" customHeight="false" outlineLevel="0" collapsed="false">
      <c r="A20" s="158" t="s">
        <v>18</v>
      </c>
      <c r="B20" s="159" t="s">
        <v>142</v>
      </c>
      <c r="C20" s="159"/>
      <c r="D20" s="159"/>
      <c r="E20" s="159"/>
      <c r="F20" s="159"/>
      <c r="G20" s="38"/>
      <c r="H20" s="39" t="n">
        <v>0</v>
      </c>
      <c r="I20" s="2"/>
      <c r="J20" s="2"/>
      <c r="Z20" s="2" t="s">
        <v>10</v>
      </c>
    </row>
    <row r="21" customFormat="false" ht="19.7" hidden="false" customHeight="false" outlineLevel="0" collapsed="false">
      <c r="A21" s="449" t="s">
        <v>143</v>
      </c>
      <c r="B21" s="449"/>
      <c r="C21" s="449"/>
      <c r="D21" s="449"/>
      <c r="E21" s="449"/>
      <c r="F21" s="449"/>
      <c r="G21" s="43"/>
      <c r="H21" s="44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45"/>
      <c r="B22" s="45"/>
      <c r="C22" s="45"/>
      <c r="D22" s="45"/>
      <c r="E22" s="45"/>
      <c r="F22" s="45"/>
      <c r="G22" s="45"/>
      <c r="H22" s="45"/>
      <c r="J22" s="2"/>
      <c r="K22" s="2"/>
      <c r="P22" s="46"/>
    </row>
    <row r="23" customFormat="false" ht="17.35" hidden="false" customHeight="false" outlineLevel="0" collapsed="false">
      <c r="A23" s="45"/>
      <c r="B23" s="45"/>
      <c r="C23" s="45"/>
      <c r="D23" s="45"/>
      <c r="E23" s="45"/>
      <c r="F23" s="45"/>
      <c r="G23" s="45"/>
      <c r="H23" s="45"/>
      <c r="J23" s="2"/>
      <c r="K23" s="2"/>
      <c r="P23" s="46"/>
    </row>
    <row r="24" customFormat="false" ht="46.5" hidden="false" customHeight="true" outlineLevel="0" collapsed="false">
      <c r="A24" s="208" t="s">
        <v>208</v>
      </c>
      <c r="B24" s="208"/>
      <c r="C24" s="208"/>
      <c r="D24" s="208"/>
      <c r="E24" s="208"/>
      <c r="F24" s="19"/>
      <c r="G24" s="19"/>
      <c r="H24" s="19"/>
      <c r="I24" s="0"/>
      <c r="J24" s="0"/>
      <c r="K24" s="0"/>
      <c r="P24" s="46"/>
    </row>
    <row r="25" customFormat="false" ht="17.35" hidden="false" customHeight="false" outlineLevel="0" collapsed="false">
      <c r="A25" s="209"/>
      <c r="B25" s="207"/>
      <c r="C25" s="207"/>
      <c r="D25" s="207"/>
      <c r="E25" s="210"/>
      <c r="F25" s="19"/>
      <c r="G25" s="19"/>
      <c r="H25" s="19"/>
      <c r="I25" s="0"/>
      <c r="J25" s="0"/>
      <c r="K25" s="0"/>
      <c r="P25" s="46"/>
    </row>
    <row r="26" customFormat="false" ht="22.05" hidden="false" customHeight="false" outlineLevel="0" collapsed="false">
      <c r="A26" s="211" t="s">
        <v>209</v>
      </c>
      <c r="B26" s="211"/>
      <c r="C26" s="211"/>
      <c r="D26" s="211"/>
      <c r="E26" s="211"/>
      <c r="F26" s="19"/>
      <c r="G26" s="212"/>
      <c r="H26" s="212"/>
      <c r="I26" s="0"/>
      <c r="J26" s="0"/>
      <c r="K26" s="0"/>
      <c r="P26" s="46"/>
    </row>
    <row r="27" customFormat="false" ht="17.35" hidden="false" customHeight="false" outlineLevel="0" collapsed="false">
      <c r="A27" s="209"/>
      <c r="B27" s="207"/>
      <c r="C27" s="207"/>
      <c r="D27" s="207"/>
      <c r="E27" s="210"/>
      <c r="F27" s="19"/>
      <c r="G27" s="213" t="s">
        <v>46</v>
      </c>
      <c r="H27" s="213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6"/>
    </row>
    <row r="28" customFormat="false" ht="31.8" hidden="false" customHeight="false" outlineLevel="0" collapsed="false">
      <c r="A28" s="214" t="s">
        <v>210</v>
      </c>
      <c r="B28" s="215" t="s">
        <v>211</v>
      </c>
      <c r="C28" s="207"/>
      <c r="D28" s="215" t="s">
        <v>212</v>
      </c>
      <c r="E28" s="210"/>
      <c r="F28" s="19"/>
      <c r="G28" s="213" t="s">
        <v>60</v>
      </c>
      <c r="H28" s="213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6"/>
    </row>
    <row r="29" customFormat="false" ht="17.35" hidden="false" customHeight="false" outlineLevel="0" collapsed="false">
      <c r="A29" s="216" t="s">
        <v>213</v>
      </c>
      <c r="B29" s="217" t="n">
        <v>12345</v>
      </c>
      <c r="C29" s="217"/>
      <c r="D29" s="218" t="n">
        <f aca="true">TODAY()+1</f>
        <v>45008</v>
      </c>
      <c r="E29" s="218"/>
      <c r="F29" s="19"/>
      <c r="G29" s="212" t="s">
        <v>214</v>
      </c>
      <c r="H29" s="212" t="str">
        <f aca="false">B35</f>
        <v>33</v>
      </c>
      <c r="I29" s="0"/>
      <c r="J29" s="0"/>
      <c r="K29" s="0"/>
      <c r="P29" s="46"/>
    </row>
    <row r="30" customFormat="false" ht="17.35" hidden="false" customHeight="false" outlineLevel="0" collapsed="false">
      <c r="A30" s="209"/>
      <c r="B30" s="21"/>
      <c r="C30" s="21"/>
      <c r="D30" s="207"/>
      <c r="E30" s="210"/>
      <c r="F30" s="19"/>
      <c r="G30" s="212" t="s">
        <v>31</v>
      </c>
      <c r="H30" s="212" t="str">
        <f aca="false">D35</f>
        <v>5000</v>
      </c>
      <c r="I30" s="0"/>
      <c r="J30" s="0"/>
      <c r="K30" s="0"/>
      <c r="P30" s="46"/>
    </row>
    <row r="31" customFormat="false" ht="31.8" hidden="false" customHeight="false" outlineLevel="0" collapsed="false">
      <c r="A31" s="214" t="s">
        <v>23</v>
      </c>
      <c r="B31" s="215" t="s">
        <v>215</v>
      </c>
      <c r="C31" s="207"/>
      <c r="D31" s="215" t="s">
        <v>216</v>
      </c>
      <c r="E31" s="210"/>
      <c r="F31" s="19"/>
      <c r="G31" s="212" t="s">
        <v>217</v>
      </c>
      <c r="H31" s="219" t="str">
        <f aca="false">D38</f>
        <v>500</v>
      </c>
      <c r="I31" s="0"/>
      <c r="J31" s="0"/>
      <c r="K31" s="0"/>
      <c r="P31" s="46"/>
    </row>
    <row r="32" customFormat="false" ht="17.35" hidden="false" customHeight="false" outlineLevel="0" collapsed="false">
      <c r="A32" s="216" t="s">
        <v>100</v>
      </c>
      <c r="B32" s="220" t="str">
        <f aca="false">IF(A32=Z103,D38,IF(A32=Z104,D38,IF(A32=Z105,(D38*3),IF(A32=Z106,(D38*6),IF(A32=Z107,(D38*9),IF(A32=Z108,(D38*12),IF(A32=Z109,D38,IF(A32=Z110,D38,IF(A32=Z111,D38,0)))))))))</f>
        <v>500</v>
      </c>
      <c r="C32" s="220"/>
      <c r="D32" s="220" t="n">
        <f aca="false">IF(A32=Z103,A41,IF(A32=Z104,A41,IF(A32=Z105,(A41*3),IF(A32=Z106,(A41*6),IF(A32=Z107,(A41*9),IF(A32=Z108,(A41*12),IF(A32=Z109,A41,IF(A32=Z110,A41,IF(A32=Z111,A41,0)))))))))</f>
        <v>14.2424242424242</v>
      </c>
      <c r="E32" s="220"/>
      <c r="F32" s="19"/>
      <c r="G32" s="221" t="s">
        <v>218</v>
      </c>
      <c r="H32" s="219" t="n">
        <f aca="false">A41</f>
        <v>14.2424242424242</v>
      </c>
      <c r="I32" s="0"/>
      <c r="J32" s="481" t="s">
        <v>365</v>
      </c>
      <c r="K32" s="363" t="s">
        <v>366</v>
      </c>
      <c r="P32" s="46"/>
    </row>
    <row r="33" customFormat="false" ht="17.35" hidden="false" customHeight="false" outlineLevel="0" collapsed="false">
      <c r="A33" s="222"/>
      <c r="B33" s="174"/>
      <c r="C33" s="223"/>
      <c r="D33" s="176"/>
      <c r="E33" s="210"/>
      <c r="F33" s="19"/>
      <c r="G33" s="221" t="s">
        <v>219</v>
      </c>
      <c r="H33" s="219" t="n">
        <f aca="false">D41</f>
        <v>6000</v>
      </c>
      <c r="I33" s="0"/>
      <c r="J33" s="481"/>
      <c r="K33" s="483"/>
      <c r="P33" s="46"/>
    </row>
    <row r="34" customFormat="false" ht="17.35" hidden="false" customHeight="false" outlineLevel="0" collapsed="false">
      <c r="A34" s="222" t="s">
        <v>220</v>
      </c>
      <c r="B34" s="224" t="s">
        <v>221</v>
      </c>
      <c r="C34" s="223"/>
      <c r="D34" s="64" t="s">
        <v>175</v>
      </c>
      <c r="E34" s="210"/>
      <c r="F34" s="19"/>
      <c r="G34" s="221" t="s">
        <v>222</v>
      </c>
      <c r="H34" s="219" t="str">
        <f aca="false">A44</f>
        <v>12</v>
      </c>
      <c r="I34" s="0"/>
      <c r="J34" s="481" t="s">
        <v>367</v>
      </c>
      <c r="K34" s="484" t="s">
        <v>328</v>
      </c>
      <c r="P34" s="46"/>
    </row>
    <row r="35" customFormat="false" ht="17.35" hidden="false" customHeight="false" outlineLevel="0" collapsed="false">
      <c r="A35" s="220" t="n">
        <f aca="false">B32+D32</f>
        <v>514.242424242424</v>
      </c>
      <c r="B35" s="217" t="s">
        <v>356</v>
      </c>
      <c r="C35" s="217"/>
      <c r="D35" s="217" t="s">
        <v>326</v>
      </c>
      <c r="E35" s="217"/>
      <c r="F35" s="19"/>
      <c r="G35" s="225"/>
      <c r="H35" s="226"/>
      <c r="I35" s="0"/>
      <c r="J35" s="481"/>
      <c r="K35" s="483" t="n">
        <v>0.065</v>
      </c>
      <c r="P35" s="46"/>
    </row>
    <row r="36" customFormat="false" ht="17.35" hidden="false" customHeight="false" outlineLevel="0" collapsed="false">
      <c r="A36" s="209"/>
      <c r="B36" s="207"/>
      <c r="C36" s="207"/>
      <c r="D36" s="207"/>
      <c r="E36" s="210"/>
      <c r="F36" s="19"/>
      <c r="G36" s="19" t="s">
        <v>361</v>
      </c>
      <c r="H36" s="455" t="s">
        <v>362</v>
      </c>
      <c r="I36" s="0"/>
      <c r="J36" s="481" t="s">
        <v>368</v>
      </c>
      <c r="K36" s="485" t="n">
        <f aca="false">K32-K34</f>
        <v>47877.5</v>
      </c>
      <c r="P36" s="46"/>
    </row>
    <row r="37" customFormat="false" ht="17.35" hidden="false" customHeight="false" outlineLevel="0" collapsed="false">
      <c r="A37" s="214" t="s">
        <v>223</v>
      </c>
      <c r="B37" s="215" t="s">
        <v>224</v>
      </c>
      <c r="C37" s="207"/>
      <c r="D37" s="215" t="s">
        <v>225</v>
      </c>
      <c r="E37" s="210"/>
      <c r="F37" s="19"/>
      <c r="G37" s="19"/>
      <c r="H37" s="19"/>
      <c r="I37" s="0"/>
      <c r="J37" s="0"/>
      <c r="K37" s="0"/>
      <c r="P37" s="46"/>
    </row>
    <row r="38" customFormat="false" ht="17.35" hidden="false" customHeight="false" outlineLevel="0" collapsed="false">
      <c r="A38" s="227" t="n">
        <f aca="false">(B35/12)*D35</f>
        <v>13750</v>
      </c>
      <c r="B38" s="217" t="s">
        <v>9</v>
      </c>
      <c r="C38" s="217"/>
      <c r="D38" s="60" t="s">
        <v>226</v>
      </c>
      <c r="E38" s="60"/>
      <c r="F38" s="19"/>
      <c r="G38" s="19"/>
      <c r="H38" s="19"/>
      <c r="I38" s="0"/>
      <c r="J38" s="486"/>
      <c r="K38" s="486"/>
      <c r="L38" s="2"/>
      <c r="N38" s="1" t="n">
        <f aca="false">80.88*36</f>
        <v>2911.68</v>
      </c>
      <c r="P38" s="46"/>
    </row>
    <row r="39" customFormat="false" ht="17.35" hidden="false" customHeight="false" outlineLevel="0" collapsed="false">
      <c r="A39" s="229"/>
      <c r="B39" s="223"/>
      <c r="C39" s="223"/>
      <c r="D39" s="207"/>
      <c r="E39" s="210"/>
      <c r="F39" s="19"/>
      <c r="G39" s="19"/>
      <c r="H39" s="228"/>
      <c r="I39" s="0"/>
      <c r="J39" s="0"/>
      <c r="K39" s="0"/>
      <c r="L39" s="2"/>
      <c r="N39" s="1" t="n">
        <f aca="false">K39-L39</f>
        <v>0</v>
      </c>
      <c r="P39" s="46"/>
    </row>
    <row r="40" customFormat="false" ht="17.35" hidden="false" customHeight="false" outlineLevel="0" collapsed="false">
      <c r="A40" s="230" t="s">
        <v>227</v>
      </c>
      <c r="B40" s="231" t="s">
        <v>93</v>
      </c>
      <c r="C40" s="223"/>
      <c r="D40" s="232" t="s">
        <v>228</v>
      </c>
      <c r="E40" s="210"/>
      <c r="F40" s="19"/>
      <c r="G40" s="19"/>
      <c r="H40" s="228"/>
      <c r="I40" s="0"/>
      <c r="J40" s="0"/>
      <c r="K40" s="0"/>
      <c r="L40" s="2"/>
      <c r="N40" s="1" t="n">
        <f aca="false">N38-N39</f>
        <v>2911.68</v>
      </c>
      <c r="P40" s="46"/>
    </row>
    <row r="41" customFormat="false" ht="17.35" hidden="false" customHeight="false" outlineLevel="0" collapsed="false">
      <c r="A41" s="60" t="n">
        <f aca="false">H36/B35</f>
        <v>14.2424242424242</v>
      </c>
      <c r="B41" s="233" t="n">
        <f aca="false">IF(B38="YES", D38+A41, D38)</f>
        <v>514.242424242424</v>
      </c>
      <c r="C41" s="233"/>
      <c r="D41" s="60" t="n">
        <v>6000</v>
      </c>
      <c r="E41" s="60"/>
      <c r="F41" s="19"/>
      <c r="G41" s="19"/>
      <c r="H41" s="235"/>
      <c r="J41" s="2"/>
      <c r="K41" s="2"/>
      <c r="L41" s="2"/>
      <c r="P41" s="46"/>
    </row>
    <row r="42" customFormat="false" ht="17.35" hidden="false" customHeight="false" outlineLevel="0" collapsed="false">
      <c r="A42" s="229"/>
      <c r="B42" s="223"/>
      <c r="C42" s="223"/>
      <c r="D42" s="223"/>
      <c r="E42" s="236"/>
      <c r="F42" s="19"/>
      <c r="G42" s="237" t="s">
        <v>42</v>
      </c>
      <c r="H42" s="237"/>
      <c r="J42" s="2"/>
      <c r="K42" s="2"/>
      <c r="L42" s="2"/>
      <c r="P42" s="46"/>
    </row>
    <row r="43" customFormat="false" ht="17.35" hidden="false" customHeight="false" outlineLevel="0" collapsed="false">
      <c r="A43" s="230" t="s">
        <v>111</v>
      </c>
      <c r="B43" s="231" t="s">
        <v>229</v>
      </c>
      <c r="C43" s="223"/>
      <c r="D43" s="231" t="s">
        <v>230</v>
      </c>
      <c r="E43" s="236"/>
      <c r="F43" s="19"/>
      <c r="G43" s="19" t="s">
        <v>231</v>
      </c>
      <c r="H43" s="228" t="n">
        <f aca="false">((((D38*(B35-1))+B32)/B35) + (A44/B35))</f>
        <v>500.363636363636</v>
      </c>
      <c r="J43" s="2"/>
      <c r="K43" s="2"/>
      <c r="L43" s="2"/>
      <c r="P43" s="46"/>
    </row>
    <row r="44" customFormat="false" ht="17.35" hidden="false" customHeight="false" outlineLevel="0" collapsed="false">
      <c r="A44" s="60" t="s">
        <v>232</v>
      </c>
      <c r="B44" s="234" t="n">
        <v>0</v>
      </c>
      <c r="C44" s="234"/>
      <c r="D44" s="234" t="n">
        <v>0</v>
      </c>
      <c r="E44" s="234"/>
      <c r="F44" s="19"/>
      <c r="G44" s="19" t="s">
        <v>233</v>
      </c>
      <c r="H44" s="228" t="n">
        <f aca="false">H32</f>
        <v>14.2424242424242</v>
      </c>
      <c r="J44" s="2"/>
      <c r="K44" s="2"/>
      <c r="L44" s="2"/>
      <c r="P44" s="46"/>
    </row>
    <row r="45" customFormat="false" ht="17.35" hidden="false" customHeight="false" outlineLevel="0" collapsed="false">
      <c r="A45" s="229"/>
      <c r="B45" s="223"/>
      <c r="C45" s="223"/>
      <c r="D45" s="223"/>
      <c r="E45" s="236"/>
      <c r="F45" s="19"/>
      <c r="G45" s="19" t="s">
        <v>234</v>
      </c>
      <c r="H45" s="239" t="n">
        <f aca="false">H43+H44</f>
        <v>514.606060606061</v>
      </c>
      <c r="J45" s="2"/>
      <c r="K45" s="2"/>
      <c r="L45" s="2"/>
      <c r="P45" s="46"/>
    </row>
    <row r="46" customFormat="false" ht="17.35" hidden="false" customHeight="false" outlineLevel="0" collapsed="false">
      <c r="A46" s="230" t="s">
        <v>235</v>
      </c>
      <c r="B46" s="231" t="s">
        <v>236</v>
      </c>
      <c r="C46" s="223"/>
      <c r="D46" s="231" t="s">
        <v>237</v>
      </c>
      <c r="E46" s="236"/>
      <c r="F46" s="19"/>
      <c r="G46" s="19" t="s">
        <v>238</v>
      </c>
      <c r="H46" s="228" t="n">
        <f aca="false">H43</f>
        <v>500.363636363636</v>
      </c>
      <c r="J46" s="2"/>
      <c r="K46" s="2"/>
      <c r="L46" s="2"/>
      <c r="P46" s="46"/>
    </row>
    <row r="47" customFormat="false" ht="17.35" hidden="false" customHeight="false" outlineLevel="0" collapsed="false">
      <c r="A47" s="240" t="n">
        <v>0</v>
      </c>
      <c r="B47" s="241" t="n">
        <v>0</v>
      </c>
      <c r="C47" s="241"/>
      <c r="D47" s="234" t="n">
        <v>0</v>
      </c>
      <c r="E47" s="234"/>
      <c r="F47" s="19"/>
      <c r="G47" s="19"/>
      <c r="H47" s="228"/>
      <c r="J47" s="2"/>
      <c r="K47" s="2"/>
      <c r="L47" s="2"/>
      <c r="P47" s="46"/>
    </row>
    <row r="48" customFormat="false" ht="17.35" hidden="false" customHeight="false" outlineLevel="0" collapsed="false">
      <c r="A48" s="0"/>
      <c r="B48" s="223"/>
      <c r="C48" s="223"/>
      <c r="D48" s="223"/>
      <c r="E48" s="236"/>
      <c r="F48" s="19"/>
      <c r="G48" s="19"/>
      <c r="H48" s="228"/>
      <c r="J48" s="86"/>
      <c r="K48" s="2"/>
      <c r="L48" s="2"/>
      <c r="P48" s="46"/>
    </row>
    <row r="49" customFormat="false" ht="17.35" hidden="false" customHeight="false" outlineLevel="0" collapsed="false">
      <c r="A49" s="229"/>
      <c r="B49" s="223"/>
      <c r="C49" s="223"/>
      <c r="D49" s="223"/>
      <c r="E49" s="236"/>
      <c r="F49" s="19"/>
      <c r="G49" s="19"/>
      <c r="H49" s="228"/>
      <c r="J49" s="2"/>
      <c r="K49" s="2"/>
      <c r="L49" s="2"/>
      <c r="P49" s="46"/>
    </row>
    <row r="50" customFormat="false" ht="17.35" hidden="false" customHeight="false" outlineLevel="0" collapsed="false">
      <c r="A50" s="209"/>
      <c r="B50" s="246"/>
      <c r="C50" s="246"/>
      <c r="D50" s="207"/>
      <c r="E50" s="210"/>
      <c r="F50" s="0"/>
      <c r="G50" s="0"/>
      <c r="H50" s="0"/>
      <c r="I50" s="2"/>
      <c r="J50" s="2"/>
      <c r="K50" s="2"/>
      <c r="P50" s="46"/>
    </row>
    <row r="51" customFormat="false" ht="19.5" hidden="false" customHeight="true" outlineLevel="0" collapsed="false">
      <c r="A51" s="248" t="s">
        <v>28</v>
      </c>
      <c r="B51" s="249" t="s">
        <v>33</v>
      </c>
      <c r="C51" s="249"/>
      <c r="D51" s="207"/>
      <c r="E51" s="210"/>
      <c r="F51" s="0"/>
      <c r="G51" s="0"/>
      <c r="H51" s="0"/>
      <c r="I51" s="2"/>
      <c r="J51" s="2"/>
      <c r="K51" s="2"/>
      <c r="P51" s="46"/>
    </row>
    <row r="52" customFormat="false" ht="17.35" hidden="false" customHeight="false" outlineLevel="0" collapsed="false">
      <c r="A52" s="248"/>
      <c r="B52" s="250" t="str">
        <f aca="false">H30</f>
        <v>5000</v>
      </c>
      <c r="C52" s="250"/>
      <c r="D52" s="207"/>
      <c r="E52" s="210"/>
      <c r="F52" s="0"/>
      <c r="G52" s="0"/>
      <c r="H52" s="0"/>
      <c r="I52" s="2"/>
      <c r="J52" s="2"/>
      <c r="K52" s="2"/>
      <c r="P52" s="46"/>
    </row>
    <row r="53" customFormat="false" ht="17.35" hidden="false" customHeight="false" outlineLevel="0" collapsed="false">
      <c r="A53" s="251" t="str">
        <f aca="false">H29</f>
        <v>33</v>
      </c>
      <c r="B53" s="92" t="n">
        <f aca="false">H45</f>
        <v>514.606060606061</v>
      </c>
      <c r="C53" s="92"/>
      <c r="D53" s="207"/>
      <c r="E53" s="210"/>
      <c r="F53" s="0"/>
      <c r="G53" s="0"/>
      <c r="H53" s="0"/>
      <c r="I53" s="2"/>
      <c r="J53" s="2"/>
      <c r="K53" s="2"/>
      <c r="P53" s="46"/>
    </row>
    <row r="54" customFormat="false" ht="17.35" hidden="false" customHeight="false" outlineLevel="0" collapsed="false">
      <c r="A54" s="496" t="s">
        <v>4</v>
      </c>
      <c r="B54" s="0"/>
      <c r="C54" s="0"/>
      <c r="D54" s="0"/>
      <c r="E54" s="0"/>
      <c r="F54" s="0"/>
      <c r="G54" s="0"/>
      <c r="H54" s="0"/>
      <c r="I54" s="2"/>
      <c r="J54" s="2"/>
      <c r="K54" s="2"/>
      <c r="P54" s="46"/>
    </row>
    <row r="55" customFormat="false" ht="17.35" hidden="false" customHeight="false" outlineLevel="0" collapsed="false">
      <c r="A55" s="45"/>
      <c r="B55" s="45"/>
      <c r="C55" s="45"/>
      <c r="D55" s="45"/>
      <c r="E55" s="45"/>
      <c r="F55" s="45"/>
      <c r="G55" s="45"/>
      <c r="H55" s="45"/>
      <c r="J55" s="2"/>
      <c r="K55" s="2"/>
      <c r="P55" s="46"/>
    </row>
    <row r="56" customFormat="false" ht="17.35" hidden="false" customHeight="false" outlineLevel="0" collapsed="false">
      <c r="A56" s="45"/>
      <c r="B56" s="45"/>
      <c r="C56" s="45"/>
      <c r="D56" s="45"/>
      <c r="E56" s="45"/>
      <c r="F56" s="45"/>
      <c r="G56" s="45"/>
      <c r="H56" s="45"/>
      <c r="J56" s="2"/>
      <c r="K56" s="2"/>
      <c r="P56" s="46"/>
    </row>
    <row r="57" customFormat="false" ht="17.35" hidden="false" customHeight="false" outlineLevel="0" collapsed="false">
      <c r="A57" s="48"/>
      <c r="B57" s="49"/>
      <c r="C57" s="49"/>
      <c r="D57" s="49"/>
      <c r="E57" s="93"/>
      <c r="F57" s="93"/>
      <c r="G57" s="93"/>
      <c r="H57" s="5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55" t="s">
        <v>46</v>
      </c>
      <c r="B58" s="25" t="n">
        <v>1</v>
      </c>
      <c r="C58" s="488"/>
      <c r="D58" s="25"/>
      <c r="E58" s="94"/>
      <c r="F58" s="94"/>
      <c r="G58" s="94"/>
      <c r="H58" s="2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55" t="s">
        <v>60</v>
      </c>
      <c r="B59" s="25" t="n">
        <f aca="false">B35-B58</f>
        <v>32</v>
      </c>
      <c r="C59" s="488"/>
      <c r="D59" s="25"/>
      <c r="E59" s="94"/>
      <c r="F59" s="94"/>
      <c r="G59" s="94"/>
      <c r="H59" s="2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95" t="s">
        <v>61</v>
      </c>
      <c r="B60" s="96" t="n">
        <v>10</v>
      </c>
      <c r="C60" s="488"/>
      <c r="D60" s="25"/>
      <c r="E60" s="94"/>
      <c r="F60" s="94"/>
      <c r="G60" s="94"/>
      <c r="H60" s="2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55" t="s">
        <v>16</v>
      </c>
      <c r="B61" s="25" t="n">
        <f aca="false">J18</f>
        <v>57885</v>
      </c>
      <c r="C61" s="488"/>
      <c r="D61" s="25"/>
      <c r="E61" s="94"/>
      <c r="F61" s="94"/>
      <c r="G61" s="94"/>
      <c r="H61" s="2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97" t="s">
        <v>62</v>
      </c>
      <c r="B62" s="98" t="n">
        <v>0</v>
      </c>
      <c r="C62" s="488"/>
      <c r="D62" s="25"/>
      <c r="E62" s="94"/>
      <c r="F62" s="94"/>
      <c r="G62" s="94"/>
      <c r="H62" s="20"/>
      <c r="J62" s="0"/>
      <c r="K62" s="489"/>
      <c r="L62" s="0"/>
      <c r="M62" s="0"/>
      <c r="N62" s="0"/>
      <c r="O62" s="0"/>
      <c r="P62" s="0"/>
      <c r="Q62" s="0"/>
      <c r="R62" s="0"/>
      <c r="S62" s="0"/>
      <c r="T62" s="489"/>
      <c r="U62" s="0"/>
      <c r="V62" s="0"/>
      <c r="W62" s="0"/>
      <c r="X62" s="0"/>
      <c r="Y62" s="0"/>
      <c r="Z62" s="0"/>
      <c r="AA62" s="0"/>
      <c r="AB62" s="0"/>
      <c r="AC62" s="489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99" t="s">
        <v>63</v>
      </c>
      <c r="B63" s="100" t="n">
        <v>0.065</v>
      </c>
      <c r="C63" s="488"/>
      <c r="D63" s="25"/>
      <c r="E63" s="94"/>
      <c r="F63" s="94"/>
      <c r="G63" s="94"/>
      <c r="H63" s="20"/>
      <c r="J63" s="0"/>
      <c r="K63" s="489"/>
      <c r="L63" s="0"/>
      <c r="M63" s="0"/>
      <c r="N63" s="0"/>
      <c r="O63" s="0"/>
      <c r="P63" s="0"/>
      <c r="Q63" s="0"/>
      <c r="R63" s="0"/>
      <c r="S63" s="0"/>
      <c r="T63" s="489"/>
      <c r="U63" s="0"/>
      <c r="V63" s="0"/>
      <c r="W63" s="0"/>
      <c r="X63" s="0"/>
      <c r="Y63" s="0"/>
      <c r="Z63" s="0"/>
      <c r="AA63" s="0"/>
      <c r="AB63" s="0"/>
      <c r="AC63" s="489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101" t="s">
        <v>64</v>
      </c>
      <c r="B64" s="102" t="n">
        <v>0.05</v>
      </c>
      <c r="C64" s="25"/>
      <c r="D64" s="25"/>
      <c r="E64" s="94"/>
      <c r="F64" s="94"/>
      <c r="G64" s="94"/>
      <c r="H64" s="20"/>
      <c r="J64" s="0"/>
      <c r="K64" s="489"/>
      <c r="L64" s="0"/>
      <c r="M64" s="0"/>
      <c r="N64" s="0"/>
      <c r="O64" s="0"/>
      <c r="P64" s="0"/>
      <c r="Q64" s="0"/>
      <c r="R64" s="0"/>
      <c r="S64" s="0"/>
      <c r="T64" s="489"/>
      <c r="U64" s="0"/>
      <c r="V64" s="0"/>
      <c r="W64" s="0"/>
      <c r="X64" s="0"/>
      <c r="Y64" s="0"/>
      <c r="Z64" s="0"/>
      <c r="AA64" s="0"/>
      <c r="AB64" s="0"/>
      <c r="AC64" s="489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74" t="s">
        <v>65</v>
      </c>
      <c r="B65" s="82" t="n">
        <f aca="false">(B89*B59)-B53</f>
        <v>50199.5187831396</v>
      </c>
      <c r="C65" s="25"/>
      <c r="D65" s="25"/>
      <c r="E65" s="94"/>
      <c r="F65" s="94"/>
      <c r="G65" s="94"/>
      <c r="H65" s="2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97" t="s">
        <v>66</v>
      </c>
      <c r="B66" s="98" t="n">
        <v>0.005</v>
      </c>
      <c r="C66" s="25"/>
      <c r="D66" s="25"/>
      <c r="E66" s="94"/>
      <c r="F66" s="94"/>
      <c r="G66" s="94"/>
      <c r="H66" s="20"/>
      <c r="J66" s="0"/>
      <c r="K66" s="489"/>
      <c r="L66" s="0"/>
      <c r="M66" s="0"/>
      <c r="N66" s="0"/>
      <c r="O66" s="0"/>
      <c r="P66" s="0"/>
      <c r="Q66" s="0"/>
      <c r="R66" s="0"/>
      <c r="S66" s="0"/>
      <c r="T66" s="489"/>
      <c r="U66" s="0"/>
      <c r="V66" s="0"/>
      <c r="W66" s="0"/>
      <c r="X66" s="0"/>
      <c r="Y66" s="0"/>
      <c r="Z66" s="0"/>
      <c r="AA66" s="0"/>
      <c r="AB66" s="0"/>
      <c r="AC66" s="489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55" t="s">
        <v>67</v>
      </c>
      <c r="B67" s="103" t="n">
        <f aca="false">B66+(B66*0.5*(H29/12-1))</f>
        <v>0.009375</v>
      </c>
      <c r="C67" s="25"/>
      <c r="D67" s="25"/>
      <c r="E67" s="94"/>
      <c r="F67" s="94"/>
      <c r="G67" s="94"/>
      <c r="H67" s="20"/>
      <c r="J67" s="0"/>
      <c r="K67" s="489"/>
      <c r="L67" s="0"/>
      <c r="M67" s="0"/>
      <c r="N67" s="0"/>
      <c r="O67" s="0"/>
      <c r="P67" s="0"/>
      <c r="Q67" s="0"/>
      <c r="R67" s="0"/>
      <c r="S67" s="0"/>
      <c r="T67" s="489"/>
      <c r="U67" s="0"/>
      <c r="V67" s="0"/>
      <c r="W67" s="0"/>
      <c r="X67" s="0"/>
      <c r="Y67" s="0"/>
      <c r="Z67" s="0"/>
      <c r="AA67" s="0"/>
      <c r="AB67" s="0"/>
      <c r="AC67" s="489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74" t="s">
        <v>68</v>
      </c>
      <c r="B68" s="82" t="n">
        <f aca="false">(G158*B67)</f>
        <v>548.671875</v>
      </c>
      <c r="C68" s="25"/>
      <c r="D68" s="25"/>
      <c r="E68" s="94"/>
      <c r="F68" s="94"/>
      <c r="G68" s="94"/>
      <c r="H68" s="2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97" t="s">
        <v>69</v>
      </c>
      <c r="B69" s="98" t="n">
        <v>0</v>
      </c>
      <c r="C69" s="490"/>
      <c r="D69" s="25"/>
      <c r="E69" s="94"/>
      <c r="F69" s="94"/>
      <c r="G69" s="94"/>
      <c r="H69" s="20"/>
      <c r="J69" s="0"/>
      <c r="K69" s="489"/>
      <c r="L69" s="0"/>
      <c r="M69" s="0"/>
      <c r="N69" s="0"/>
      <c r="O69" s="0"/>
      <c r="P69" s="0"/>
      <c r="Q69" s="0"/>
      <c r="R69" s="0"/>
      <c r="S69" s="0"/>
      <c r="T69" s="489"/>
      <c r="U69" s="0"/>
      <c r="V69" s="0"/>
      <c r="W69" s="0"/>
      <c r="X69" s="0"/>
      <c r="Y69" s="0"/>
      <c r="Z69" s="0"/>
      <c r="AA69" s="0"/>
      <c r="AB69" s="0"/>
      <c r="AC69" s="489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99" t="s">
        <v>70</v>
      </c>
      <c r="B70" s="100" t="n">
        <v>0</v>
      </c>
      <c r="C70" s="490"/>
      <c r="D70" s="25"/>
      <c r="E70" s="94"/>
      <c r="F70" s="94"/>
      <c r="G70" s="94"/>
      <c r="H70" s="20"/>
      <c r="J70" s="0"/>
      <c r="K70" s="489"/>
      <c r="L70" s="0"/>
      <c r="M70" s="0"/>
      <c r="N70" s="0"/>
      <c r="O70" s="0"/>
      <c r="P70" s="0"/>
      <c r="Q70" s="0"/>
      <c r="R70" s="0"/>
      <c r="S70" s="0"/>
      <c r="T70" s="489"/>
      <c r="U70" s="0"/>
      <c r="V70" s="0"/>
      <c r="W70" s="0"/>
      <c r="X70" s="0"/>
      <c r="Y70" s="0"/>
      <c r="Z70" s="0"/>
      <c r="AA70" s="0"/>
      <c r="AB70" s="0"/>
      <c r="AC70" s="489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74" t="s">
        <v>71</v>
      </c>
      <c r="B71" s="104" t="n">
        <f aca="false">B69*(1+B70)</f>
        <v>0</v>
      </c>
      <c r="C71" s="490"/>
      <c r="D71" s="25"/>
      <c r="E71" s="94"/>
      <c r="F71" s="94"/>
      <c r="G71" s="94"/>
      <c r="H71" s="20"/>
      <c r="J71" s="0"/>
      <c r="K71" s="489"/>
      <c r="L71" s="0"/>
      <c r="M71" s="0"/>
      <c r="N71" s="0"/>
      <c r="O71" s="0"/>
      <c r="P71" s="0"/>
      <c r="Q71" s="0"/>
      <c r="R71" s="0"/>
      <c r="S71" s="0"/>
      <c r="T71" s="489"/>
      <c r="U71" s="0"/>
      <c r="V71" s="0"/>
      <c r="W71" s="0"/>
      <c r="X71" s="0"/>
      <c r="Y71" s="0"/>
      <c r="Z71" s="0"/>
      <c r="AA71" s="0"/>
      <c r="AB71" s="0"/>
      <c r="AC71" s="489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97" t="s">
        <v>72</v>
      </c>
      <c r="B72" s="105" t="n">
        <v>0</v>
      </c>
      <c r="C72" s="490"/>
      <c r="D72" s="25"/>
      <c r="E72" s="94"/>
      <c r="F72" s="94"/>
      <c r="G72" s="94"/>
      <c r="H72" s="2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99" t="s">
        <v>73</v>
      </c>
      <c r="B73" s="96" t="n">
        <v>0</v>
      </c>
      <c r="C73" s="490"/>
      <c r="D73" s="25"/>
      <c r="E73" s="94"/>
      <c r="F73" s="94"/>
      <c r="G73" s="94"/>
      <c r="H73" s="2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74" t="s">
        <v>74</v>
      </c>
      <c r="B74" s="82" t="n">
        <f aca="false">B73*B35</f>
        <v>0</v>
      </c>
      <c r="C74" s="490"/>
      <c r="D74" s="25" t="n">
        <f aca="false">B74+B72</f>
        <v>0</v>
      </c>
      <c r="E74" s="94"/>
      <c r="F74" s="94"/>
      <c r="G74" s="94"/>
      <c r="H74" s="2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99" t="s">
        <v>75</v>
      </c>
      <c r="B75" s="96" t="n">
        <v>0</v>
      </c>
      <c r="C75" s="490"/>
      <c r="D75" s="25" t="n">
        <f aca="false">B75</f>
        <v>0</v>
      </c>
      <c r="E75" s="94"/>
      <c r="F75" s="94"/>
      <c r="G75" s="94"/>
      <c r="H75" s="2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101" t="s">
        <v>76</v>
      </c>
      <c r="B76" s="106" t="n">
        <v>0</v>
      </c>
      <c r="C76" s="490"/>
      <c r="D76" s="25" t="n">
        <f aca="false">B76</f>
        <v>0</v>
      </c>
      <c r="E76" s="94"/>
      <c r="F76" s="25"/>
      <c r="G76" s="94"/>
      <c r="H76" s="2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107" t="s">
        <v>77</v>
      </c>
      <c r="B77" s="108" t="n">
        <f aca="false">SUM(D65:D76)</f>
        <v>0</v>
      </c>
      <c r="C77" s="25"/>
      <c r="D77" s="25"/>
      <c r="E77" s="94"/>
      <c r="F77" s="25"/>
      <c r="G77" s="25"/>
      <c r="H77" s="2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55" t="s">
        <v>78</v>
      </c>
      <c r="B78" s="20" t="n">
        <f aca="false">B77/B35</f>
        <v>0</v>
      </c>
      <c r="C78" s="25"/>
      <c r="D78" s="25"/>
      <c r="E78" s="94"/>
      <c r="F78" s="94"/>
      <c r="G78" s="94"/>
      <c r="H78" s="2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109" t="s">
        <v>79</v>
      </c>
      <c r="B79" s="77" t="n">
        <f aca="false">H46</f>
        <v>500.363636363636</v>
      </c>
      <c r="C79" s="25"/>
      <c r="D79" s="25"/>
      <c r="E79" s="94"/>
      <c r="F79" s="94"/>
      <c r="G79" s="94"/>
      <c r="H79" s="2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55"/>
      <c r="B80" s="25"/>
      <c r="C80" s="25"/>
      <c r="D80" s="25"/>
      <c r="E80" s="94"/>
      <c r="F80" s="94"/>
      <c r="G80" s="94"/>
      <c r="H80" s="2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48" t="s">
        <v>80</v>
      </c>
      <c r="B81" s="50" t="n">
        <f aca="false">K36</f>
        <v>47877.5</v>
      </c>
      <c r="C81" s="25"/>
      <c r="D81" s="25"/>
      <c r="E81" s="94"/>
      <c r="F81" s="94"/>
      <c r="G81" s="94"/>
      <c r="H81" s="2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55" t="s">
        <v>47</v>
      </c>
      <c r="B82" s="20" t="n">
        <f aca="false">IF(A111="YES",D41,0)</f>
        <v>6000</v>
      </c>
      <c r="C82" s="25"/>
      <c r="D82" s="25"/>
      <c r="E82" s="94"/>
      <c r="F82" s="94"/>
      <c r="G82" s="94"/>
      <c r="H82" s="2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55" t="s">
        <v>81</v>
      </c>
      <c r="B83" s="110" t="n">
        <f aca="false">B62+B63+B64</f>
        <v>0.115</v>
      </c>
      <c r="C83" s="25"/>
      <c r="D83" s="25"/>
      <c r="E83" s="94"/>
      <c r="F83" s="94"/>
      <c r="G83" s="94"/>
      <c r="H83" s="20"/>
      <c r="J83" s="0"/>
      <c r="K83" s="489"/>
      <c r="L83" s="0"/>
      <c r="M83" s="0"/>
      <c r="N83" s="0"/>
      <c r="O83" s="0"/>
      <c r="P83" s="0"/>
      <c r="Q83" s="0"/>
      <c r="R83" s="0"/>
      <c r="S83" s="0"/>
      <c r="T83" s="489"/>
      <c r="U83" s="0"/>
      <c r="V83" s="0"/>
      <c r="W83" s="0"/>
      <c r="X83" s="0"/>
      <c r="Y83" s="0"/>
      <c r="Z83" s="0"/>
      <c r="AA83" s="0"/>
      <c r="AB83" s="0"/>
      <c r="AC83" s="489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55" t="s">
        <v>82</v>
      </c>
      <c r="B84" s="103" t="n">
        <f aca="false">B83/12</f>
        <v>0.00958333333333333</v>
      </c>
      <c r="C84" s="25"/>
      <c r="D84" s="25"/>
      <c r="E84" s="94"/>
      <c r="F84" s="94"/>
      <c r="G84" s="94"/>
      <c r="H84" s="20"/>
      <c r="J84" s="0"/>
      <c r="K84" s="489"/>
      <c r="L84" s="0"/>
      <c r="M84" s="0"/>
      <c r="N84" s="0"/>
      <c r="O84" s="0"/>
      <c r="P84" s="0"/>
      <c r="Q84" s="0"/>
      <c r="R84" s="0"/>
      <c r="S84" s="0"/>
      <c r="T84" s="489"/>
      <c r="U84" s="0"/>
      <c r="V84" s="0"/>
      <c r="W84" s="0"/>
      <c r="X84" s="0"/>
      <c r="Y84" s="0"/>
      <c r="Z84" s="0"/>
      <c r="AA84" s="0"/>
      <c r="AB84" s="0"/>
      <c r="AC84" s="489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55" t="s">
        <v>83</v>
      </c>
      <c r="B85" s="20" t="n">
        <f aca="false">IF(B82=0, (B59+B58), (B59))</f>
        <v>32</v>
      </c>
      <c r="C85" s="25"/>
      <c r="D85" s="25"/>
      <c r="E85" s="94"/>
      <c r="F85" s="94"/>
      <c r="G85" s="94"/>
      <c r="H85" s="2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55" t="s">
        <v>84</v>
      </c>
      <c r="B86" s="20" t="n">
        <f aca="false">(B82/((1+B84)^(B85+1)))</f>
        <v>4379.8532592462</v>
      </c>
      <c r="C86" s="25" t="n">
        <f aca="false">(B82/((1+B84)^(B85+1)))</f>
        <v>4379.8532592462</v>
      </c>
      <c r="D86" s="25"/>
      <c r="E86" s="94"/>
      <c r="F86" s="94"/>
      <c r="G86" s="94"/>
      <c r="H86" s="2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55" t="s">
        <v>85</v>
      </c>
      <c r="B87" s="20" t="n">
        <f aca="false">((1-(1/((1+B84)^B85)))/B84)</f>
        <v>27.4464895133802</v>
      </c>
      <c r="C87" s="25" t="n">
        <f aca="false">((1-(1/((1+B84)^B85)))/B84)</f>
        <v>27.4464895133802</v>
      </c>
      <c r="D87" s="25"/>
      <c r="E87" s="94"/>
      <c r="F87" s="94"/>
      <c r="G87" s="94"/>
      <c r="H87" s="2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55" t="s">
        <v>86</v>
      </c>
      <c r="B88" s="20" t="n">
        <f aca="false">B81-B86</f>
        <v>43497.6467407538</v>
      </c>
      <c r="C88" s="25" t="n">
        <f aca="false">B81-B86</f>
        <v>43497.6467407538</v>
      </c>
      <c r="D88" s="25"/>
      <c r="E88" s="94"/>
      <c r="F88" s="94"/>
      <c r="G88" s="94"/>
      <c r="H88" s="2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55" t="s">
        <v>87</v>
      </c>
      <c r="B89" s="20" t="n">
        <f aca="false">(B88/B87)</f>
        <v>1584.81640136705</v>
      </c>
      <c r="C89" s="25" t="n">
        <f aca="false">(B88/B87)</f>
        <v>1584.81640136705</v>
      </c>
      <c r="D89" s="25"/>
      <c r="E89" s="94"/>
      <c r="F89" s="94"/>
      <c r="G89" s="94"/>
      <c r="H89" s="2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55" t="s">
        <v>88</v>
      </c>
      <c r="B90" s="20" t="n">
        <f aca="false">((B89*(B85))+B77)</f>
        <v>50714.1248437457</v>
      </c>
      <c r="C90" s="25"/>
      <c r="D90" s="25"/>
      <c r="E90" s="94"/>
      <c r="F90" s="94"/>
      <c r="G90" s="94"/>
      <c r="H90" s="2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55" t="s">
        <v>89</v>
      </c>
      <c r="B91" s="20" t="n">
        <f aca="false">(((B89*(B85))+B77)/(1-B71))*B71</f>
        <v>0</v>
      </c>
      <c r="C91" s="25"/>
      <c r="D91" s="25"/>
      <c r="E91" s="94"/>
      <c r="F91" s="94"/>
      <c r="G91" s="94"/>
      <c r="H91" s="2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74" t="s">
        <v>90</v>
      </c>
      <c r="B92" s="82" t="n">
        <f aca="false">(B90+B91)</f>
        <v>50714.1248437457</v>
      </c>
      <c r="C92" s="25"/>
      <c r="D92" s="25"/>
      <c r="E92" s="94"/>
      <c r="F92" s="94"/>
      <c r="G92" s="94"/>
      <c r="H92" s="2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55"/>
      <c r="B93" s="25"/>
      <c r="C93" s="25"/>
      <c r="D93" s="25"/>
      <c r="E93" s="94"/>
      <c r="F93" s="94"/>
      <c r="G93" s="94"/>
      <c r="H93" s="2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107" t="s">
        <v>91</v>
      </c>
      <c r="B94" s="111" t="n">
        <f aca="false">IF(B38="YES",((H36/B85)*(1+A108)),"0")</f>
        <v>19.09375</v>
      </c>
      <c r="C94" s="25"/>
      <c r="D94" s="25"/>
      <c r="E94" s="94"/>
      <c r="F94" s="94"/>
      <c r="G94" s="94"/>
      <c r="H94" s="2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112" t="s">
        <v>92</v>
      </c>
      <c r="B95" s="113" t="n">
        <f aca="false">B92/(B85)</f>
        <v>1584.81640136705</v>
      </c>
      <c r="C95" s="25"/>
      <c r="D95" s="25"/>
      <c r="E95" s="94"/>
      <c r="F95" s="94"/>
      <c r="G95" s="94"/>
      <c r="H95" s="2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114" t="s">
        <v>93</v>
      </c>
      <c r="B96" s="115" t="n">
        <f aca="false">B94+B95</f>
        <v>1603.91015136705</v>
      </c>
      <c r="C96" s="25"/>
      <c r="D96" s="25"/>
      <c r="E96" s="94"/>
      <c r="F96" s="94"/>
      <c r="G96" s="94"/>
      <c r="H96" s="2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74"/>
      <c r="B97" s="75"/>
      <c r="C97" s="75"/>
      <c r="D97" s="75"/>
      <c r="E97" s="116"/>
      <c r="F97" s="116"/>
      <c r="G97" s="116"/>
      <c r="H97" s="82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45"/>
      <c r="B98" s="45"/>
      <c r="C98" s="45"/>
      <c r="D98" s="45"/>
      <c r="E98" s="45"/>
      <c r="F98" s="45"/>
      <c r="G98" s="45"/>
      <c r="H98" s="45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45"/>
      <c r="B99" s="45"/>
      <c r="C99" s="45"/>
      <c r="D99" s="45"/>
      <c r="E99" s="45"/>
      <c r="F99" s="45"/>
      <c r="G99" s="45"/>
      <c r="H99" s="45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4" t="s">
        <v>94</v>
      </c>
      <c r="B100" s="4"/>
      <c r="C100" s="4"/>
      <c r="D100" s="4"/>
      <c r="E100" s="4"/>
      <c r="F100" s="4"/>
      <c r="G100" s="4"/>
      <c r="H100" s="4"/>
      <c r="J100" s="486"/>
      <c r="K100" s="486"/>
      <c r="L100" s="486"/>
      <c r="M100" s="486"/>
      <c r="N100" s="486"/>
      <c r="O100" s="486"/>
      <c r="P100" s="486"/>
      <c r="Q100" s="486"/>
      <c r="R100" s="0"/>
      <c r="S100" s="486"/>
      <c r="T100" s="486"/>
      <c r="U100" s="486"/>
      <c r="V100" s="486"/>
      <c r="W100" s="486"/>
      <c r="X100" s="486"/>
      <c r="Y100" s="486"/>
      <c r="Z100" s="486"/>
      <c r="AA100" s="0"/>
      <c r="AB100" s="486"/>
      <c r="AC100" s="486"/>
      <c r="AD100" s="486"/>
      <c r="AE100" s="486"/>
      <c r="AF100" s="486"/>
      <c r="AG100" s="486"/>
      <c r="AH100" s="486"/>
      <c r="AI100" s="486"/>
    </row>
    <row r="101" customFormat="false" ht="17.35" hidden="false" customHeight="false" outlineLevel="0" collapsed="false">
      <c r="A101" s="48"/>
      <c r="B101" s="49"/>
      <c r="C101" s="49"/>
      <c r="D101" s="49"/>
      <c r="E101" s="93"/>
      <c r="F101" s="93"/>
      <c r="G101" s="93"/>
      <c r="H101" s="11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58" t="s">
        <v>26</v>
      </c>
      <c r="B102" s="58"/>
      <c r="C102" s="58"/>
      <c r="D102" s="58"/>
      <c r="E102" s="58"/>
      <c r="F102" s="58"/>
      <c r="G102" s="58"/>
      <c r="H102" s="58"/>
      <c r="J102" s="486"/>
      <c r="K102" s="486"/>
      <c r="L102" s="486"/>
      <c r="M102" s="486"/>
      <c r="N102" s="486"/>
      <c r="O102" s="486"/>
      <c r="P102" s="486"/>
      <c r="Q102" s="486"/>
      <c r="R102" s="0"/>
      <c r="S102" s="486"/>
      <c r="T102" s="486"/>
      <c r="U102" s="486"/>
      <c r="V102" s="486"/>
      <c r="W102" s="486"/>
      <c r="X102" s="486"/>
      <c r="Y102" s="486"/>
      <c r="Z102" s="486"/>
      <c r="AA102" s="0"/>
      <c r="AB102" s="486"/>
      <c r="AC102" s="486"/>
      <c r="AD102" s="486"/>
      <c r="AE102" s="486"/>
      <c r="AF102" s="486"/>
      <c r="AG102" s="486"/>
      <c r="AH102" s="486"/>
      <c r="AI102" s="486"/>
    </row>
    <row r="103" customFormat="false" ht="17.35" hidden="false" customHeight="false" outlineLevel="0" collapsed="false">
      <c r="A103" s="55"/>
      <c r="B103" s="25"/>
      <c r="C103" s="25"/>
      <c r="D103" s="25"/>
      <c r="E103" s="94"/>
      <c r="F103" s="94"/>
      <c r="G103" s="94"/>
      <c r="H103" s="11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9" t="s">
        <v>100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55" t="s">
        <v>98</v>
      </c>
      <c r="B104" s="25" t="s">
        <v>23</v>
      </c>
      <c r="C104" s="25"/>
      <c r="D104" s="25"/>
      <c r="E104" s="25" t="s">
        <v>22</v>
      </c>
      <c r="F104" s="25"/>
      <c r="G104" s="25"/>
      <c r="H104" s="2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9" t="s">
        <v>253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51" t="s">
        <v>99</v>
      </c>
      <c r="B105" s="37" t="s">
        <v>100</v>
      </c>
      <c r="C105" s="37"/>
      <c r="D105" s="37"/>
      <c r="E105" s="60" t="s">
        <v>9</v>
      </c>
      <c r="F105" s="60"/>
      <c r="G105" s="60"/>
      <c r="H105" s="118"/>
      <c r="J105" s="0"/>
      <c r="K105" s="486"/>
      <c r="L105" s="486"/>
      <c r="M105" s="486"/>
      <c r="N105" s="486"/>
      <c r="O105" s="486"/>
      <c r="P105" s="486"/>
      <c r="Q105" s="0"/>
      <c r="R105" s="0"/>
      <c r="S105" s="0"/>
      <c r="T105" s="486"/>
      <c r="U105" s="486"/>
      <c r="V105" s="486"/>
      <c r="W105" s="486"/>
      <c r="X105" s="486"/>
      <c r="Y105" s="486"/>
      <c r="Z105" s="19" t="s">
        <v>257</v>
      </c>
      <c r="AA105" s="0"/>
      <c r="AB105" s="0"/>
      <c r="AC105" s="486"/>
      <c r="AD105" s="486"/>
      <c r="AE105" s="486"/>
      <c r="AF105" s="486"/>
      <c r="AG105" s="486"/>
      <c r="AH105" s="486"/>
      <c r="AI105" s="0"/>
    </row>
    <row r="106" customFormat="false" ht="17.35" hidden="false" customHeight="false" outlineLevel="0" collapsed="false">
      <c r="A106" s="55"/>
      <c r="B106" s="25"/>
      <c r="C106" s="25"/>
      <c r="D106" s="94"/>
      <c r="E106" s="25"/>
      <c r="F106" s="25"/>
      <c r="G106" s="94"/>
      <c r="H106" s="2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9" t="s">
        <v>258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55" t="s">
        <v>101</v>
      </c>
      <c r="B107" s="25" t="s">
        <v>102</v>
      </c>
      <c r="C107" s="25"/>
      <c r="D107" s="94"/>
      <c r="E107" s="25" t="s">
        <v>103</v>
      </c>
      <c r="F107" s="25"/>
      <c r="G107" s="94"/>
      <c r="H107" s="11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9" t="s">
        <v>262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91" t="n">
        <v>0.3</v>
      </c>
      <c r="B108" s="72" t="s">
        <v>364</v>
      </c>
      <c r="C108" s="72"/>
      <c r="D108" s="72"/>
      <c r="E108" s="121" t="n">
        <f aca="false">B83</f>
        <v>0.115</v>
      </c>
      <c r="F108" s="121"/>
      <c r="G108" s="121"/>
      <c r="H108" s="65"/>
      <c r="J108" s="489"/>
      <c r="K108" s="486"/>
      <c r="L108" s="486"/>
      <c r="M108" s="486"/>
      <c r="N108" s="489"/>
      <c r="O108" s="489"/>
      <c r="P108" s="489"/>
      <c r="Q108" s="0"/>
      <c r="R108" s="0"/>
      <c r="S108" s="489"/>
      <c r="T108" s="486"/>
      <c r="U108" s="486"/>
      <c r="V108" s="486"/>
      <c r="W108" s="489"/>
      <c r="X108" s="489"/>
      <c r="Y108" s="489"/>
      <c r="Z108" s="19" t="s">
        <v>256</v>
      </c>
      <c r="AA108" s="0"/>
      <c r="AB108" s="489"/>
      <c r="AC108" s="486"/>
      <c r="AD108" s="486"/>
      <c r="AE108" s="486"/>
      <c r="AF108" s="489"/>
      <c r="AG108" s="489"/>
      <c r="AH108" s="489"/>
      <c r="AI108" s="0"/>
      <c r="AP108" s="1" t="s">
        <v>106</v>
      </c>
    </row>
    <row r="109" customFormat="false" ht="17.35" hidden="false" customHeight="false" outlineLevel="0" collapsed="false">
      <c r="A109" s="55"/>
      <c r="B109" s="25"/>
      <c r="C109" s="25"/>
      <c r="D109" s="25"/>
      <c r="E109" s="25"/>
      <c r="F109" s="25"/>
      <c r="G109" s="25"/>
      <c r="H109" s="2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9" t="s">
        <v>255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" t="s">
        <v>104</v>
      </c>
    </row>
    <row r="110" customFormat="false" ht="17.35" hidden="false" customHeight="false" outlineLevel="0" collapsed="false">
      <c r="A110" s="55" t="s">
        <v>107</v>
      </c>
      <c r="B110" s="25" t="s">
        <v>108</v>
      </c>
      <c r="C110" s="25"/>
      <c r="D110" s="25"/>
      <c r="E110" s="25" t="s">
        <v>109</v>
      </c>
      <c r="F110" s="25"/>
      <c r="G110" s="25"/>
      <c r="H110" s="2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9" t="s">
        <v>263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52" t="s">
        <v>9</v>
      </c>
      <c r="B111" s="72" t="n">
        <v>0</v>
      </c>
      <c r="C111" s="72"/>
      <c r="D111" s="72"/>
      <c r="E111" s="72" t="n">
        <v>0</v>
      </c>
      <c r="F111" s="72"/>
      <c r="G111" s="72"/>
      <c r="H111" s="118"/>
      <c r="J111" s="0"/>
      <c r="K111" s="486"/>
      <c r="L111" s="486"/>
      <c r="M111" s="486"/>
      <c r="N111" s="486"/>
      <c r="O111" s="486"/>
      <c r="P111" s="486"/>
      <c r="Q111" s="0"/>
      <c r="R111" s="0"/>
      <c r="S111" s="0"/>
      <c r="T111" s="486"/>
      <c r="U111" s="486"/>
      <c r="V111" s="486"/>
      <c r="W111" s="486"/>
      <c r="X111" s="486"/>
      <c r="Y111" s="486"/>
      <c r="Z111" s="19" t="s">
        <v>265</v>
      </c>
      <c r="AA111" s="0"/>
      <c r="AB111" s="0"/>
      <c r="AC111" s="486"/>
      <c r="AD111" s="486"/>
      <c r="AE111" s="486"/>
      <c r="AF111" s="486"/>
      <c r="AG111" s="486"/>
      <c r="AH111" s="486"/>
      <c r="AI111" s="0"/>
    </row>
    <row r="112" customFormat="false" ht="17.35" hidden="false" customHeight="false" outlineLevel="0" collapsed="false">
      <c r="A112" s="55"/>
      <c r="B112" s="25"/>
      <c r="C112" s="25"/>
      <c r="D112" s="25"/>
      <c r="E112" s="25"/>
      <c r="F112" s="25"/>
      <c r="G112" s="94"/>
      <c r="H112" s="11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123" t="s">
        <v>110</v>
      </c>
      <c r="B113" s="25" t="s">
        <v>111</v>
      </c>
      <c r="C113" s="25"/>
      <c r="D113" s="25"/>
      <c r="E113" s="25" t="s">
        <v>112</v>
      </c>
      <c r="F113" s="25"/>
      <c r="G113" s="94"/>
      <c r="H113" s="11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70" t="n">
        <f aca="false">B111+E111</f>
        <v>0</v>
      </c>
      <c r="B114" s="72" t="s">
        <v>206</v>
      </c>
      <c r="C114" s="72"/>
      <c r="D114" s="72"/>
      <c r="E114" s="72" t="n">
        <v>0</v>
      </c>
      <c r="F114" s="72"/>
      <c r="G114" s="72"/>
      <c r="H114" s="118"/>
      <c r="J114" s="0"/>
      <c r="K114" s="486"/>
      <c r="L114" s="486"/>
      <c r="M114" s="486"/>
      <c r="N114" s="486"/>
      <c r="O114" s="486"/>
      <c r="P114" s="486"/>
      <c r="Q114" s="0"/>
      <c r="R114" s="0"/>
      <c r="S114" s="0"/>
      <c r="T114" s="486"/>
      <c r="U114" s="486"/>
      <c r="V114" s="486"/>
      <c r="W114" s="486"/>
      <c r="X114" s="486"/>
      <c r="Y114" s="486"/>
      <c r="Z114" s="0"/>
      <c r="AA114" s="0"/>
      <c r="AB114" s="0"/>
      <c r="AC114" s="486"/>
      <c r="AD114" s="486"/>
      <c r="AE114" s="486"/>
      <c r="AF114" s="486"/>
      <c r="AG114" s="486"/>
      <c r="AH114" s="486"/>
      <c r="AI114" s="0"/>
    </row>
    <row r="115" customFormat="false" ht="13.8" hidden="false" customHeight="false" outlineLevel="0" collapsed="false">
      <c r="A115" s="124"/>
      <c r="B115" s="94"/>
      <c r="C115" s="94"/>
      <c r="D115" s="94"/>
      <c r="E115" s="94"/>
      <c r="F115" s="94"/>
      <c r="G115" s="94"/>
      <c r="H115" s="11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124"/>
      <c r="B116" s="94"/>
      <c r="C116" s="94"/>
      <c r="D116" s="94"/>
      <c r="E116" s="94"/>
      <c r="F116" s="94"/>
      <c r="G116" s="94"/>
      <c r="H116" s="11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58" t="s">
        <v>114</v>
      </c>
      <c r="B117" s="58"/>
      <c r="C117" s="58"/>
      <c r="D117" s="58"/>
      <c r="E117" s="58"/>
      <c r="F117" s="58"/>
      <c r="G117" s="58"/>
      <c r="H117" s="58"/>
      <c r="J117" s="486"/>
      <c r="K117" s="486"/>
      <c r="L117" s="486"/>
      <c r="M117" s="486"/>
      <c r="N117" s="486"/>
      <c r="O117" s="486"/>
      <c r="P117" s="486"/>
      <c r="Q117" s="486"/>
      <c r="R117" s="0"/>
      <c r="S117" s="486"/>
      <c r="T117" s="486"/>
      <c r="U117" s="486"/>
      <c r="V117" s="486"/>
      <c r="W117" s="486"/>
      <c r="X117" s="486"/>
      <c r="Y117" s="486"/>
      <c r="Z117" s="486"/>
      <c r="AA117" s="0"/>
      <c r="AB117" s="486"/>
      <c r="AC117" s="486"/>
      <c r="AD117" s="486"/>
      <c r="AE117" s="486"/>
      <c r="AF117" s="486"/>
      <c r="AG117" s="486"/>
      <c r="AH117" s="486"/>
      <c r="AI117" s="486"/>
    </row>
    <row r="118" customFormat="false" ht="13.8" hidden="false" customHeight="false" outlineLevel="0" collapsed="false">
      <c r="A118" s="124"/>
      <c r="B118" s="94"/>
      <c r="C118" s="94"/>
      <c r="D118" s="94"/>
      <c r="E118" s="94"/>
      <c r="F118" s="94"/>
      <c r="G118" s="94"/>
      <c r="H118" s="11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97"/>
      <c r="B119" s="125" t="s">
        <v>115</v>
      </c>
      <c r="C119" s="125"/>
      <c r="D119" s="125" t="s">
        <v>116</v>
      </c>
      <c r="E119" s="125"/>
      <c r="F119" s="125" t="s">
        <v>117</v>
      </c>
      <c r="G119" s="125"/>
      <c r="H119" s="126" t="s">
        <v>118</v>
      </c>
      <c r="J119" s="0"/>
      <c r="K119" s="486"/>
      <c r="L119" s="486"/>
      <c r="M119" s="486"/>
      <c r="N119" s="486"/>
      <c r="O119" s="486"/>
      <c r="P119" s="486"/>
      <c r="Q119" s="0"/>
      <c r="R119" s="0"/>
      <c r="S119" s="0"/>
      <c r="T119" s="486"/>
      <c r="U119" s="486"/>
      <c r="V119" s="486"/>
      <c r="W119" s="486"/>
      <c r="X119" s="486"/>
      <c r="Y119" s="486"/>
      <c r="Z119" s="0"/>
      <c r="AA119" s="0"/>
      <c r="AB119" s="0"/>
      <c r="AC119" s="486"/>
      <c r="AD119" s="486"/>
      <c r="AE119" s="486"/>
      <c r="AF119" s="486"/>
      <c r="AG119" s="486"/>
      <c r="AH119" s="486"/>
      <c r="AI119" s="0"/>
    </row>
    <row r="120" customFormat="false" ht="19.7" hidden="false" customHeight="false" outlineLevel="0" collapsed="false">
      <c r="A120" s="99"/>
      <c r="B120" s="127" t="s">
        <v>119</v>
      </c>
      <c r="C120" s="128" t="s">
        <v>120</v>
      </c>
      <c r="D120" s="127" t="s">
        <v>119</v>
      </c>
      <c r="E120" s="129" t="s">
        <v>120</v>
      </c>
      <c r="F120" s="127" t="s">
        <v>119</v>
      </c>
      <c r="G120" s="129" t="s">
        <v>120</v>
      </c>
      <c r="H120" s="13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48" t="s">
        <v>121</v>
      </c>
      <c r="B121" s="131" t="n">
        <f aca="false">B3</f>
        <v>46854.17</v>
      </c>
      <c r="C121" s="132" t="n">
        <f aca="false">B121</f>
        <v>46854.17</v>
      </c>
      <c r="D121" s="131" t="n">
        <f aca="false">D3</f>
        <v>0</v>
      </c>
      <c r="E121" s="132" t="n">
        <f aca="false">D121</f>
        <v>0</v>
      </c>
      <c r="F121" s="131" t="n">
        <f aca="false">F3</f>
        <v>833.33</v>
      </c>
      <c r="G121" s="132" t="n">
        <f aca="false">F121</f>
        <v>833.33</v>
      </c>
      <c r="H121" s="13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55" t="s">
        <v>122</v>
      </c>
      <c r="B122" s="134" t="n">
        <f aca="false">B4</f>
        <v>0</v>
      </c>
      <c r="C122" s="17" t="n">
        <f aca="false">B122</f>
        <v>0</v>
      </c>
      <c r="D122" s="134" t="n">
        <f aca="false">D4</f>
        <v>0</v>
      </c>
      <c r="E122" s="17" t="n">
        <f aca="false">D122</f>
        <v>0</v>
      </c>
      <c r="F122" s="134" t="n">
        <f aca="false">F4</f>
        <v>0</v>
      </c>
      <c r="G122" s="492" t="n">
        <f aca="false">F122</f>
        <v>0</v>
      </c>
      <c r="H122" s="18"/>
      <c r="J122" s="0"/>
      <c r="K122" s="489"/>
      <c r="L122" s="489"/>
      <c r="M122" s="489"/>
      <c r="N122" s="489"/>
      <c r="O122" s="489"/>
      <c r="P122" s="489"/>
      <c r="Q122" s="489"/>
      <c r="R122" s="0"/>
      <c r="S122" s="0"/>
      <c r="T122" s="489"/>
      <c r="U122" s="489"/>
      <c r="V122" s="489"/>
      <c r="W122" s="489"/>
      <c r="X122" s="489"/>
      <c r="Y122" s="489"/>
      <c r="Z122" s="489"/>
      <c r="AA122" s="0"/>
      <c r="AB122" s="0"/>
      <c r="AC122" s="489"/>
      <c r="AD122" s="489"/>
      <c r="AE122" s="489"/>
      <c r="AF122" s="489"/>
      <c r="AG122" s="489"/>
      <c r="AH122" s="489"/>
      <c r="AI122" s="489"/>
    </row>
    <row r="123" customFormat="false" ht="17.35" hidden="false" customHeight="false" outlineLevel="0" collapsed="false">
      <c r="A123" s="55" t="s">
        <v>123</v>
      </c>
      <c r="B123" s="136" t="n">
        <f aca="false">B5</f>
        <v>0</v>
      </c>
      <c r="C123" s="132" t="n">
        <f aca="false">B123</f>
        <v>0</v>
      </c>
      <c r="D123" s="136" t="n">
        <f aca="false">D5</f>
        <v>0</v>
      </c>
      <c r="E123" s="132" t="n">
        <f aca="false">D123</f>
        <v>0</v>
      </c>
      <c r="F123" s="136" t="n">
        <f aca="false">F5</f>
        <v>0</v>
      </c>
      <c r="G123" s="132" t="n">
        <f aca="false">F123</f>
        <v>0</v>
      </c>
      <c r="H123" s="2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55" t="s">
        <v>124</v>
      </c>
      <c r="B124" s="136" t="n">
        <f aca="false">(B121*B122)+B123</f>
        <v>0</v>
      </c>
      <c r="C124" s="137" t="n">
        <f aca="false">(C121*C122/100)+C123</f>
        <v>0</v>
      </c>
      <c r="D124" s="136" t="n">
        <f aca="false">(D121*D122)+D123</f>
        <v>0</v>
      </c>
      <c r="E124" s="137" t="n">
        <f aca="false">(E121*E122/100)+E123</f>
        <v>0</v>
      </c>
      <c r="F124" s="136" t="n">
        <f aca="false">(F121*F122)+F123</f>
        <v>0</v>
      </c>
      <c r="G124" s="137" t="n">
        <f aca="false">(G121*G122/100)+G123</f>
        <v>0</v>
      </c>
      <c r="H124" s="2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74" t="s">
        <v>125</v>
      </c>
      <c r="B125" s="138" t="n">
        <f aca="false">B121-B124</f>
        <v>46854.17</v>
      </c>
      <c r="C125" s="139" t="n">
        <f aca="false">C121-C124</f>
        <v>46854.17</v>
      </c>
      <c r="D125" s="138" t="n">
        <f aca="false">D121-D124</f>
        <v>0</v>
      </c>
      <c r="E125" s="139" t="n">
        <f aca="false">E121-E124</f>
        <v>0</v>
      </c>
      <c r="F125" s="138" t="n">
        <f aca="false">F121-F124</f>
        <v>833.33</v>
      </c>
      <c r="G125" s="139" t="n">
        <f aca="false">G121-G124</f>
        <v>833.33</v>
      </c>
      <c r="H125" s="82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55"/>
      <c r="B126" s="25"/>
      <c r="C126" s="25"/>
      <c r="D126" s="25"/>
      <c r="E126" s="25"/>
      <c r="F126" s="25"/>
      <c r="G126" s="25"/>
      <c r="H126" s="2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140"/>
      <c r="B127" s="141"/>
      <c r="C127" s="141"/>
      <c r="D127" s="141"/>
      <c r="E127" s="141"/>
      <c r="F127" s="141"/>
      <c r="G127" s="29" t="s">
        <v>119</v>
      </c>
      <c r="H127" s="142" t="s">
        <v>120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143" t="s">
        <v>126</v>
      </c>
      <c r="B128" s="144"/>
      <c r="C128" s="144"/>
      <c r="D128" s="144"/>
      <c r="E128" s="144"/>
      <c r="F128" s="144"/>
      <c r="G128" s="145" t="n">
        <f aca="false">H121</f>
        <v>0</v>
      </c>
      <c r="H128" s="146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55"/>
      <c r="B129" s="25"/>
      <c r="C129" s="25"/>
      <c r="D129" s="25"/>
      <c r="E129" s="25"/>
      <c r="F129" s="25"/>
      <c r="G129" s="147"/>
      <c r="H129" s="148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149" t="s">
        <v>127</v>
      </c>
      <c r="B130" s="147" t="s">
        <v>128</v>
      </c>
      <c r="C130" s="147"/>
      <c r="D130" s="147" t="s">
        <v>129</v>
      </c>
      <c r="E130" s="147"/>
      <c r="F130" s="147" t="s">
        <v>123</v>
      </c>
      <c r="G130" s="147"/>
      <c r="H130" s="148" t="s">
        <v>120</v>
      </c>
      <c r="J130" s="0"/>
      <c r="K130" s="486"/>
      <c r="L130" s="486"/>
      <c r="M130" s="486"/>
      <c r="N130" s="486"/>
      <c r="O130" s="486"/>
      <c r="P130" s="486"/>
      <c r="Q130" s="0"/>
      <c r="R130" s="0"/>
      <c r="S130" s="0"/>
      <c r="T130" s="486"/>
      <c r="U130" s="486"/>
      <c r="V130" s="486"/>
      <c r="W130" s="486"/>
      <c r="X130" s="486"/>
      <c r="Y130" s="486"/>
      <c r="Z130" s="0"/>
      <c r="AA130" s="0"/>
      <c r="AB130" s="0"/>
      <c r="AC130" s="486"/>
      <c r="AD130" s="486"/>
      <c r="AE130" s="486"/>
      <c r="AF130" s="486"/>
      <c r="AG130" s="486"/>
      <c r="AH130" s="486"/>
      <c r="AI130" s="0"/>
    </row>
    <row r="131" customFormat="false" ht="17.35" hidden="false" customHeight="false" outlineLevel="0" collapsed="false">
      <c r="A131" s="55" t="s">
        <v>130</v>
      </c>
      <c r="B131" s="150" t="n">
        <f aca="false">G128</f>
        <v>0</v>
      </c>
      <c r="C131" s="150"/>
      <c r="D131" s="151" t="n">
        <v>0</v>
      </c>
      <c r="E131" s="151"/>
      <c r="F131" s="150" t="n">
        <v>0</v>
      </c>
      <c r="G131" s="150"/>
      <c r="H131" s="152" t="n">
        <f aca="false">(B131-(B131*D131))-F131</f>
        <v>0</v>
      </c>
      <c r="J131" s="0"/>
      <c r="K131" s="486"/>
      <c r="L131" s="486"/>
      <c r="M131" s="489"/>
      <c r="N131" s="489"/>
      <c r="O131" s="486"/>
      <c r="P131" s="486"/>
      <c r="Q131" s="0"/>
      <c r="R131" s="0"/>
      <c r="S131" s="0"/>
      <c r="T131" s="486"/>
      <c r="U131" s="486"/>
      <c r="V131" s="489"/>
      <c r="W131" s="489"/>
      <c r="X131" s="486"/>
      <c r="Y131" s="486"/>
      <c r="Z131" s="0"/>
      <c r="AA131" s="0"/>
      <c r="AB131" s="0"/>
      <c r="AC131" s="486"/>
      <c r="AD131" s="486"/>
      <c r="AE131" s="489"/>
      <c r="AF131" s="489"/>
      <c r="AG131" s="486"/>
      <c r="AH131" s="486"/>
      <c r="AI131" s="0"/>
    </row>
    <row r="132" customFormat="false" ht="17.35" hidden="false" customHeight="false" outlineLevel="0" collapsed="false">
      <c r="A132" s="55" t="s">
        <v>131</v>
      </c>
      <c r="B132" s="150" t="n">
        <v>0</v>
      </c>
      <c r="C132" s="150"/>
      <c r="D132" s="151" t="n">
        <v>0</v>
      </c>
      <c r="E132" s="151"/>
      <c r="F132" s="150" t="n">
        <v>0</v>
      </c>
      <c r="G132" s="150"/>
      <c r="H132" s="152" t="n">
        <f aca="false">(B132-(B132*D132))-F132</f>
        <v>0</v>
      </c>
      <c r="J132" s="0"/>
      <c r="K132" s="486"/>
      <c r="L132" s="486"/>
      <c r="M132" s="489"/>
      <c r="N132" s="489"/>
      <c r="O132" s="486"/>
      <c r="P132" s="486"/>
      <c r="Q132" s="0"/>
      <c r="R132" s="0"/>
      <c r="S132" s="0"/>
      <c r="T132" s="486"/>
      <c r="U132" s="486"/>
      <c r="V132" s="489"/>
      <c r="W132" s="489"/>
      <c r="X132" s="486"/>
      <c r="Y132" s="486"/>
      <c r="Z132" s="0"/>
      <c r="AA132" s="0"/>
      <c r="AB132" s="0"/>
      <c r="AC132" s="486"/>
      <c r="AD132" s="486"/>
      <c r="AE132" s="489"/>
      <c r="AF132" s="489"/>
      <c r="AG132" s="486"/>
      <c r="AH132" s="486"/>
      <c r="AI132" s="0"/>
    </row>
    <row r="133" customFormat="false" ht="17.35" hidden="false" customHeight="false" outlineLevel="0" collapsed="false">
      <c r="A133" s="55" t="s">
        <v>132</v>
      </c>
      <c r="B133" s="150" t="n">
        <v>0</v>
      </c>
      <c r="C133" s="150"/>
      <c r="D133" s="151" t="n">
        <v>0</v>
      </c>
      <c r="E133" s="151"/>
      <c r="F133" s="150" t="n">
        <v>0</v>
      </c>
      <c r="G133" s="150"/>
      <c r="H133" s="152" t="n">
        <f aca="false">(B133-(B133*D133))-F133</f>
        <v>0</v>
      </c>
      <c r="J133" s="0"/>
      <c r="K133" s="486"/>
      <c r="L133" s="486"/>
      <c r="M133" s="489"/>
      <c r="N133" s="489"/>
      <c r="O133" s="486"/>
      <c r="P133" s="486"/>
      <c r="Q133" s="0"/>
      <c r="R133" s="0"/>
      <c r="S133" s="0"/>
      <c r="T133" s="486"/>
      <c r="U133" s="486"/>
      <c r="V133" s="489"/>
      <c r="W133" s="489"/>
      <c r="X133" s="486"/>
      <c r="Y133" s="486"/>
      <c r="Z133" s="0"/>
      <c r="AA133" s="0"/>
      <c r="AB133" s="0"/>
      <c r="AC133" s="486"/>
      <c r="AD133" s="486"/>
      <c r="AE133" s="489"/>
      <c r="AF133" s="489"/>
      <c r="AG133" s="486"/>
      <c r="AH133" s="486"/>
      <c r="AI133" s="0"/>
    </row>
    <row r="134" customFormat="false" ht="17.35" hidden="false" customHeight="false" outlineLevel="0" collapsed="false">
      <c r="A134" s="55"/>
      <c r="B134" s="25"/>
      <c r="C134" s="25"/>
      <c r="D134" s="25"/>
      <c r="E134" s="25"/>
      <c r="F134" s="25"/>
      <c r="G134" s="147"/>
      <c r="H134" s="148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153" t="s">
        <v>133</v>
      </c>
      <c r="B135" s="153"/>
      <c r="C135" s="153"/>
      <c r="D135" s="153"/>
      <c r="E135" s="153"/>
      <c r="F135" s="153"/>
      <c r="G135" s="29" t="n">
        <f aca="false">H9</f>
        <v>47687.5</v>
      </c>
      <c r="H135" s="154" t="n">
        <f aca="false">C125+E125+G125+H128</f>
        <v>47687.5</v>
      </c>
      <c r="J135" s="486"/>
      <c r="K135" s="486"/>
      <c r="L135" s="486"/>
      <c r="M135" s="486"/>
      <c r="N135" s="486"/>
      <c r="O135" s="486"/>
      <c r="P135" s="0"/>
      <c r="Q135" s="0"/>
      <c r="R135" s="0"/>
      <c r="S135" s="486"/>
      <c r="T135" s="486"/>
      <c r="U135" s="486"/>
      <c r="V135" s="486"/>
      <c r="W135" s="486"/>
      <c r="X135" s="486"/>
      <c r="Y135" s="0"/>
      <c r="Z135" s="0"/>
      <c r="AA135" s="0"/>
      <c r="AB135" s="486"/>
      <c r="AC135" s="486"/>
      <c r="AD135" s="486"/>
      <c r="AE135" s="486"/>
      <c r="AF135" s="486"/>
      <c r="AG135" s="486"/>
      <c r="AH135" s="0"/>
      <c r="AI135" s="0"/>
    </row>
    <row r="136" customFormat="false" ht="17.35" hidden="false" customHeight="false" outlineLevel="0" collapsed="false">
      <c r="A136" s="155" t="s">
        <v>134</v>
      </c>
      <c r="B136" s="155"/>
      <c r="C136" s="155"/>
      <c r="D136" s="155"/>
      <c r="E136" s="155"/>
      <c r="F136" s="155"/>
      <c r="G136" s="21" t="n">
        <f aca="false">H10</f>
        <v>550</v>
      </c>
      <c r="H136" s="20" t="n">
        <f aca="false">G136</f>
        <v>550</v>
      </c>
      <c r="J136" s="486"/>
      <c r="K136" s="486"/>
      <c r="L136" s="486"/>
      <c r="M136" s="486"/>
      <c r="N136" s="486"/>
      <c r="O136" s="486"/>
      <c r="P136" s="0"/>
      <c r="Q136" s="0"/>
      <c r="R136" s="0"/>
      <c r="S136" s="486"/>
      <c r="T136" s="486"/>
      <c r="U136" s="486"/>
      <c r="V136" s="486"/>
      <c r="W136" s="486"/>
      <c r="X136" s="486"/>
      <c r="Y136" s="0"/>
      <c r="Z136" s="0"/>
      <c r="AA136" s="0"/>
      <c r="AB136" s="486"/>
      <c r="AC136" s="486"/>
      <c r="AD136" s="486"/>
      <c r="AE136" s="486"/>
      <c r="AF136" s="486"/>
      <c r="AG136" s="486"/>
      <c r="AH136" s="0"/>
      <c r="AI136" s="0"/>
    </row>
    <row r="137" customFormat="false" ht="17.35" hidden="false" customHeight="false" outlineLevel="0" collapsed="false">
      <c r="A137" s="155" t="s">
        <v>135</v>
      </c>
      <c r="B137" s="155"/>
      <c r="C137" s="155"/>
      <c r="D137" s="155"/>
      <c r="E137" s="155"/>
      <c r="F137" s="155"/>
      <c r="G137" s="21" t="n">
        <f aca="false">H11</f>
        <v>9647.5</v>
      </c>
      <c r="H137" s="20" t="n">
        <f aca="false">(H135+H136)*20%</f>
        <v>9647.5</v>
      </c>
      <c r="J137" s="486"/>
      <c r="K137" s="486"/>
      <c r="L137" s="486"/>
      <c r="M137" s="486"/>
      <c r="N137" s="486"/>
      <c r="O137" s="486"/>
      <c r="P137" s="0"/>
      <c r="Q137" s="0"/>
      <c r="R137" s="0"/>
      <c r="S137" s="486"/>
      <c r="T137" s="486"/>
      <c r="U137" s="486"/>
      <c r="V137" s="486"/>
      <c r="W137" s="486"/>
      <c r="X137" s="486"/>
      <c r="Y137" s="0"/>
      <c r="Z137" s="0"/>
      <c r="AA137" s="0"/>
      <c r="AB137" s="486"/>
      <c r="AC137" s="486"/>
      <c r="AD137" s="486"/>
      <c r="AE137" s="486"/>
      <c r="AF137" s="486"/>
      <c r="AG137" s="486"/>
      <c r="AH137" s="0"/>
      <c r="AI137" s="0"/>
    </row>
    <row r="138" customFormat="false" ht="17.35" hidden="false" customHeight="false" outlineLevel="0" collapsed="false">
      <c r="A138" s="155" t="s">
        <v>136</v>
      </c>
      <c r="B138" s="155"/>
      <c r="C138" s="155"/>
      <c r="D138" s="155"/>
      <c r="E138" s="155"/>
      <c r="F138" s="155"/>
      <c r="G138" s="21" t="n">
        <f aca="false">H12</f>
        <v>0</v>
      </c>
      <c r="H138" s="20" t="n">
        <v>0</v>
      </c>
      <c r="J138" s="486"/>
      <c r="K138" s="486"/>
      <c r="L138" s="486"/>
      <c r="M138" s="486"/>
      <c r="N138" s="486"/>
      <c r="O138" s="486"/>
      <c r="P138" s="0"/>
      <c r="Q138" s="0"/>
      <c r="R138" s="0"/>
      <c r="S138" s="486"/>
      <c r="T138" s="486"/>
      <c r="U138" s="486"/>
      <c r="V138" s="486"/>
      <c r="W138" s="486"/>
      <c r="X138" s="486"/>
      <c r="Y138" s="0"/>
      <c r="Z138" s="0"/>
      <c r="AA138" s="0"/>
      <c r="AB138" s="486"/>
      <c r="AC138" s="486"/>
      <c r="AD138" s="486"/>
      <c r="AE138" s="486"/>
      <c r="AF138" s="486"/>
      <c r="AG138" s="486"/>
      <c r="AH138" s="0"/>
      <c r="AI138" s="0"/>
    </row>
    <row r="139" customFormat="false" ht="17.35" hidden="false" customHeight="false" outlineLevel="0" collapsed="false">
      <c r="A139" s="155" t="s">
        <v>137</v>
      </c>
      <c r="B139" s="155"/>
      <c r="C139" s="155"/>
      <c r="D139" s="155"/>
      <c r="E139" s="155"/>
      <c r="F139" s="155"/>
      <c r="G139" s="21" t="n">
        <f aca="false">H13</f>
        <v>585</v>
      </c>
      <c r="H139" s="20" t="n">
        <f aca="false">G139</f>
        <v>585</v>
      </c>
      <c r="J139" s="486"/>
      <c r="K139" s="486"/>
      <c r="L139" s="486"/>
      <c r="M139" s="486"/>
      <c r="N139" s="486"/>
      <c r="O139" s="486"/>
      <c r="P139" s="0"/>
      <c r="Q139" s="0"/>
      <c r="R139" s="0"/>
      <c r="S139" s="486"/>
      <c r="T139" s="486"/>
      <c r="U139" s="486"/>
      <c r="V139" s="486"/>
      <c r="W139" s="486"/>
      <c r="X139" s="486"/>
      <c r="Y139" s="0"/>
      <c r="Z139" s="0"/>
      <c r="AA139" s="0"/>
      <c r="AB139" s="486"/>
      <c r="AC139" s="486"/>
      <c r="AD139" s="486"/>
      <c r="AE139" s="486"/>
      <c r="AF139" s="486"/>
      <c r="AG139" s="486"/>
      <c r="AH139" s="0"/>
      <c r="AI139" s="0"/>
    </row>
    <row r="140" customFormat="false" ht="17.35" hidden="false" customHeight="false" outlineLevel="0" collapsed="false">
      <c r="A140" s="155" t="s">
        <v>138</v>
      </c>
      <c r="B140" s="155"/>
      <c r="C140" s="155"/>
      <c r="D140" s="155"/>
      <c r="E140" s="155"/>
      <c r="F140" s="155"/>
      <c r="G140" s="21" t="n">
        <f aca="false">H14</f>
        <v>55</v>
      </c>
      <c r="H140" s="20" t="n">
        <v>55</v>
      </c>
      <c r="J140" s="486"/>
      <c r="K140" s="486"/>
      <c r="L140" s="486"/>
      <c r="M140" s="486"/>
      <c r="N140" s="486"/>
      <c r="O140" s="486"/>
      <c r="P140" s="0"/>
      <c r="Q140" s="0"/>
      <c r="R140" s="0"/>
      <c r="S140" s="486"/>
      <c r="T140" s="486"/>
      <c r="U140" s="486"/>
      <c r="V140" s="486"/>
      <c r="W140" s="486"/>
      <c r="X140" s="486"/>
      <c r="Y140" s="0"/>
      <c r="Z140" s="0"/>
      <c r="AA140" s="0"/>
      <c r="AB140" s="486"/>
      <c r="AC140" s="486"/>
      <c r="AD140" s="486"/>
      <c r="AE140" s="486"/>
      <c r="AF140" s="486"/>
      <c r="AG140" s="486"/>
      <c r="AH140" s="0"/>
      <c r="AI140" s="0"/>
    </row>
    <row r="141" customFormat="false" ht="19.7" hidden="false" customHeight="false" outlineLevel="0" collapsed="false">
      <c r="A141" s="155" t="s">
        <v>139</v>
      </c>
      <c r="B141" s="155"/>
      <c r="C141" s="155"/>
      <c r="D141" s="155"/>
      <c r="E141" s="155"/>
      <c r="F141" s="155"/>
      <c r="G141" s="157" t="n">
        <f aca="false">H15</f>
        <v>58525</v>
      </c>
      <c r="H141" s="156" t="n">
        <f aca="false">(H135+H136+H139+H140+H137)-H138</f>
        <v>58525</v>
      </c>
      <c r="J141" s="486"/>
      <c r="K141" s="486"/>
      <c r="L141" s="486"/>
      <c r="M141" s="486"/>
      <c r="N141" s="486"/>
      <c r="O141" s="486"/>
      <c r="P141" s="0"/>
      <c r="Q141" s="0"/>
      <c r="R141" s="0"/>
      <c r="S141" s="486"/>
      <c r="T141" s="486"/>
      <c r="U141" s="486"/>
      <c r="V141" s="486"/>
      <c r="W141" s="486"/>
      <c r="X141" s="486"/>
      <c r="Y141" s="0"/>
      <c r="Z141" s="0"/>
      <c r="AA141" s="0"/>
      <c r="AB141" s="486"/>
      <c r="AC141" s="486"/>
      <c r="AD141" s="486"/>
      <c r="AE141" s="486"/>
      <c r="AF141" s="486"/>
      <c r="AG141" s="486"/>
      <c r="AH141" s="0"/>
      <c r="AI141" s="0"/>
    </row>
    <row r="142" customFormat="false" ht="17.35" hidden="false" customHeight="false" outlineLevel="0" collapsed="false">
      <c r="A142" s="155" t="s">
        <v>140</v>
      </c>
      <c r="B142" s="155"/>
      <c r="C142" s="155"/>
      <c r="D142" s="155"/>
      <c r="E142" s="155"/>
      <c r="F142" s="155"/>
      <c r="G142" s="21" t="n">
        <f aca="false">H16</f>
        <v>0</v>
      </c>
      <c r="H142" s="52" t="n">
        <f aca="false">G142</f>
        <v>0</v>
      </c>
      <c r="J142" s="486"/>
      <c r="K142" s="486"/>
      <c r="L142" s="486"/>
      <c r="M142" s="486"/>
      <c r="N142" s="486"/>
      <c r="O142" s="486"/>
      <c r="P142" s="0"/>
      <c r="Q142" s="0"/>
      <c r="R142" s="0"/>
      <c r="S142" s="486"/>
      <c r="T142" s="486"/>
      <c r="U142" s="486"/>
      <c r="V142" s="486"/>
      <c r="W142" s="486"/>
      <c r="X142" s="486"/>
      <c r="Y142" s="0"/>
      <c r="Z142" s="0"/>
      <c r="AA142" s="0"/>
      <c r="AB142" s="486"/>
      <c r="AC142" s="486"/>
      <c r="AD142" s="486"/>
      <c r="AE142" s="486"/>
      <c r="AF142" s="486"/>
      <c r="AG142" s="486"/>
      <c r="AH142" s="0"/>
      <c r="AI142" s="0"/>
    </row>
    <row r="143" customFormat="false" ht="17.35" hidden="false" customHeight="false" outlineLevel="0" collapsed="false">
      <c r="A143" s="70" t="s">
        <v>141</v>
      </c>
      <c r="B143" s="70"/>
      <c r="C143" s="70"/>
      <c r="D143" s="70"/>
      <c r="E143" s="70"/>
      <c r="F143" s="70"/>
      <c r="G143" s="37"/>
      <c r="H143" s="20"/>
      <c r="J143" s="486"/>
      <c r="K143" s="486"/>
      <c r="L143" s="486"/>
      <c r="M143" s="486"/>
      <c r="N143" s="486"/>
      <c r="O143" s="486"/>
      <c r="P143" s="0"/>
      <c r="Q143" s="0"/>
      <c r="R143" s="0"/>
      <c r="S143" s="486"/>
      <c r="T143" s="486"/>
      <c r="U143" s="486"/>
      <c r="V143" s="486"/>
      <c r="W143" s="486"/>
      <c r="X143" s="486"/>
      <c r="Y143" s="0"/>
      <c r="Z143" s="0"/>
      <c r="AA143" s="0"/>
      <c r="AB143" s="486"/>
      <c r="AC143" s="486"/>
      <c r="AD143" s="486"/>
      <c r="AE143" s="486"/>
      <c r="AF143" s="486"/>
      <c r="AG143" s="486"/>
      <c r="AH143" s="0"/>
      <c r="AI143" s="0"/>
    </row>
    <row r="144" customFormat="false" ht="17.35" hidden="false" customHeight="false" outlineLevel="0" collapsed="false">
      <c r="A144" s="158" t="s">
        <v>15</v>
      </c>
      <c r="B144" s="159" t="n">
        <v>0</v>
      </c>
      <c r="C144" s="159"/>
      <c r="D144" s="159"/>
      <c r="E144" s="159"/>
      <c r="F144" s="159"/>
      <c r="G144" s="21" t="n">
        <f aca="false">H18</f>
        <v>0</v>
      </c>
      <c r="H144" s="52" t="n">
        <v>0</v>
      </c>
      <c r="J144" s="0"/>
      <c r="K144" s="486"/>
      <c r="L144" s="486"/>
      <c r="M144" s="486"/>
      <c r="N144" s="486"/>
      <c r="O144" s="486"/>
      <c r="P144" s="0"/>
      <c r="Q144" s="0"/>
      <c r="R144" s="0"/>
      <c r="S144" s="0"/>
      <c r="T144" s="486"/>
      <c r="U144" s="486"/>
      <c r="V144" s="486"/>
      <c r="W144" s="486"/>
      <c r="X144" s="486"/>
      <c r="Y144" s="0"/>
      <c r="Z144" s="0"/>
      <c r="AA144" s="0"/>
      <c r="AB144" s="0"/>
      <c r="AC144" s="486"/>
      <c r="AD144" s="486"/>
      <c r="AE144" s="486"/>
      <c r="AF144" s="486"/>
      <c r="AG144" s="486"/>
      <c r="AH144" s="0"/>
      <c r="AI144" s="0"/>
    </row>
    <row r="145" customFormat="false" ht="17.35" hidden="false" customHeight="false" outlineLevel="0" collapsed="false">
      <c r="A145" s="158" t="s">
        <v>17</v>
      </c>
      <c r="B145" s="159" t="s">
        <v>142</v>
      </c>
      <c r="C145" s="159"/>
      <c r="D145" s="159"/>
      <c r="E145" s="159"/>
      <c r="F145" s="159"/>
      <c r="G145" s="21" t="n">
        <f aca="false">H19</f>
        <v>0</v>
      </c>
      <c r="H145" s="52" t="n">
        <v>0</v>
      </c>
      <c r="I145" s="1" t="n">
        <f aca="false">(G142+G145+G146+G144)</f>
        <v>0</v>
      </c>
      <c r="J145" s="0"/>
      <c r="K145" s="486"/>
      <c r="L145" s="486"/>
      <c r="M145" s="486"/>
      <c r="N145" s="486"/>
      <c r="O145" s="486"/>
      <c r="P145" s="0"/>
      <c r="Q145" s="0"/>
      <c r="R145" s="0"/>
      <c r="S145" s="0"/>
      <c r="T145" s="486"/>
      <c r="U145" s="486"/>
      <c r="V145" s="486"/>
      <c r="W145" s="486"/>
      <c r="X145" s="486"/>
      <c r="Y145" s="0"/>
      <c r="Z145" s="0"/>
      <c r="AA145" s="0"/>
      <c r="AB145" s="0"/>
      <c r="AC145" s="486"/>
      <c r="AD145" s="486"/>
      <c r="AE145" s="486"/>
      <c r="AF145" s="486"/>
      <c r="AG145" s="486"/>
      <c r="AH145" s="0"/>
      <c r="AI145" s="0"/>
    </row>
    <row r="146" customFormat="false" ht="17.35" hidden="false" customHeight="false" outlineLevel="0" collapsed="false">
      <c r="A146" s="160" t="s">
        <v>18</v>
      </c>
      <c r="B146" s="161" t="s">
        <v>142</v>
      </c>
      <c r="C146" s="161"/>
      <c r="D146" s="161"/>
      <c r="E146" s="161"/>
      <c r="F146" s="161"/>
      <c r="G146" s="21" t="n">
        <f aca="false">H20</f>
        <v>0</v>
      </c>
      <c r="H146" s="52" t="n">
        <v>0</v>
      </c>
      <c r="I146" s="1" t="n">
        <f aca="false">(H142+H144+H145+H146)</f>
        <v>0</v>
      </c>
      <c r="J146" s="0"/>
      <c r="K146" s="486"/>
      <c r="L146" s="486"/>
      <c r="M146" s="486"/>
      <c r="N146" s="486"/>
      <c r="O146" s="486"/>
      <c r="P146" s="0"/>
      <c r="Q146" s="0"/>
      <c r="R146" s="0"/>
      <c r="S146" s="0"/>
      <c r="T146" s="486"/>
      <c r="U146" s="486"/>
      <c r="V146" s="486"/>
      <c r="W146" s="486"/>
      <c r="X146" s="486"/>
      <c r="Y146" s="0"/>
      <c r="Z146" s="0"/>
      <c r="AA146" s="0"/>
      <c r="AB146" s="0"/>
      <c r="AC146" s="486"/>
      <c r="AD146" s="486"/>
      <c r="AE146" s="486"/>
      <c r="AF146" s="486"/>
      <c r="AG146" s="486"/>
      <c r="AH146" s="0"/>
      <c r="AI146" s="0"/>
    </row>
    <row r="147" customFormat="false" ht="19.7" hidden="false" customHeight="false" outlineLevel="0" collapsed="false">
      <c r="A147" s="155" t="s">
        <v>143</v>
      </c>
      <c r="B147" s="155"/>
      <c r="C147" s="155"/>
      <c r="D147" s="155"/>
      <c r="E147" s="155"/>
      <c r="F147" s="155"/>
      <c r="G147" s="157" t="n">
        <f aca="false">G141-((G144*1.2)+(G145*1.2)+(G146*1.2)+(G142*1.2))</f>
        <v>58525</v>
      </c>
      <c r="H147" s="162" t="n">
        <f aca="false">H141-((H144*1.2)+(H145*1.2)+(H146*1.2)+(H142*1.2))</f>
        <v>58525</v>
      </c>
      <c r="J147" s="486"/>
      <c r="K147" s="486"/>
      <c r="L147" s="486"/>
      <c r="M147" s="486"/>
      <c r="N147" s="486"/>
      <c r="O147" s="486"/>
      <c r="P147" s="0"/>
      <c r="Q147" s="0"/>
      <c r="R147" s="0"/>
      <c r="S147" s="486"/>
      <c r="T147" s="486"/>
      <c r="U147" s="486"/>
      <c r="V147" s="486"/>
      <c r="W147" s="486"/>
      <c r="X147" s="486"/>
      <c r="Y147" s="0"/>
      <c r="Z147" s="0"/>
      <c r="AA147" s="0"/>
      <c r="AB147" s="486"/>
      <c r="AC147" s="486"/>
      <c r="AD147" s="486"/>
      <c r="AE147" s="486"/>
      <c r="AF147" s="486"/>
      <c r="AG147" s="486"/>
      <c r="AH147" s="0"/>
      <c r="AI147" s="0"/>
    </row>
    <row r="148" customFormat="false" ht="17.35" hidden="false" customHeight="false" outlineLevel="0" collapsed="false">
      <c r="A148" s="155" t="s">
        <v>144</v>
      </c>
      <c r="B148" s="155"/>
      <c r="C148" s="155"/>
      <c r="D148" s="155"/>
      <c r="E148" s="155"/>
      <c r="F148" s="155"/>
      <c r="G148" s="21"/>
      <c r="H148" s="52" t="n">
        <f aca="false">((H147-G147)-(H137-G137))+((I146-I145)*0.2)</f>
        <v>0</v>
      </c>
      <c r="I148" s="1" t="n">
        <f aca="false">(H148-G81)/1.2</f>
        <v>0</v>
      </c>
      <c r="J148" s="486"/>
      <c r="K148" s="486"/>
      <c r="L148" s="486"/>
      <c r="M148" s="486"/>
      <c r="N148" s="486"/>
      <c r="O148" s="486"/>
      <c r="P148" s="0"/>
      <c r="Q148" s="0"/>
      <c r="R148" s="0"/>
      <c r="S148" s="486"/>
      <c r="T148" s="486"/>
      <c r="U148" s="486"/>
      <c r="V148" s="486"/>
      <c r="W148" s="486"/>
      <c r="X148" s="486"/>
      <c r="Y148" s="0"/>
      <c r="Z148" s="0"/>
      <c r="AA148" s="0"/>
      <c r="AB148" s="486"/>
      <c r="AC148" s="486"/>
      <c r="AD148" s="486"/>
      <c r="AE148" s="486"/>
      <c r="AF148" s="486"/>
      <c r="AG148" s="486"/>
      <c r="AH148" s="0"/>
      <c r="AI148" s="0"/>
    </row>
    <row r="149" customFormat="false" ht="17.35" hidden="false" customHeight="false" outlineLevel="0" collapsed="false">
      <c r="A149" s="55"/>
      <c r="B149" s="25"/>
      <c r="C149" s="25"/>
      <c r="D149" s="25"/>
      <c r="E149" s="45"/>
      <c r="F149" s="45"/>
      <c r="G149" s="45"/>
      <c r="H149" s="2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58" t="s">
        <v>145</v>
      </c>
      <c r="B150" s="58"/>
      <c r="C150" s="58"/>
      <c r="D150" s="58"/>
      <c r="E150" s="58"/>
      <c r="F150" s="58"/>
      <c r="G150" s="58"/>
      <c r="H150" s="58"/>
      <c r="J150" s="486"/>
      <c r="K150" s="486"/>
      <c r="L150" s="486"/>
      <c r="M150" s="486"/>
      <c r="N150" s="486"/>
      <c r="O150" s="486"/>
      <c r="P150" s="486"/>
      <c r="Q150" s="486"/>
      <c r="R150" s="0"/>
      <c r="S150" s="486"/>
      <c r="T150" s="486"/>
      <c r="U150" s="486"/>
      <c r="V150" s="486"/>
      <c r="W150" s="486"/>
      <c r="X150" s="486"/>
      <c r="Y150" s="486"/>
      <c r="Z150" s="486"/>
      <c r="AA150" s="0"/>
      <c r="AB150" s="486"/>
      <c r="AC150" s="486"/>
      <c r="AD150" s="486"/>
      <c r="AE150" s="486"/>
      <c r="AF150" s="486"/>
      <c r="AG150" s="486"/>
      <c r="AH150" s="486"/>
      <c r="AI150" s="486"/>
    </row>
    <row r="151" customFormat="false" ht="17.35" hidden="false" customHeight="false" outlineLevel="0" collapsed="false">
      <c r="A151" s="55"/>
      <c r="B151" s="25"/>
      <c r="C151" s="25"/>
      <c r="D151" s="25"/>
      <c r="E151" s="45"/>
      <c r="F151" s="45"/>
      <c r="G151" s="45"/>
      <c r="H151" s="20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55" t="s">
        <v>146</v>
      </c>
      <c r="B152" s="25"/>
      <c r="C152" s="25"/>
      <c r="D152" s="45"/>
      <c r="E152" s="72" t="n">
        <v>0</v>
      </c>
      <c r="F152" s="72"/>
      <c r="G152" s="72" t="n">
        <v>0</v>
      </c>
      <c r="H152" s="72"/>
      <c r="J152" s="0"/>
      <c r="K152" s="0"/>
      <c r="L152" s="0"/>
      <c r="M152" s="0"/>
      <c r="N152" s="486"/>
      <c r="O152" s="486"/>
      <c r="P152" s="486"/>
      <c r="Q152" s="486"/>
      <c r="R152" s="0"/>
      <c r="S152" s="0"/>
      <c r="T152" s="0"/>
      <c r="U152" s="0"/>
      <c r="V152" s="0"/>
      <c r="W152" s="486"/>
      <c r="X152" s="486"/>
      <c r="Y152" s="486"/>
      <c r="Z152" s="486"/>
      <c r="AA152" s="0"/>
      <c r="AB152" s="0"/>
      <c r="AC152" s="0"/>
      <c r="AD152" s="0"/>
      <c r="AE152" s="0"/>
      <c r="AF152" s="486"/>
      <c r="AG152" s="486"/>
      <c r="AH152" s="486"/>
      <c r="AI152" s="486"/>
    </row>
    <row r="153" customFormat="false" ht="17.35" hidden="false" customHeight="false" outlineLevel="0" collapsed="false">
      <c r="A153" s="55" t="s">
        <v>147</v>
      </c>
      <c r="B153" s="25"/>
      <c r="C153" s="25"/>
      <c r="D153" s="45"/>
      <c r="E153" s="38" t="n">
        <f aca="false">G153</f>
        <v>0</v>
      </c>
      <c r="F153" s="38"/>
      <c r="G153" s="72" t="n">
        <v>0</v>
      </c>
      <c r="H153" s="72"/>
      <c r="J153" s="0"/>
      <c r="K153" s="0"/>
      <c r="L153" s="0"/>
      <c r="M153" s="0"/>
      <c r="N153" s="486"/>
      <c r="O153" s="486"/>
      <c r="P153" s="486"/>
      <c r="Q153" s="486"/>
      <c r="R153" s="0"/>
      <c r="S153" s="0"/>
      <c r="T153" s="0"/>
      <c r="U153" s="0"/>
      <c r="V153" s="0"/>
      <c r="W153" s="486"/>
      <c r="X153" s="486"/>
      <c r="Y153" s="486"/>
      <c r="Z153" s="486"/>
      <c r="AA153" s="0"/>
      <c r="AB153" s="0"/>
      <c r="AC153" s="0"/>
      <c r="AD153" s="0"/>
      <c r="AE153" s="0"/>
      <c r="AF153" s="486"/>
      <c r="AG153" s="486"/>
      <c r="AH153" s="486"/>
      <c r="AI153" s="486"/>
    </row>
    <row r="154" customFormat="false" ht="17.35" hidden="false" customHeight="false" outlineLevel="0" collapsed="false">
      <c r="A154" s="55" t="s">
        <v>148</v>
      </c>
      <c r="B154" s="25"/>
      <c r="C154" s="25"/>
      <c r="D154" s="45"/>
      <c r="E154" s="38" t="n">
        <f aca="false">E152-E153</f>
        <v>0</v>
      </c>
      <c r="F154" s="38"/>
      <c r="G154" s="163" t="n">
        <f aca="false">G152-G153</f>
        <v>0</v>
      </c>
      <c r="H154" s="163"/>
      <c r="J154" s="0"/>
      <c r="K154" s="0"/>
      <c r="L154" s="0"/>
      <c r="M154" s="0"/>
      <c r="N154" s="486"/>
      <c r="O154" s="486"/>
      <c r="P154" s="486"/>
      <c r="Q154" s="486"/>
      <c r="R154" s="0"/>
      <c r="S154" s="0"/>
      <c r="T154" s="0"/>
      <c r="U154" s="0"/>
      <c r="V154" s="0"/>
      <c r="W154" s="486"/>
      <c r="X154" s="486"/>
      <c r="Y154" s="486"/>
      <c r="Z154" s="486"/>
      <c r="AA154" s="0"/>
      <c r="AB154" s="0"/>
      <c r="AC154" s="0"/>
      <c r="AD154" s="0"/>
      <c r="AE154" s="0"/>
      <c r="AF154" s="486"/>
      <c r="AG154" s="486"/>
      <c r="AH154" s="486"/>
      <c r="AI154" s="486"/>
    </row>
    <row r="155" customFormat="false" ht="17.35" hidden="false" customHeight="false" outlineLevel="0" collapsed="false">
      <c r="A155" s="55" t="s">
        <v>149</v>
      </c>
      <c r="B155" s="25"/>
      <c r="C155" s="25"/>
      <c r="D155" s="45"/>
      <c r="E155" s="38" t="n">
        <f aca="false">E154-G154</f>
        <v>0</v>
      </c>
      <c r="F155" s="38"/>
      <c r="G155" s="45"/>
      <c r="H155" s="20"/>
      <c r="J155" s="0"/>
      <c r="K155" s="0"/>
      <c r="L155" s="0"/>
      <c r="M155" s="0"/>
      <c r="N155" s="486"/>
      <c r="O155" s="486"/>
      <c r="P155" s="0"/>
      <c r="Q155" s="0"/>
      <c r="R155" s="0"/>
      <c r="S155" s="0"/>
      <c r="T155" s="0"/>
      <c r="U155" s="0"/>
      <c r="V155" s="0"/>
      <c r="W155" s="486"/>
      <c r="X155" s="486"/>
      <c r="Y155" s="0"/>
      <c r="Z155" s="0"/>
      <c r="AA155" s="0"/>
      <c r="AB155" s="0"/>
      <c r="AC155" s="0"/>
      <c r="AD155" s="0"/>
      <c r="AE155" s="0"/>
      <c r="AF155" s="486"/>
      <c r="AG155" s="486"/>
      <c r="AH155" s="0"/>
      <c r="AI155" s="0"/>
    </row>
    <row r="156" customFormat="false" ht="17.35" hidden="false" customHeight="false" outlineLevel="0" collapsed="false">
      <c r="A156" s="55"/>
      <c r="B156" s="25"/>
      <c r="C156" s="25"/>
      <c r="D156" s="45"/>
      <c r="E156" s="25"/>
      <c r="F156" s="45"/>
      <c r="G156" s="45"/>
      <c r="H156" s="20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48" t="s">
        <v>150</v>
      </c>
      <c r="B157" s="49"/>
      <c r="C157" s="49"/>
      <c r="D157" s="93"/>
      <c r="E157" s="49"/>
      <c r="F157" s="93"/>
      <c r="G157" s="164" t="n">
        <f aca="false">A114</f>
        <v>0</v>
      </c>
      <c r="H157" s="164"/>
      <c r="J157" s="0"/>
      <c r="K157" s="0"/>
      <c r="L157" s="0"/>
      <c r="M157" s="0"/>
      <c r="N157" s="0"/>
      <c r="O157" s="0"/>
      <c r="P157" s="486"/>
      <c r="Q157" s="486"/>
      <c r="R157" s="0"/>
      <c r="S157" s="0"/>
      <c r="T157" s="0"/>
      <c r="U157" s="0"/>
      <c r="V157" s="0"/>
      <c r="W157" s="0"/>
      <c r="X157" s="0"/>
      <c r="Y157" s="486"/>
      <c r="Z157" s="486"/>
      <c r="AA157" s="0"/>
      <c r="AB157" s="0"/>
      <c r="AC157" s="0"/>
      <c r="AD157" s="0"/>
      <c r="AE157" s="0"/>
      <c r="AF157" s="0"/>
      <c r="AG157" s="0"/>
      <c r="AH157" s="486"/>
      <c r="AI157" s="486"/>
    </row>
    <row r="158" customFormat="false" ht="19.7" hidden="false" customHeight="false" outlineLevel="0" collapsed="false">
      <c r="A158" s="165" t="s">
        <v>151</v>
      </c>
      <c r="B158" s="25"/>
      <c r="C158" s="25"/>
      <c r="D158" s="94"/>
      <c r="E158" s="25"/>
      <c r="F158" s="94"/>
      <c r="G158" s="166" t="n">
        <f aca="false">H147-G154-G157</f>
        <v>58525</v>
      </c>
      <c r="H158" s="166"/>
      <c r="J158" s="0"/>
      <c r="K158" s="0"/>
      <c r="L158" s="0"/>
      <c r="M158" s="0"/>
      <c r="N158" s="0"/>
      <c r="O158" s="0"/>
      <c r="P158" s="486"/>
      <c r="Q158" s="486"/>
      <c r="R158" s="0"/>
      <c r="S158" s="0"/>
      <c r="T158" s="0"/>
      <c r="U158" s="0"/>
      <c r="V158" s="0"/>
      <c r="W158" s="0"/>
      <c r="X158" s="0"/>
      <c r="Y158" s="486"/>
      <c r="Z158" s="486"/>
      <c r="AA158" s="0"/>
      <c r="AB158" s="0"/>
      <c r="AC158" s="0"/>
      <c r="AD158" s="0"/>
      <c r="AE158" s="0"/>
      <c r="AF158" s="0"/>
      <c r="AG158" s="0"/>
      <c r="AH158" s="486"/>
      <c r="AI158" s="486"/>
    </row>
    <row r="159" customFormat="false" ht="17.35" hidden="false" customHeight="false" outlineLevel="0" collapsed="false">
      <c r="A159" s="74" t="s">
        <v>152</v>
      </c>
      <c r="B159" s="75"/>
      <c r="C159" s="75"/>
      <c r="D159" s="116"/>
      <c r="E159" s="75"/>
      <c r="F159" s="116"/>
      <c r="G159" s="167" t="str">
        <f aca="false">B114</f>
        <v>199.99</v>
      </c>
      <c r="H159" s="167"/>
      <c r="J159" s="0"/>
      <c r="K159" s="0"/>
      <c r="L159" s="0"/>
      <c r="M159" s="0"/>
      <c r="N159" s="0"/>
      <c r="O159" s="0"/>
      <c r="P159" s="486"/>
      <c r="Q159" s="486"/>
      <c r="R159" s="0"/>
      <c r="S159" s="0"/>
      <c r="T159" s="0"/>
      <c r="U159" s="0"/>
      <c r="V159" s="0"/>
      <c r="W159" s="0"/>
      <c r="X159" s="0"/>
      <c r="Y159" s="486"/>
      <c r="Z159" s="486"/>
      <c r="AA159" s="0"/>
      <c r="AB159" s="0"/>
      <c r="AC159" s="0"/>
      <c r="AD159" s="0"/>
      <c r="AE159" s="0"/>
      <c r="AF159" s="0"/>
      <c r="AG159" s="0"/>
      <c r="AH159" s="486"/>
      <c r="AI159" s="486"/>
    </row>
    <row r="160" customFormat="false" ht="17.35" hidden="false" customHeight="false" outlineLevel="0" collapsed="false">
      <c r="A160" s="55"/>
      <c r="B160" s="25"/>
      <c r="C160" s="25"/>
      <c r="D160" s="25"/>
      <c r="E160" s="45"/>
      <c r="F160" s="45"/>
      <c r="G160" s="45"/>
      <c r="H160" s="2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55"/>
      <c r="B161" s="25"/>
      <c r="C161" s="25"/>
      <c r="D161" s="25"/>
      <c r="E161" s="45"/>
      <c r="F161" s="45"/>
      <c r="G161" s="45"/>
      <c r="H161" s="2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58" t="s">
        <v>153</v>
      </c>
      <c r="B162" s="58"/>
      <c r="C162" s="58"/>
      <c r="D162" s="58"/>
      <c r="E162" s="58"/>
      <c r="F162" s="58"/>
      <c r="G162" s="58"/>
      <c r="H162" s="58"/>
      <c r="J162" s="486"/>
      <c r="K162" s="486"/>
      <c r="L162" s="486"/>
      <c r="M162" s="486"/>
      <c r="N162" s="486"/>
      <c r="O162" s="486"/>
      <c r="P162" s="486"/>
      <c r="Q162" s="486"/>
      <c r="R162" s="0"/>
      <c r="S162" s="486"/>
      <c r="T162" s="486"/>
      <c r="U162" s="486"/>
      <c r="V162" s="486"/>
      <c r="W162" s="486"/>
      <c r="X162" s="486"/>
      <c r="Y162" s="486"/>
      <c r="Z162" s="486"/>
      <c r="AA162" s="0"/>
      <c r="AB162" s="486"/>
      <c r="AC162" s="486"/>
      <c r="AD162" s="486"/>
      <c r="AE162" s="486"/>
      <c r="AF162" s="486"/>
      <c r="AG162" s="486"/>
      <c r="AH162" s="486"/>
      <c r="AI162" s="486"/>
    </row>
    <row r="163" customFormat="false" ht="17.35" hidden="false" customHeight="false" outlineLevel="0" collapsed="false">
      <c r="A163" s="55"/>
      <c r="B163" s="25"/>
      <c r="C163" s="25"/>
      <c r="D163" s="25"/>
      <c r="E163" s="45"/>
      <c r="F163" s="45"/>
      <c r="G163" s="45"/>
      <c r="H163" s="2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55" t="s">
        <v>29</v>
      </c>
      <c r="B164" s="168" t="n">
        <v>0</v>
      </c>
      <c r="C164" s="168"/>
      <c r="D164" s="25"/>
      <c r="E164" s="45"/>
      <c r="F164" s="45"/>
      <c r="G164" s="45"/>
      <c r="H164" s="20"/>
      <c r="J164" s="0"/>
      <c r="K164" s="486"/>
      <c r="L164" s="486"/>
      <c r="M164" s="0"/>
      <c r="N164" s="0"/>
      <c r="O164" s="0"/>
      <c r="P164" s="0"/>
      <c r="Q164" s="0"/>
      <c r="R164" s="0"/>
      <c r="S164" s="0"/>
      <c r="T164" s="486"/>
      <c r="U164" s="486"/>
      <c r="V164" s="0"/>
      <c r="W164" s="0"/>
      <c r="X164" s="0"/>
      <c r="Y164" s="0"/>
      <c r="Z164" s="0"/>
      <c r="AA164" s="0"/>
      <c r="AB164" s="0"/>
      <c r="AC164" s="486"/>
      <c r="AD164" s="48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55"/>
      <c r="B165" s="25"/>
      <c r="C165" s="25"/>
      <c r="D165" s="25"/>
      <c r="E165" s="45"/>
      <c r="F165" s="45"/>
      <c r="G165" s="45"/>
      <c r="H165" s="2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169" t="s">
        <v>154</v>
      </c>
      <c r="B166" s="170" t="s">
        <v>155</v>
      </c>
      <c r="C166" s="170"/>
      <c r="D166" s="170"/>
      <c r="E166" s="170" t="s">
        <v>156</v>
      </c>
      <c r="F166" s="45"/>
      <c r="G166" s="45"/>
      <c r="H166" s="2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171" t="n">
        <f aca="false">B95</f>
        <v>1584.81640136705</v>
      </c>
      <c r="B167" s="172" t="n">
        <f aca="false">B94</f>
        <v>19.09375</v>
      </c>
      <c r="C167" s="170"/>
      <c r="D167" s="170"/>
      <c r="E167" s="172" t="n">
        <f aca="false">B96</f>
        <v>1603.91015136705</v>
      </c>
      <c r="F167" s="45"/>
      <c r="G167" s="45"/>
      <c r="H167" s="2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55"/>
      <c r="B168" s="25"/>
      <c r="C168" s="25"/>
      <c r="D168" s="25"/>
      <c r="E168" s="45"/>
      <c r="F168" s="45"/>
      <c r="G168" s="45"/>
      <c r="H168" s="2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55" t="s">
        <v>28</v>
      </c>
      <c r="B169" s="25" t="s">
        <v>33</v>
      </c>
      <c r="C169" s="25"/>
      <c r="D169" s="45"/>
      <c r="E169" s="25" t="s">
        <v>157</v>
      </c>
      <c r="F169" s="45"/>
      <c r="G169" s="45"/>
      <c r="H169" s="2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63" t="str">
        <f aca="false">H29</f>
        <v>33</v>
      </c>
      <c r="B170" s="174" t="str">
        <f aca="false">H30</f>
        <v>5000</v>
      </c>
      <c r="C170" s="175"/>
      <c r="D170" s="45"/>
      <c r="E170" s="73" t="n">
        <v>6000</v>
      </c>
      <c r="F170" s="45"/>
      <c r="G170" s="45"/>
      <c r="H170" s="2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55"/>
      <c r="B171" s="25"/>
      <c r="C171" s="25"/>
      <c r="D171" s="45"/>
      <c r="E171" s="25"/>
      <c r="F171" s="45"/>
      <c r="G171" s="45"/>
      <c r="H171" s="2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55" t="s">
        <v>158</v>
      </c>
      <c r="B172" s="25" t="s">
        <v>159</v>
      </c>
      <c r="C172" s="25"/>
      <c r="D172" s="45"/>
      <c r="E172" s="25" t="s">
        <v>160</v>
      </c>
      <c r="F172" s="45"/>
      <c r="G172" s="45"/>
      <c r="H172" s="2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69" t="n">
        <f aca="false">H141-H137-H139-H140</f>
        <v>48237.5</v>
      </c>
      <c r="B173" s="37" t="n">
        <f aca="false">H137</f>
        <v>9647.5</v>
      </c>
      <c r="C173" s="67"/>
      <c r="D173" s="45"/>
      <c r="E173" s="73" t="n">
        <f aca="false">H139+H140</f>
        <v>640</v>
      </c>
      <c r="F173" s="45"/>
      <c r="G173" s="45"/>
      <c r="H173" s="2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55"/>
      <c r="B174" s="25"/>
      <c r="C174" s="25"/>
      <c r="D174" s="45"/>
      <c r="E174" s="25"/>
      <c r="F174" s="45"/>
      <c r="G174" s="45"/>
      <c r="H174" s="2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55" t="s">
        <v>161</v>
      </c>
      <c r="B175" s="25" t="s">
        <v>108</v>
      </c>
      <c r="C175" s="25"/>
      <c r="D175" s="45"/>
      <c r="E175" s="25" t="s">
        <v>109</v>
      </c>
      <c r="F175" s="45"/>
      <c r="G175" s="45"/>
      <c r="H175" s="2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69" t="n">
        <f aca="false">H147</f>
        <v>58525</v>
      </c>
      <c r="B176" s="37" t="n">
        <f aca="false">B111</f>
        <v>0</v>
      </c>
      <c r="C176" s="37"/>
      <c r="D176" s="45"/>
      <c r="E176" s="37" t="n">
        <f aca="false">E111</f>
        <v>0</v>
      </c>
      <c r="F176" s="45"/>
      <c r="G176" s="45"/>
      <c r="H176" s="177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55"/>
      <c r="B177" s="25"/>
      <c r="C177" s="25"/>
      <c r="D177" s="45"/>
      <c r="E177" s="25"/>
      <c r="F177" s="45"/>
      <c r="G177" s="45"/>
      <c r="H177" s="2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55" t="s">
        <v>110</v>
      </c>
      <c r="B178" s="25" t="s">
        <v>146</v>
      </c>
      <c r="C178" s="25"/>
      <c r="D178" s="45"/>
      <c r="E178" s="25" t="s">
        <v>151</v>
      </c>
      <c r="F178" s="45"/>
      <c r="G178" s="45"/>
      <c r="H178" s="2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70" t="n">
        <f aca="false">B176+E176</f>
        <v>0</v>
      </c>
      <c r="B179" s="37" t="n">
        <f aca="false">G154</f>
        <v>0</v>
      </c>
      <c r="C179" s="37"/>
      <c r="D179" s="45"/>
      <c r="E179" s="37" t="n">
        <f aca="false">A176-A179-B179</f>
        <v>58525</v>
      </c>
      <c r="F179" s="45"/>
      <c r="G179" s="45"/>
      <c r="H179" s="177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55"/>
      <c r="B180" s="25"/>
      <c r="C180" s="25"/>
      <c r="D180" s="45"/>
      <c r="E180" s="25"/>
      <c r="F180" s="45"/>
      <c r="G180" s="45"/>
      <c r="H180" s="2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55" t="s">
        <v>162</v>
      </c>
      <c r="B181" s="25" t="s">
        <v>152</v>
      </c>
      <c r="C181" s="25"/>
      <c r="D181" s="45"/>
      <c r="E181" s="25" t="s">
        <v>163</v>
      </c>
      <c r="F181" s="45"/>
      <c r="G181" s="45"/>
      <c r="H181" s="2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70" t="n">
        <f aca="false">(A167*B59)+E185-E179-A185</f>
        <v>-1810.8751562543</v>
      </c>
      <c r="B182" s="37" t="str">
        <f aca="false">B114</f>
        <v>199.99</v>
      </c>
      <c r="C182" s="37"/>
      <c r="D182" s="45"/>
      <c r="E182" s="37" t="n">
        <f aca="false">E179+A182+B182+A185</f>
        <v>56924.1148437457</v>
      </c>
      <c r="F182" s="45"/>
      <c r="G182" s="45"/>
      <c r="H182" s="177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55"/>
      <c r="B183" s="25"/>
      <c r="C183" s="25"/>
      <c r="D183" s="45"/>
      <c r="E183" s="25"/>
      <c r="F183" s="45"/>
      <c r="G183" s="45"/>
      <c r="H183" s="2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55" t="s">
        <v>164</v>
      </c>
      <c r="B184" s="25" t="s">
        <v>165</v>
      </c>
      <c r="C184" s="25"/>
      <c r="D184" s="45"/>
      <c r="E184" s="25" t="s">
        <v>166</v>
      </c>
      <c r="F184" s="45"/>
      <c r="G184" s="45"/>
      <c r="H184" s="2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70" t="n">
        <f aca="false">B60</f>
        <v>10</v>
      </c>
      <c r="B185" s="37" t="n">
        <f aca="false">A179+(B182*1.2)</f>
        <v>239.988</v>
      </c>
      <c r="C185" s="37"/>
      <c r="D185" s="45"/>
      <c r="E185" s="37" t="n">
        <f aca="false">E170+A185</f>
        <v>6010</v>
      </c>
      <c r="F185" s="45"/>
      <c r="G185" s="45"/>
      <c r="H185" s="177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55"/>
      <c r="B186" s="25"/>
      <c r="C186" s="25"/>
      <c r="D186" s="25"/>
      <c r="E186" s="45"/>
      <c r="F186" s="45"/>
      <c r="G186" s="45"/>
      <c r="H186" s="2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55" t="s">
        <v>167</v>
      </c>
      <c r="B187" s="25" t="s">
        <v>168</v>
      </c>
      <c r="C187" s="25"/>
      <c r="D187" s="25"/>
      <c r="E187" s="38" t="s">
        <v>169</v>
      </c>
      <c r="F187" s="45"/>
      <c r="G187" s="45"/>
      <c r="H187" s="2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70" t="n">
        <f aca="false">J18*0.000002*100</f>
        <v>11.577</v>
      </c>
      <c r="B188" s="37" t="n">
        <f aca="false">(G158*B67)/1.2</f>
        <v>457.2265625</v>
      </c>
      <c r="C188" s="25"/>
      <c r="D188" s="25"/>
      <c r="E188" s="37" t="n">
        <f aca="false">IF(E105 ="YES" , (H36*A108)*0.1 , 0)</f>
        <v>14.1</v>
      </c>
      <c r="F188" s="45"/>
      <c r="G188" s="45"/>
      <c r="H188" s="2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70"/>
      <c r="B189" s="37"/>
      <c r="C189" s="25"/>
      <c r="D189" s="25"/>
      <c r="E189" s="45"/>
      <c r="F189" s="45"/>
      <c r="G189" s="45"/>
      <c r="H189" s="2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78" t="s">
        <v>170</v>
      </c>
      <c r="B190" s="38" t="s">
        <v>171</v>
      </c>
      <c r="C190" s="25"/>
      <c r="D190" s="25"/>
      <c r="E190" s="38" t="s">
        <v>172</v>
      </c>
      <c r="F190" s="45"/>
      <c r="G190" s="45"/>
      <c r="H190" s="2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70" t="n">
        <f aca="false">B182-100</f>
        <v>99.99</v>
      </c>
      <c r="B191" s="37" t="n">
        <f aca="false">B188+E188+A191</f>
        <v>571.3165625</v>
      </c>
      <c r="C191" s="25"/>
      <c r="D191" s="25"/>
      <c r="E191" s="37" t="n">
        <f aca="false">H148</f>
        <v>0</v>
      </c>
      <c r="F191" s="45"/>
      <c r="G191" s="45"/>
      <c r="H191" s="2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55"/>
      <c r="B192" s="25"/>
      <c r="C192" s="25"/>
      <c r="D192" s="25"/>
      <c r="E192" s="45"/>
      <c r="F192" s="45"/>
      <c r="G192" s="45"/>
      <c r="H192" s="2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83" t="s">
        <v>173</v>
      </c>
      <c r="B193" s="25"/>
      <c r="C193" s="25"/>
      <c r="D193" s="84"/>
      <c r="E193" s="84"/>
      <c r="F193" s="84"/>
      <c r="G193" s="84"/>
      <c r="H193" s="85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55"/>
      <c r="B194" s="87"/>
      <c r="C194" s="87"/>
      <c r="D194" s="25"/>
      <c r="E194" s="45"/>
      <c r="F194" s="45"/>
      <c r="G194" s="45"/>
      <c r="H194" s="20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88" t="s">
        <v>28</v>
      </c>
      <c r="B195" s="89" t="s">
        <v>33</v>
      </c>
      <c r="C195" s="89"/>
      <c r="D195" s="89"/>
      <c r="E195" s="45"/>
      <c r="F195" s="45"/>
      <c r="G195" s="45"/>
      <c r="H195" s="20"/>
      <c r="J195" s="486"/>
      <c r="K195" s="486"/>
      <c r="L195" s="486"/>
      <c r="M195" s="486"/>
      <c r="N195" s="0"/>
      <c r="O195" s="0"/>
      <c r="P195" s="0"/>
      <c r="Q195" s="0"/>
      <c r="R195" s="0"/>
      <c r="S195" s="486"/>
      <c r="T195" s="486"/>
      <c r="U195" s="486"/>
      <c r="V195" s="486"/>
      <c r="W195" s="0"/>
      <c r="X195" s="0"/>
      <c r="Y195" s="0"/>
      <c r="Z195" s="0"/>
      <c r="AA195" s="0"/>
      <c r="AB195" s="486"/>
      <c r="AC195" s="486"/>
      <c r="AD195" s="486"/>
      <c r="AE195" s="486"/>
      <c r="AF195" s="0"/>
      <c r="AG195" s="0"/>
      <c r="AH195" s="0"/>
      <c r="AI195" s="0"/>
    </row>
    <row r="196" customFormat="false" ht="19.5" hidden="false" customHeight="true" outlineLevel="0" collapsed="false">
      <c r="A196" s="88"/>
      <c r="B196" s="90" t="str">
        <f aca="false">H30</f>
        <v>5000</v>
      </c>
      <c r="C196" s="90"/>
      <c r="D196" s="90"/>
      <c r="E196" s="45"/>
      <c r="F196" s="45"/>
      <c r="G196" s="45"/>
      <c r="H196" s="20"/>
      <c r="J196" s="486"/>
      <c r="K196" s="486"/>
      <c r="L196" s="486"/>
      <c r="M196" s="486"/>
      <c r="N196" s="0"/>
      <c r="O196" s="0"/>
      <c r="P196" s="0"/>
      <c r="Q196" s="0"/>
      <c r="R196" s="0"/>
      <c r="S196" s="486"/>
      <c r="T196" s="486"/>
      <c r="U196" s="486"/>
      <c r="V196" s="486"/>
      <c r="W196" s="0"/>
      <c r="X196" s="0"/>
      <c r="Y196" s="0"/>
      <c r="Z196" s="0"/>
      <c r="AA196" s="0"/>
      <c r="AB196" s="486"/>
      <c r="AC196" s="486"/>
      <c r="AD196" s="486"/>
      <c r="AE196" s="486"/>
      <c r="AF196" s="0"/>
      <c r="AG196" s="0"/>
      <c r="AH196" s="0"/>
      <c r="AI196" s="0"/>
    </row>
    <row r="197" customFormat="false" ht="17.35" hidden="false" customHeight="false" outlineLevel="0" collapsed="false">
      <c r="A197" s="91" t="str">
        <f aca="false">H29</f>
        <v>33</v>
      </c>
      <c r="B197" s="92" t="n">
        <f aca="false">B96</f>
        <v>1603.91015136705</v>
      </c>
      <c r="C197" s="92"/>
      <c r="D197" s="92"/>
      <c r="E197" s="45"/>
      <c r="F197" s="45"/>
      <c r="G197" s="45"/>
      <c r="H197" s="20"/>
      <c r="J197" s="0"/>
      <c r="K197" s="486"/>
      <c r="L197" s="486"/>
      <c r="M197" s="486"/>
      <c r="N197" s="0"/>
      <c r="O197" s="0"/>
      <c r="P197" s="0"/>
      <c r="Q197" s="0"/>
      <c r="R197" s="0"/>
      <c r="S197" s="0"/>
      <c r="T197" s="486"/>
      <c r="U197" s="486"/>
      <c r="V197" s="486"/>
      <c r="W197" s="0"/>
      <c r="X197" s="0"/>
      <c r="Y197" s="0"/>
      <c r="Z197" s="0"/>
      <c r="AA197" s="0"/>
      <c r="AB197" s="0"/>
      <c r="AC197" s="486"/>
      <c r="AD197" s="486"/>
      <c r="AE197" s="486"/>
      <c r="AF197" s="0"/>
      <c r="AG197" s="0"/>
      <c r="AH197" s="0"/>
      <c r="AI197" s="0"/>
    </row>
    <row r="198" customFormat="false" ht="17.35" hidden="false" customHeight="false" outlineLevel="0" collapsed="false">
      <c r="A198" s="55"/>
      <c r="B198" s="25"/>
      <c r="C198" s="25"/>
      <c r="D198" s="25"/>
      <c r="E198" s="45"/>
      <c r="F198" s="45"/>
      <c r="G198" s="45"/>
      <c r="H198" s="20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55"/>
      <c r="B199" s="25"/>
      <c r="C199" s="25"/>
      <c r="D199" s="25"/>
      <c r="E199" s="45"/>
      <c r="F199" s="45"/>
      <c r="G199" s="45"/>
      <c r="H199" s="2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55"/>
      <c r="B200" s="25"/>
      <c r="C200" s="25"/>
      <c r="D200" s="25"/>
      <c r="E200" s="45"/>
      <c r="F200" s="45"/>
      <c r="G200" s="45"/>
      <c r="H200" s="20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55"/>
      <c r="B201" s="25"/>
      <c r="C201" s="25"/>
      <c r="D201" s="25"/>
      <c r="E201" s="45"/>
      <c r="F201" s="45"/>
      <c r="G201" s="45"/>
      <c r="H201" s="20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74"/>
      <c r="B202" s="75"/>
      <c r="C202" s="75"/>
      <c r="D202" s="75"/>
      <c r="E202" s="75"/>
      <c r="F202" s="75"/>
      <c r="G202" s="75"/>
      <c r="H202" s="82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179" t="s">
        <v>153</v>
      </c>
      <c r="B206" s="179"/>
      <c r="C206" s="179"/>
      <c r="D206" s="179"/>
      <c r="E206" s="179"/>
      <c r="F206" s="179"/>
      <c r="G206" s="179"/>
      <c r="H206" s="179"/>
    </row>
    <row r="207" customFormat="false" ht="17.35" hidden="false" customHeight="false" outlineLevel="0" collapsed="false">
      <c r="A207" s="55"/>
      <c r="B207" s="25"/>
      <c r="C207" s="25"/>
      <c r="D207" s="25"/>
      <c r="E207" s="94"/>
      <c r="F207" s="94"/>
      <c r="G207" s="94"/>
      <c r="H207" s="20"/>
    </row>
    <row r="208" customFormat="false" ht="17.35" hidden="false" customHeight="false" outlineLevel="0" collapsed="false">
      <c r="A208" s="180" t="s">
        <v>98</v>
      </c>
      <c r="B208" s="181" t="s">
        <v>174</v>
      </c>
      <c r="C208" s="181"/>
      <c r="D208" s="181"/>
      <c r="E208" s="181" t="s">
        <v>175</v>
      </c>
      <c r="F208" s="182"/>
      <c r="G208" s="94"/>
      <c r="H208" s="20"/>
    </row>
    <row r="209" customFormat="false" ht="17.35" hidden="false" customHeight="false" outlineLevel="0" collapsed="false">
      <c r="A209" s="169" t="s">
        <v>207</v>
      </c>
      <c r="B209" s="170" t="str">
        <f aca="false">A197</f>
        <v>33</v>
      </c>
      <c r="C209" s="170"/>
      <c r="D209" s="170"/>
      <c r="E209" s="170" t="str">
        <f aca="false">B196</f>
        <v>5000</v>
      </c>
      <c r="F209" s="182"/>
      <c r="G209" s="94"/>
      <c r="H209" s="20"/>
    </row>
    <row r="210" customFormat="false" ht="17.35" hidden="false" customHeight="false" outlineLevel="0" collapsed="false">
      <c r="A210" s="55"/>
      <c r="B210" s="25"/>
      <c r="C210" s="25"/>
      <c r="D210" s="25"/>
      <c r="E210" s="94"/>
      <c r="F210" s="94"/>
      <c r="G210" s="94"/>
      <c r="H210" s="20"/>
    </row>
    <row r="211" customFormat="false" ht="17.35" hidden="false" customHeight="false" outlineLevel="0" collapsed="false">
      <c r="A211" s="180" t="s">
        <v>154</v>
      </c>
      <c r="B211" s="181" t="s">
        <v>155</v>
      </c>
      <c r="C211" s="181"/>
      <c r="D211" s="181"/>
      <c r="E211" s="181" t="s">
        <v>156</v>
      </c>
      <c r="F211" s="94"/>
      <c r="G211" s="94"/>
      <c r="H211" s="20"/>
    </row>
    <row r="212" customFormat="false" ht="17.35" hidden="false" customHeight="false" outlineLevel="0" collapsed="false">
      <c r="A212" s="173" t="n">
        <f aca="false">A167</f>
        <v>1584.81640136705</v>
      </c>
      <c r="B212" s="172" t="n">
        <f aca="false">B167</f>
        <v>19.09375</v>
      </c>
      <c r="C212" s="170"/>
      <c r="D212" s="170"/>
      <c r="E212" s="172" t="n">
        <f aca="false">E167</f>
        <v>1603.91015136705</v>
      </c>
      <c r="F212" s="94"/>
      <c r="G212" s="94"/>
      <c r="H212" s="20"/>
    </row>
    <row r="213" customFormat="false" ht="17.35" hidden="false" customHeight="false" outlineLevel="0" collapsed="false">
      <c r="A213" s="55"/>
      <c r="B213" s="25"/>
      <c r="C213" s="25"/>
      <c r="D213" s="25"/>
      <c r="E213" s="94"/>
      <c r="F213" s="94"/>
      <c r="G213" s="94"/>
      <c r="H213" s="20"/>
    </row>
    <row r="214" customFormat="false" ht="17.35" hidden="false" customHeight="false" outlineLevel="0" collapsed="false">
      <c r="A214" s="55" t="s">
        <v>158</v>
      </c>
      <c r="B214" s="25" t="s">
        <v>159</v>
      </c>
      <c r="C214" s="25"/>
      <c r="D214" s="94"/>
      <c r="E214" s="25" t="s">
        <v>160</v>
      </c>
      <c r="F214" s="94"/>
      <c r="G214" s="94"/>
      <c r="H214" s="20"/>
    </row>
    <row r="215" customFormat="false" ht="17.35" hidden="false" customHeight="false" outlineLevel="0" collapsed="false">
      <c r="A215" s="69" t="n">
        <f aca="false">A173</f>
        <v>48237.5</v>
      </c>
      <c r="B215" s="37" t="n">
        <f aca="false">B173</f>
        <v>9647.5</v>
      </c>
      <c r="C215" s="67"/>
      <c r="D215" s="94"/>
      <c r="E215" s="73" t="n">
        <f aca="false">E173</f>
        <v>640</v>
      </c>
      <c r="F215" s="94"/>
      <c r="G215" s="94"/>
      <c r="H215" s="20"/>
    </row>
    <row r="216" customFormat="false" ht="17.35" hidden="false" customHeight="false" outlineLevel="0" collapsed="false">
      <c r="A216" s="55"/>
      <c r="B216" s="25"/>
      <c r="C216" s="25"/>
      <c r="D216" s="94"/>
      <c r="E216" s="25"/>
      <c r="F216" s="94"/>
      <c r="G216" s="94"/>
      <c r="H216" s="20"/>
    </row>
    <row r="217" customFormat="false" ht="17.35" hidden="false" customHeight="false" outlineLevel="0" collapsed="false">
      <c r="A217" s="55" t="s">
        <v>161</v>
      </c>
      <c r="B217" s="25" t="s">
        <v>108</v>
      </c>
      <c r="C217" s="25"/>
      <c r="D217" s="94"/>
      <c r="E217" s="25" t="s">
        <v>109</v>
      </c>
      <c r="F217" s="94"/>
      <c r="G217" s="94"/>
      <c r="H217" s="20"/>
    </row>
    <row r="218" customFormat="false" ht="17.35" hidden="false" customHeight="false" outlineLevel="0" collapsed="false">
      <c r="A218" s="69" t="n">
        <f aca="false">A176</f>
        <v>58525</v>
      </c>
      <c r="B218" s="37" t="n">
        <f aca="false">B176</f>
        <v>0</v>
      </c>
      <c r="C218" s="37"/>
      <c r="D218" s="94"/>
      <c r="E218" s="37" t="n">
        <f aca="false">E176</f>
        <v>0</v>
      </c>
      <c r="F218" s="94"/>
      <c r="G218" s="94"/>
      <c r="H218" s="177"/>
    </row>
    <row r="219" customFormat="false" ht="17.35" hidden="false" customHeight="false" outlineLevel="0" collapsed="false">
      <c r="A219" s="55"/>
      <c r="B219" s="25"/>
      <c r="C219" s="25"/>
      <c r="D219" s="94"/>
      <c r="E219" s="25"/>
      <c r="F219" s="94"/>
      <c r="G219" s="94"/>
      <c r="H219" s="20"/>
    </row>
    <row r="220" customFormat="false" ht="17.35" hidden="false" customHeight="false" outlineLevel="0" collapsed="false">
      <c r="A220" s="55" t="s">
        <v>110</v>
      </c>
      <c r="B220" s="25" t="s">
        <v>146</v>
      </c>
      <c r="C220" s="25"/>
      <c r="D220" s="94"/>
      <c r="E220" s="25" t="s">
        <v>151</v>
      </c>
      <c r="F220" s="94"/>
      <c r="G220" s="94"/>
      <c r="H220" s="20"/>
    </row>
    <row r="221" customFormat="false" ht="17.35" hidden="false" customHeight="false" outlineLevel="0" collapsed="false">
      <c r="A221" s="70" t="n">
        <f aca="false">A179</f>
        <v>0</v>
      </c>
      <c r="B221" s="37" t="n">
        <f aca="false">B179</f>
        <v>0</v>
      </c>
      <c r="C221" s="37"/>
      <c r="D221" s="94"/>
      <c r="E221" s="37" t="n">
        <f aca="false">E179</f>
        <v>58525</v>
      </c>
      <c r="F221" s="94"/>
      <c r="G221" s="94"/>
      <c r="H221" s="177"/>
    </row>
    <row r="222" customFormat="false" ht="17.35" hidden="false" customHeight="false" outlineLevel="0" collapsed="false">
      <c r="A222" s="55"/>
      <c r="B222" s="25"/>
      <c r="C222" s="25"/>
      <c r="D222" s="94"/>
      <c r="E222" s="25"/>
      <c r="F222" s="94"/>
      <c r="G222" s="94"/>
      <c r="H222" s="20"/>
    </row>
    <row r="223" customFormat="false" ht="17.35" hidden="false" customHeight="false" outlineLevel="0" collapsed="false">
      <c r="A223" s="55" t="s">
        <v>162</v>
      </c>
      <c r="B223" s="25" t="s">
        <v>152</v>
      </c>
      <c r="C223" s="25"/>
      <c r="D223" s="94"/>
      <c r="E223" s="25" t="s">
        <v>163</v>
      </c>
      <c r="F223" s="94"/>
      <c r="G223" s="94"/>
      <c r="H223" s="20"/>
    </row>
    <row r="224" customFormat="false" ht="17.35" hidden="false" customHeight="false" outlineLevel="0" collapsed="false">
      <c r="A224" s="70" t="n">
        <f aca="false">A182</f>
        <v>-1810.8751562543</v>
      </c>
      <c r="B224" s="37" t="str">
        <f aca="false">B182</f>
        <v>199.99</v>
      </c>
      <c r="C224" s="37"/>
      <c r="D224" s="94"/>
      <c r="E224" s="37" t="n">
        <f aca="false">E182</f>
        <v>56924.1148437457</v>
      </c>
      <c r="F224" s="94"/>
      <c r="G224" s="94"/>
      <c r="H224" s="177"/>
    </row>
    <row r="225" customFormat="false" ht="17.35" hidden="false" customHeight="false" outlineLevel="0" collapsed="false">
      <c r="A225" s="55"/>
      <c r="B225" s="25"/>
      <c r="C225" s="25"/>
      <c r="D225" s="94"/>
      <c r="E225" s="25"/>
      <c r="F225" s="94"/>
      <c r="G225" s="94"/>
      <c r="H225" s="20"/>
    </row>
    <row r="226" customFormat="false" ht="17.35" hidden="false" customHeight="false" outlineLevel="0" collapsed="false">
      <c r="A226" s="55" t="s">
        <v>164</v>
      </c>
      <c r="B226" s="25" t="s">
        <v>165</v>
      </c>
      <c r="C226" s="25"/>
      <c r="D226" s="94"/>
      <c r="E226" s="25" t="s">
        <v>177</v>
      </c>
      <c r="F226" s="94"/>
      <c r="G226" s="94"/>
      <c r="H226" s="20"/>
    </row>
    <row r="227" customFormat="false" ht="17.35" hidden="false" customHeight="false" outlineLevel="0" collapsed="false">
      <c r="A227" s="70" t="n">
        <f aca="false">A185</f>
        <v>10</v>
      </c>
      <c r="B227" s="37" t="n">
        <f aca="false">B185</f>
        <v>239.988</v>
      </c>
      <c r="C227" s="37"/>
      <c r="D227" s="94"/>
      <c r="E227" s="37" t="n">
        <f aca="false">B59</f>
        <v>32</v>
      </c>
      <c r="F227" s="94"/>
      <c r="G227" s="94"/>
      <c r="H227" s="177"/>
    </row>
    <row r="228" customFormat="false" ht="17.35" hidden="false" customHeight="false" outlineLevel="0" collapsed="false">
      <c r="A228" s="55"/>
      <c r="B228" s="25"/>
      <c r="C228" s="25"/>
      <c r="D228" s="25"/>
      <c r="E228" s="94"/>
      <c r="F228" s="94"/>
      <c r="G228" s="94"/>
      <c r="H228" s="20"/>
    </row>
    <row r="229" customFormat="false" ht="17.35" hidden="false" customHeight="false" outlineLevel="0" collapsed="false">
      <c r="A229" s="55" t="s">
        <v>154</v>
      </c>
      <c r="B229" s="25" t="s">
        <v>155</v>
      </c>
      <c r="C229" s="25"/>
      <c r="D229" s="25"/>
      <c r="E229" s="25" t="s">
        <v>156</v>
      </c>
      <c r="F229" s="94"/>
      <c r="G229" s="94"/>
      <c r="H229" s="20"/>
    </row>
    <row r="230" customFormat="false" ht="17.35" hidden="false" customHeight="false" outlineLevel="0" collapsed="false">
      <c r="A230" s="70" t="n">
        <f aca="false">A167</f>
        <v>1584.81640136705</v>
      </c>
      <c r="B230" s="37" t="n">
        <f aca="false">B167</f>
        <v>19.09375</v>
      </c>
      <c r="C230" s="67"/>
      <c r="D230" s="67"/>
      <c r="E230" s="37" t="n">
        <f aca="false">E167</f>
        <v>1603.91015136705</v>
      </c>
      <c r="F230" s="94"/>
      <c r="G230" s="94"/>
      <c r="H230" s="20"/>
    </row>
    <row r="231" customFormat="false" ht="17.35" hidden="false" customHeight="false" outlineLevel="0" collapsed="false">
      <c r="A231" s="55"/>
      <c r="B231" s="25"/>
      <c r="C231" s="25"/>
      <c r="D231" s="25"/>
      <c r="E231" s="94"/>
      <c r="F231" s="94"/>
      <c r="G231" s="94"/>
      <c r="H231" s="20"/>
    </row>
    <row r="232" customFormat="false" ht="17.35" hidden="false" customHeight="false" outlineLevel="0" collapsed="false">
      <c r="A232" s="55" t="s">
        <v>157</v>
      </c>
      <c r="B232" s="25" t="s">
        <v>179</v>
      </c>
      <c r="C232" s="25"/>
      <c r="D232" s="25"/>
      <c r="E232" s="25" t="s">
        <v>181</v>
      </c>
      <c r="F232" s="94"/>
      <c r="G232" s="94"/>
      <c r="H232" s="20"/>
    </row>
    <row r="233" customFormat="false" ht="17.35" hidden="false" customHeight="false" outlineLevel="0" collapsed="false">
      <c r="A233" s="70" t="n">
        <f aca="false">E170</f>
        <v>6000</v>
      </c>
      <c r="B233" s="37" t="n">
        <f aca="false">E185</f>
        <v>6010</v>
      </c>
      <c r="C233" s="25"/>
      <c r="D233" s="25"/>
      <c r="E233" s="37" t="n">
        <f aca="false">A188</f>
        <v>11.577</v>
      </c>
      <c r="F233" s="94"/>
      <c r="G233" s="94"/>
      <c r="H233" s="20"/>
    </row>
    <row r="234" customFormat="false" ht="17.35" hidden="false" customHeight="false" outlineLevel="0" collapsed="false">
      <c r="A234" s="70"/>
      <c r="B234" s="37"/>
      <c r="C234" s="25"/>
      <c r="D234" s="25"/>
      <c r="E234" s="37"/>
      <c r="F234" s="94"/>
      <c r="G234" s="94"/>
      <c r="H234" s="20"/>
    </row>
    <row r="235" customFormat="false" ht="17.35" hidden="false" customHeight="false" outlineLevel="0" collapsed="false">
      <c r="A235" s="78" t="s">
        <v>102</v>
      </c>
      <c r="B235" s="37"/>
      <c r="C235" s="25"/>
      <c r="D235" s="25"/>
      <c r="E235" s="37"/>
      <c r="F235" s="94"/>
      <c r="G235" s="94"/>
      <c r="H235" s="20"/>
    </row>
    <row r="236" customFormat="false" ht="17.35" hidden="false" customHeight="false" outlineLevel="0" collapsed="false">
      <c r="A236" s="70"/>
      <c r="B236" s="37"/>
      <c r="C236" s="25"/>
      <c r="D236" s="25"/>
      <c r="E236" s="37"/>
      <c r="F236" s="94"/>
      <c r="G236" s="94"/>
      <c r="H236" s="20"/>
    </row>
    <row r="237" customFormat="false" ht="17.35" hidden="false" customHeight="false" outlineLevel="0" collapsed="false">
      <c r="A237" s="70"/>
      <c r="B237" s="37"/>
      <c r="C237" s="25"/>
      <c r="D237" s="25"/>
      <c r="E237" s="37"/>
      <c r="F237" s="94"/>
      <c r="G237" s="94"/>
      <c r="H237" s="20"/>
    </row>
    <row r="238" customFormat="false" ht="22.05" hidden="false" customHeight="false" outlineLevel="0" collapsed="false">
      <c r="A238" s="184" t="s">
        <v>183</v>
      </c>
      <c r="B238" s="184"/>
      <c r="C238" s="184"/>
      <c r="D238" s="184"/>
      <c r="E238" s="184"/>
      <c r="F238" s="184"/>
      <c r="G238" s="184"/>
      <c r="H238" s="184"/>
    </row>
    <row r="239" customFormat="false" ht="17.35" hidden="false" customHeight="false" outlineLevel="0" collapsed="false">
      <c r="A239" s="55" t="s">
        <v>184</v>
      </c>
      <c r="B239" s="25" t="s">
        <v>168</v>
      </c>
      <c r="C239" s="25"/>
      <c r="D239" s="25"/>
      <c r="E239" s="38" t="s">
        <v>169</v>
      </c>
      <c r="F239" s="94"/>
      <c r="G239" s="94"/>
      <c r="H239" s="20"/>
    </row>
    <row r="240" customFormat="false" ht="17.35" hidden="false" customHeight="false" outlineLevel="0" collapsed="false">
      <c r="A240" s="70" t="n">
        <f aca="false">H148</f>
        <v>0</v>
      </c>
      <c r="B240" s="37" t="n">
        <f aca="false">B188</f>
        <v>457.2265625</v>
      </c>
      <c r="C240" s="25"/>
      <c r="D240" s="25"/>
      <c r="E240" s="37" t="n">
        <f aca="false">IF(E105 = "YES" , (H36*A108)*0.1 , 0)</f>
        <v>14.1</v>
      </c>
      <c r="F240" s="94"/>
      <c r="G240" s="94"/>
      <c r="H240" s="20"/>
    </row>
    <row r="241" customFormat="false" ht="17.35" hidden="false" customHeight="false" outlineLevel="0" collapsed="false">
      <c r="A241" s="70"/>
      <c r="B241" s="37"/>
      <c r="C241" s="25"/>
      <c r="D241" s="25"/>
      <c r="E241" s="94"/>
      <c r="F241" s="94"/>
      <c r="G241" s="94"/>
      <c r="H241" s="20"/>
    </row>
    <row r="242" customFormat="false" ht="17.35" hidden="false" customHeight="false" outlineLevel="0" collapsed="false">
      <c r="A242" s="78" t="s">
        <v>170</v>
      </c>
      <c r="B242" s="38" t="s">
        <v>171</v>
      </c>
      <c r="C242" s="25"/>
      <c r="D242" s="25"/>
      <c r="E242" s="38"/>
      <c r="F242" s="94"/>
      <c r="G242" s="94"/>
      <c r="H242" s="20"/>
    </row>
    <row r="243" customFormat="false" ht="17.35" hidden="false" customHeight="false" outlineLevel="0" collapsed="false">
      <c r="A243" s="70" t="n">
        <f aca="false">A191</f>
        <v>99.99</v>
      </c>
      <c r="B243" s="37" t="n">
        <f aca="false">B240+E240+A243+A240</f>
        <v>571.3165625</v>
      </c>
      <c r="C243" s="25"/>
      <c r="D243" s="25"/>
      <c r="E243" s="37"/>
      <c r="F243" s="94"/>
      <c r="G243" s="94"/>
      <c r="H243" s="20"/>
    </row>
    <row r="244" customFormat="false" ht="17.35" hidden="false" customHeight="false" outlineLevel="0" collapsed="false">
      <c r="A244" s="55"/>
      <c r="B244" s="25"/>
      <c r="C244" s="25"/>
      <c r="D244" s="25"/>
      <c r="E244" s="94"/>
      <c r="F244" s="94"/>
      <c r="G244" s="94"/>
      <c r="H244" s="20"/>
    </row>
    <row r="245" customFormat="false" ht="17.35" hidden="false" customHeight="false" outlineLevel="0" collapsed="false">
      <c r="A245" s="74"/>
      <c r="B245" s="75"/>
      <c r="C245" s="75"/>
      <c r="D245" s="75"/>
      <c r="E245" s="75"/>
      <c r="F245" s="75"/>
      <c r="G245" s="75"/>
      <c r="H245" s="82"/>
    </row>
    <row r="251" customFormat="false" ht="22.05" hidden="false" customHeight="false" outlineLevel="0" collapsed="false">
      <c r="A251" s="179" t="s">
        <v>185</v>
      </c>
      <c r="B251" s="179"/>
      <c r="C251" s="179"/>
      <c r="D251" s="179"/>
      <c r="E251" s="179"/>
      <c r="F251" s="179"/>
      <c r="G251" s="179"/>
      <c r="H251" s="179"/>
    </row>
    <row r="252" customFormat="false" ht="17.35" hidden="false" customHeight="false" outlineLevel="0" collapsed="false">
      <c r="A252" s="55"/>
      <c r="B252" s="178"/>
      <c r="C252" s="178"/>
      <c r="D252" s="178"/>
      <c r="E252" s="45"/>
      <c r="F252" s="45"/>
      <c r="G252" s="45"/>
      <c r="H252" s="20"/>
    </row>
    <row r="253" customFormat="false" ht="17.35" hidden="false" customHeight="false" outlineLevel="0" collapsed="false">
      <c r="A253" s="180" t="s">
        <v>186</v>
      </c>
      <c r="B253" s="185" t="n">
        <f aca="false">B63</f>
        <v>0.065</v>
      </c>
      <c r="C253" s="186"/>
      <c r="D253" s="187" t="s">
        <v>187</v>
      </c>
      <c r="E253" s="187"/>
      <c r="F253" s="185" t="n">
        <f aca="false">B83</f>
        <v>0.115</v>
      </c>
      <c r="G253" s="45"/>
      <c r="H253" s="20"/>
    </row>
    <row r="254" customFormat="false" ht="17.35" hidden="false" customHeight="false" outlineLevel="0" collapsed="false">
      <c r="A254" s="180" t="s">
        <v>188</v>
      </c>
      <c r="B254" s="188"/>
      <c r="C254" s="186"/>
      <c r="D254" s="187" t="s">
        <v>189</v>
      </c>
      <c r="E254" s="187"/>
      <c r="F254" s="188" t="n">
        <f aca="false">F261+F267+F269+B270+B271</f>
        <v>548.671875</v>
      </c>
      <c r="G254" s="45"/>
      <c r="H254" s="20"/>
    </row>
    <row r="255" customFormat="false" ht="17.35" hidden="false" customHeight="false" outlineLevel="0" collapsed="false">
      <c r="A255" s="180" t="s">
        <v>190</v>
      </c>
      <c r="B255" s="188" t="n">
        <f aca="false">F262+B263</f>
        <v>240.99</v>
      </c>
      <c r="C255" s="186"/>
      <c r="D255" s="187" t="s">
        <v>191</v>
      </c>
      <c r="E255" s="187"/>
      <c r="F255" s="188" t="n">
        <f aca="false">(B254-F254)+B255</f>
        <v>-307.681875</v>
      </c>
      <c r="G255" s="45"/>
      <c r="H255" s="20"/>
    </row>
    <row r="256" customFormat="false" ht="17.35" hidden="false" customHeight="false" outlineLevel="0" collapsed="false">
      <c r="A256" s="189"/>
      <c r="B256" s="187"/>
      <c r="C256" s="190"/>
      <c r="D256" s="190"/>
      <c r="E256" s="190"/>
      <c r="F256" s="190"/>
      <c r="G256" s="191"/>
      <c r="H256" s="192"/>
    </row>
    <row r="257" customFormat="false" ht="17.35" hidden="false" customHeight="false" outlineLevel="0" collapsed="false">
      <c r="A257" s="55" t="s">
        <v>186</v>
      </c>
      <c r="B257" s="193" t="n">
        <f aca="false">B253</f>
        <v>0.065</v>
      </c>
      <c r="C257" s="186"/>
      <c r="D257" s="186"/>
      <c r="E257" s="186"/>
      <c r="F257" s="186"/>
      <c r="G257" s="45"/>
      <c r="H257" s="20"/>
    </row>
    <row r="258" customFormat="false" ht="17.35" hidden="false" customHeight="false" outlineLevel="0" collapsed="false">
      <c r="A258" s="194"/>
      <c r="B258" s="195"/>
      <c r="C258" s="196"/>
      <c r="D258" s="196"/>
      <c r="E258" s="191"/>
      <c r="F258" s="191"/>
      <c r="G258" s="191"/>
      <c r="H258" s="192"/>
    </row>
    <row r="259" customFormat="false" ht="17.35" hidden="false" customHeight="false" outlineLevel="0" collapsed="false">
      <c r="A259" s="55" t="s">
        <v>192</v>
      </c>
      <c r="B259" s="193" t="n">
        <f aca="false">B64</f>
        <v>0.05</v>
      </c>
      <c r="C259" s="178"/>
      <c r="D259" s="38" t="s">
        <v>193</v>
      </c>
      <c r="E259" s="38"/>
      <c r="F259" s="193" t="n">
        <v>0</v>
      </c>
      <c r="G259" s="45"/>
      <c r="H259" s="20"/>
    </row>
    <row r="260" customFormat="false" ht="17.35" hidden="false" customHeight="false" outlineLevel="0" collapsed="false">
      <c r="A260" s="123" t="s">
        <v>187</v>
      </c>
      <c r="B260" s="197" t="n">
        <f aca="false">B83</f>
        <v>0.115</v>
      </c>
      <c r="C260" s="198"/>
      <c r="D260" s="38" t="s">
        <v>188</v>
      </c>
      <c r="E260" s="38"/>
      <c r="F260" s="199" t="n">
        <f aca="false">(B89*B59)-(C89*B59)</f>
        <v>0</v>
      </c>
      <c r="G260" s="45"/>
      <c r="H260" s="20"/>
    </row>
    <row r="261" customFormat="false" ht="17.35" hidden="false" customHeight="false" outlineLevel="0" collapsed="false">
      <c r="A261" s="55" t="s">
        <v>194</v>
      </c>
      <c r="B261" s="197" t="n">
        <f aca="false">B67</f>
        <v>0.009375</v>
      </c>
      <c r="C261" s="178"/>
      <c r="D261" s="38" t="s">
        <v>194</v>
      </c>
      <c r="E261" s="38"/>
      <c r="F261" s="152" t="n">
        <f aca="false">B68</f>
        <v>548.671875</v>
      </c>
      <c r="G261" s="45"/>
      <c r="H261" s="20"/>
    </row>
    <row r="262" customFormat="false" ht="17.35" hidden="false" customHeight="false" outlineLevel="0" collapsed="false">
      <c r="A262" s="55" t="s">
        <v>195</v>
      </c>
      <c r="B262" s="193" t="n">
        <f aca="false">A108</f>
        <v>0.3</v>
      </c>
      <c r="C262" s="178"/>
      <c r="D262" s="38" t="s">
        <v>195</v>
      </c>
      <c r="E262" s="38"/>
      <c r="F262" s="199" t="n">
        <f aca="false">E240*10</f>
        <v>141</v>
      </c>
      <c r="G262" s="45"/>
      <c r="H262" s="20"/>
    </row>
    <row r="263" customFormat="false" ht="17.35" hidden="false" customHeight="false" outlineLevel="0" collapsed="false">
      <c r="A263" s="55" t="s">
        <v>196</v>
      </c>
      <c r="B263" s="199" t="n">
        <f aca="false">A243</f>
        <v>99.99</v>
      </c>
      <c r="C263" s="178"/>
      <c r="D263" s="200" t="s">
        <v>191</v>
      </c>
      <c r="E263" s="200"/>
      <c r="F263" s="199" t="n">
        <f aca="false">(B254-F254)+B255</f>
        <v>-307.681875</v>
      </c>
      <c r="G263" s="45"/>
      <c r="H263" s="20"/>
    </row>
    <row r="264" customFormat="false" ht="17.35" hidden="false" customHeight="false" outlineLevel="0" collapsed="false">
      <c r="A264" s="70"/>
      <c r="B264" s="201"/>
      <c r="C264" s="178"/>
      <c r="D264" s="178"/>
      <c r="E264" s="201"/>
      <c r="F264" s="45"/>
      <c r="G264" s="45"/>
      <c r="H264" s="20"/>
    </row>
    <row r="265" customFormat="false" ht="22.05" hidden="false" customHeight="false" outlineLevel="0" collapsed="false">
      <c r="A265" s="184" t="s">
        <v>197</v>
      </c>
      <c r="B265" s="184"/>
      <c r="C265" s="184"/>
      <c r="D265" s="184"/>
      <c r="E265" s="184"/>
      <c r="F265" s="184"/>
      <c r="G265" s="184"/>
      <c r="H265" s="184"/>
    </row>
    <row r="266" customFormat="false" ht="17.35" hidden="false" customHeight="false" outlineLevel="0" collapsed="false">
      <c r="A266" s="55" t="s">
        <v>198</v>
      </c>
      <c r="B266" s="152" t="n">
        <v>0</v>
      </c>
      <c r="C266" s="178"/>
      <c r="D266" s="202" t="s">
        <v>199</v>
      </c>
      <c r="E266" s="202"/>
      <c r="F266" s="152" t="n">
        <v>0</v>
      </c>
      <c r="G266" s="45"/>
      <c r="H266" s="20"/>
    </row>
    <row r="267" customFormat="false" ht="17.35" hidden="false" customHeight="false" outlineLevel="0" collapsed="false">
      <c r="A267" s="70"/>
      <c r="B267" s="199"/>
      <c r="C267" s="178"/>
      <c r="D267" s="38" t="s">
        <v>200</v>
      </c>
      <c r="E267" s="38"/>
      <c r="F267" s="199" t="n">
        <f aca="false">B266+F266*B209</f>
        <v>0</v>
      </c>
      <c r="G267" s="45"/>
      <c r="H267" s="20"/>
    </row>
    <row r="268" customFormat="false" ht="17.35" hidden="false" customHeight="false" outlineLevel="0" collapsed="false">
      <c r="A268" s="78" t="s">
        <v>201</v>
      </c>
      <c r="B268" s="203" t="s">
        <v>4</v>
      </c>
      <c r="C268" s="178"/>
      <c r="D268" s="38" t="s">
        <v>202</v>
      </c>
      <c r="E268" s="38"/>
      <c r="F268" s="203" t="n">
        <f aca="false">B70</f>
        <v>0</v>
      </c>
      <c r="G268" s="45"/>
      <c r="H268" s="20"/>
    </row>
    <row r="269" customFormat="false" ht="17.35" hidden="false" customHeight="false" outlineLevel="0" collapsed="false">
      <c r="A269" s="78"/>
      <c r="B269" s="204"/>
      <c r="C269" s="178"/>
      <c r="D269" s="38" t="s">
        <v>203</v>
      </c>
      <c r="E269" s="38"/>
      <c r="F269" s="199" t="n">
        <f aca="false">B91</f>
        <v>0</v>
      </c>
      <c r="G269" s="45"/>
      <c r="H269" s="20"/>
    </row>
    <row r="270" customFormat="false" ht="17.35" hidden="false" customHeight="false" outlineLevel="0" collapsed="false">
      <c r="A270" s="78" t="s">
        <v>204</v>
      </c>
      <c r="B270" s="152" t="n">
        <v>0</v>
      </c>
      <c r="C270" s="178"/>
      <c r="D270" s="178"/>
      <c r="E270" s="201"/>
      <c r="F270" s="45"/>
      <c r="G270" s="45"/>
      <c r="H270" s="20"/>
    </row>
    <row r="271" customFormat="false" ht="17.35" hidden="false" customHeight="false" outlineLevel="0" collapsed="false">
      <c r="A271" s="55" t="s">
        <v>205</v>
      </c>
      <c r="B271" s="152" t="n">
        <v>0</v>
      </c>
      <c r="C271" s="178"/>
      <c r="D271" s="178"/>
      <c r="E271" s="45"/>
      <c r="F271" s="45"/>
      <c r="G271" s="45"/>
      <c r="H271" s="20"/>
    </row>
    <row r="272" customFormat="false" ht="17.35" hidden="false" customHeight="false" outlineLevel="0" collapsed="false">
      <c r="A272" s="74"/>
      <c r="B272" s="75"/>
      <c r="C272" s="75"/>
      <c r="D272" s="75"/>
      <c r="E272" s="75"/>
      <c r="F272" s="75"/>
      <c r="G272" s="75"/>
      <c r="H272" s="82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operator="between" showDropDown="false" showErrorMessage="true" showInputMessage="false" sqref="B38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true" sqref="B105" type="list">
      <formula1>#ref!</formula1>
      <formula2>0</formula2>
    </dataValidation>
    <dataValidation allowBlank="true" operator="between" showDropDown="false" showErrorMessage="true" showInputMessage="true" sqref="A18:A20" type="list">
      <formula1>#ref!</formula1>
      <formula2>0</formula2>
    </dataValidation>
    <dataValidation allowBlank="true" operator="between" showDropDown="false" showErrorMessage="true" showInputMessage="true" sqref="C108:D108" type="list">
      <formula1>#ref!</formula1>
      <formula2>0</formula2>
    </dataValidation>
    <dataValidation allowBlank="true" operator="between" showDropDown="false" showErrorMessage="true" showInputMessage="true" sqref="A144:A146" type="list">
      <formula1>#ref!</formula1>
      <formula2>0</formula2>
    </dataValidation>
    <dataValidation allowBlank="true" operator="between" showDropDown="false" showErrorMessage="true" showInputMessage="true" sqref="E105" type="list">
      <formula1>"YES,NO"</formula1>
      <formula2>0</formula2>
    </dataValidation>
    <dataValidation allowBlank="true" operator="between" showDropDown="false" showErrorMessage="true" showInputMessage="true" sqref="A111" type="list">
      <formula1>"YES,NO"</formula1>
      <formula2>0</formula2>
    </dataValidation>
    <dataValidation allowBlank="true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62" colorId="64" zoomScale="75" zoomScaleNormal="75" zoomScalePageLayoutView="100" workbookViewId="0">
      <selection pane="topLeft" activeCell="B155" activeCellId="0" sqref="B155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396" t="s">
        <v>324</v>
      </c>
      <c r="B1" s="396"/>
      <c r="C1" s="396"/>
      <c r="D1" s="396"/>
      <c r="E1" s="396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8.75" hidden="false" customHeight="true" outlineLevel="0" collapsed="false">
      <c r="A2" s="261"/>
      <c r="B2" s="474" t="s">
        <v>115</v>
      </c>
      <c r="C2" s="474" t="s">
        <v>116</v>
      </c>
      <c r="D2" s="474" t="s">
        <v>117</v>
      </c>
      <c r="E2" s="399" t="s">
        <v>118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8.75" hidden="false" customHeight="true" outlineLevel="0" collapsed="false">
      <c r="A3" s="209" t="s">
        <v>121</v>
      </c>
      <c r="B3" s="475" t="n">
        <v>46854.17</v>
      </c>
      <c r="C3" s="475" t="n">
        <v>0</v>
      </c>
      <c r="D3" s="475" t="n">
        <v>833.33</v>
      </c>
      <c r="E3" s="476" t="n">
        <v>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8.75" hidden="false" customHeight="true" outlineLevel="0" collapsed="false">
      <c r="A4" s="209" t="s">
        <v>122</v>
      </c>
      <c r="B4" s="493" t="n">
        <v>0</v>
      </c>
      <c r="C4" s="493" t="n">
        <v>0</v>
      </c>
      <c r="D4" s="493" t="n">
        <v>0</v>
      </c>
      <c r="E4" s="260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8.75" hidden="false" customHeight="true" outlineLevel="0" collapsed="false">
      <c r="A5" s="209" t="s">
        <v>123</v>
      </c>
      <c r="B5" s="475" t="n">
        <v>0</v>
      </c>
      <c r="C5" s="475" t="n">
        <v>0</v>
      </c>
      <c r="D5" s="475" t="n">
        <v>0</v>
      </c>
      <c r="E5" s="273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8.75" hidden="false" customHeight="true" outlineLevel="0" collapsed="false">
      <c r="A6" s="209" t="s">
        <v>124</v>
      </c>
      <c r="B6" s="79" t="n">
        <f aca="false">(B3*B4/100)+B5</f>
        <v>0</v>
      </c>
      <c r="C6" s="79" t="n">
        <f aca="false">(C3*C4/100)+C5</f>
        <v>0</v>
      </c>
      <c r="D6" s="79" t="n">
        <f aca="false">(D3*D4/100)+D5</f>
        <v>0</v>
      </c>
      <c r="E6" s="273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8.75" hidden="false" customHeight="true" outlineLevel="0" collapsed="false">
      <c r="A7" s="209" t="s">
        <v>125</v>
      </c>
      <c r="B7" s="79" t="n">
        <f aca="false">B3-B6</f>
        <v>46854.17</v>
      </c>
      <c r="C7" s="79" t="n">
        <f aca="false">C3-C6</f>
        <v>0</v>
      </c>
      <c r="D7" s="79" t="n">
        <f aca="false">D3-D6</f>
        <v>833.33</v>
      </c>
      <c r="E7" s="273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8.75" hidden="false" customHeight="true" outlineLevel="0" collapsed="false">
      <c r="A8" s="209"/>
      <c r="B8" s="207"/>
      <c r="C8" s="207"/>
      <c r="D8" s="207"/>
      <c r="E8" s="210"/>
      <c r="F8" s="19"/>
      <c r="G8" s="19"/>
      <c r="H8" s="19"/>
      <c r="I8" s="26" t="s">
        <v>3</v>
      </c>
      <c r="J8" s="27" t="n">
        <f aca="false">E13+E14</f>
        <v>640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8.75" hidden="false" customHeight="true" outlineLevel="0" collapsed="false">
      <c r="A9" s="402" t="s">
        <v>133</v>
      </c>
      <c r="B9" s="402"/>
      <c r="C9" s="402"/>
      <c r="D9" s="402"/>
      <c r="E9" s="494" t="n">
        <f aca="false">B7+C7+D7+E3</f>
        <v>47687.5</v>
      </c>
      <c r="F9" s="19"/>
      <c r="G9" s="19"/>
      <c r="H9" s="19"/>
      <c r="I9" s="27"/>
      <c r="J9" s="27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8.75" hidden="false" customHeight="true" outlineLevel="0" collapsed="false">
      <c r="A10" s="404" t="s">
        <v>134</v>
      </c>
      <c r="B10" s="404"/>
      <c r="C10" s="404"/>
      <c r="D10" s="404"/>
      <c r="E10" s="476" t="n">
        <v>550</v>
      </c>
      <c r="F10" s="19"/>
      <c r="G10" s="19"/>
      <c r="H10" s="19"/>
      <c r="I10" s="32" t="s">
        <v>1</v>
      </c>
      <c r="J10" s="27" t="n">
        <f aca="false">E15-E11-J8</f>
        <v>48237.5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8.75" hidden="false" customHeight="true" outlineLevel="0" collapsed="false">
      <c r="A11" s="404" t="s">
        <v>135</v>
      </c>
      <c r="B11" s="404"/>
      <c r="C11" s="404"/>
      <c r="D11" s="404"/>
      <c r="E11" s="273" t="n">
        <f aca="false">(E9+E10)*20%</f>
        <v>9647.5</v>
      </c>
      <c r="F11" s="19"/>
      <c r="G11" s="19"/>
      <c r="H11" s="19"/>
      <c r="I11" s="27"/>
      <c r="J11" s="27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8.75" hidden="false" customHeight="true" outlineLevel="0" collapsed="false">
      <c r="A12" s="404" t="s">
        <v>136</v>
      </c>
      <c r="B12" s="404"/>
      <c r="C12" s="404"/>
      <c r="D12" s="404"/>
      <c r="E12" s="476" t="n"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8.75" hidden="false" customHeight="true" outlineLevel="0" collapsed="false">
      <c r="A13" s="404" t="s">
        <v>137</v>
      </c>
      <c r="B13" s="404"/>
      <c r="C13" s="404"/>
      <c r="D13" s="404"/>
      <c r="E13" s="476" t="n">
        <v>585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8.75" hidden="false" customHeight="true" outlineLevel="0" collapsed="false">
      <c r="A14" s="404" t="s">
        <v>138</v>
      </c>
      <c r="B14" s="404"/>
      <c r="C14" s="404"/>
      <c r="D14" s="404"/>
      <c r="E14" s="476" t="n">
        <v>55</v>
      </c>
      <c r="F14" s="19"/>
      <c r="G14" s="19" t="s">
        <v>13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8.75" hidden="false" customHeight="true" outlineLevel="0" collapsed="false">
      <c r="A15" s="404" t="s">
        <v>139</v>
      </c>
      <c r="B15" s="404"/>
      <c r="C15" s="404"/>
      <c r="D15" s="404"/>
      <c r="E15" s="495" t="n">
        <f aca="false">(E9+E10+E13+E14+E11)-E12</f>
        <v>58525</v>
      </c>
      <c r="F15" s="19"/>
      <c r="G15" s="205" t="n">
        <f aca="false">E15</f>
        <v>58525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8.75" hidden="false" customHeight="true" outlineLevel="0" collapsed="false">
      <c r="A16" s="404" t="s">
        <v>140</v>
      </c>
      <c r="B16" s="404"/>
      <c r="C16" s="404"/>
      <c r="D16" s="404"/>
      <c r="E16" s="476" t="n">
        <v>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6" t="s">
        <v>15</v>
      </c>
      <c r="Z16" s="19"/>
    </row>
    <row r="17" customFormat="false" ht="18.75" hidden="false" customHeight="true" outlineLevel="0" collapsed="false">
      <c r="A17" s="349" t="s">
        <v>141</v>
      </c>
      <c r="B17" s="349"/>
      <c r="C17" s="349"/>
      <c r="D17" s="349"/>
      <c r="E17" s="210"/>
      <c r="F17" s="19"/>
      <c r="G17" s="19" t="s">
        <v>16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6" t="s">
        <v>17</v>
      </c>
      <c r="Z17" s="19"/>
    </row>
    <row r="18" customFormat="false" ht="18.75" hidden="false" customHeight="true" outlineLevel="0" collapsed="false">
      <c r="A18" s="405" t="s">
        <v>15</v>
      </c>
      <c r="B18" s="406" t="s">
        <v>142</v>
      </c>
      <c r="C18" s="406"/>
      <c r="D18" s="406"/>
      <c r="E18" s="479" t="n">
        <v>0</v>
      </c>
      <c r="F18" s="19"/>
      <c r="G18" s="205" t="n">
        <f aca="false">(B3+C3+D3+E3+E10)*1.2</f>
        <v>57885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6" t="s">
        <v>18</v>
      </c>
      <c r="Z18" s="19"/>
    </row>
    <row r="19" customFormat="false" ht="18.75" hidden="false" customHeight="true" outlineLevel="0" collapsed="false">
      <c r="A19" s="405" t="s">
        <v>17</v>
      </c>
      <c r="B19" s="406" t="s">
        <v>142</v>
      </c>
      <c r="C19" s="406"/>
      <c r="D19" s="406"/>
      <c r="E19" s="479" t="n"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 t="s">
        <v>9</v>
      </c>
    </row>
    <row r="20" customFormat="false" ht="18.75" hidden="false" customHeight="true" outlineLevel="0" collapsed="false">
      <c r="A20" s="405" t="s">
        <v>18</v>
      </c>
      <c r="B20" s="406" t="s">
        <v>142</v>
      </c>
      <c r="C20" s="406"/>
      <c r="D20" s="406"/>
      <c r="E20" s="479" t="n"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 t="s">
        <v>10</v>
      </c>
    </row>
    <row r="21" customFormat="false" ht="18.75" hidden="false" customHeight="true" outlineLevel="0" collapsed="false">
      <c r="A21" s="407" t="s">
        <v>143</v>
      </c>
      <c r="B21" s="407"/>
      <c r="C21" s="407"/>
      <c r="D21" s="407"/>
      <c r="E21" s="480" t="n">
        <f aca="false">E15-((E18*1.2)+(E19*1.2)+(E20*1.2)+(E16*1.2))</f>
        <v>58525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8.75" hidden="false" customHeight="true" outlineLevel="0" collapsed="false">
      <c r="A22" s="207"/>
      <c r="B22" s="207"/>
      <c r="C22" s="207"/>
      <c r="D22" s="207"/>
      <c r="E22" s="207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7.35" hidden="false" customHeight="false" outlineLevel="0" collapsed="false">
      <c r="A23" s="207"/>
      <c r="B23" s="207"/>
      <c r="C23" s="207"/>
      <c r="D23" s="207"/>
      <c r="E23" s="207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56.7" hidden="false" customHeight="true" outlineLevel="0" collapsed="false">
      <c r="A24" s="208" t="s">
        <v>208</v>
      </c>
      <c r="B24" s="208"/>
      <c r="C24" s="208"/>
      <c r="D24" s="208"/>
      <c r="E24" s="20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8.75" hidden="false" customHeight="true" outlineLevel="0" collapsed="false">
      <c r="A25" s="209"/>
      <c r="B25" s="207"/>
      <c r="C25" s="207"/>
      <c r="D25" s="207"/>
      <c r="E25" s="21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8.75" hidden="false" customHeight="true" outlineLevel="0" collapsed="false">
      <c r="A26" s="211" t="s">
        <v>209</v>
      </c>
      <c r="B26" s="211"/>
      <c r="C26" s="211"/>
      <c r="D26" s="211"/>
      <c r="E26" s="211"/>
      <c r="F26" s="19"/>
      <c r="G26" s="212"/>
      <c r="H26" s="212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8.75" hidden="false" customHeight="true" outlineLevel="0" collapsed="false">
      <c r="A27" s="209"/>
      <c r="B27" s="207"/>
      <c r="C27" s="207"/>
      <c r="D27" s="207"/>
      <c r="E27" s="210"/>
      <c r="F27" s="19"/>
      <c r="G27" s="213" t="s">
        <v>46</v>
      </c>
      <c r="H27" s="213" t="n">
        <f aca="false">IF(A32=Y103,1,IF(A32=Y104,1,IF(A32=Y105,3,IF(A32=Y106,6,IF(A32=Y107,9,IF(A32=Y108,12,IF(A32=Y109,3,IF(A32=Y110,6,IF(A32=Y111,9,0)))))))))</f>
        <v>0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8.75" hidden="false" customHeight="true" outlineLevel="0" collapsed="false">
      <c r="A28" s="214" t="s">
        <v>210</v>
      </c>
      <c r="B28" s="215" t="s">
        <v>211</v>
      </c>
      <c r="C28" s="207"/>
      <c r="D28" s="215" t="s">
        <v>212</v>
      </c>
      <c r="E28" s="210"/>
      <c r="F28" s="19"/>
      <c r="G28" s="213" t="s">
        <v>60</v>
      </c>
      <c r="H28" s="213" t="n">
        <f aca="false">IF(A32=Y103,H29-H37,IF(A32=Y104,H29-H37,IF(A32=Y105,H29-1,IF(A32=Y106,H29-1,IF(A32=Y107,H29-1,IF(A32=Y108,H29-1,IF(A32=Y109,H29-H37,IF(A32=Y110,H29-H37,IF(A32=Y111,H29-H37,0)))))))))</f>
        <v>0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8.75" hidden="false" customHeight="true" outlineLevel="0" collapsed="false">
      <c r="A29" s="216" t="s">
        <v>213</v>
      </c>
      <c r="B29" s="217" t="n">
        <v>12345</v>
      </c>
      <c r="C29" s="217"/>
      <c r="D29" s="218" t="n">
        <f aca="true">TODAY()+1</f>
        <v>45008</v>
      </c>
      <c r="E29" s="218"/>
      <c r="F29" s="19"/>
      <c r="G29" s="212" t="s">
        <v>214</v>
      </c>
      <c r="H29" s="212" t="n">
        <f aca="false">B35</f>
        <v>12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8.75" hidden="false" customHeight="true" outlineLevel="0" collapsed="false">
      <c r="A30" s="209"/>
      <c r="B30" s="21"/>
      <c r="C30" s="21"/>
      <c r="D30" s="207"/>
      <c r="E30" s="210"/>
      <c r="F30" s="19"/>
      <c r="G30" s="212" t="s">
        <v>31</v>
      </c>
      <c r="H30" s="212" t="n">
        <f aca="false">D35</f>
        <v>5000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8.75" hidden="false" customHeight="true" outlineLevel="0" collapsed="false">
      <c r="A31" s="214" t="s">
        <v>23</v>
      </c>
      <c r="B31" s="215" t="s">
        <v>215</v>
      </c>
      <c r="C31" s="207"/>
      <c r="D31" s="215" t="s">
        <v>216</v>
      </c>
      <c r="E31" s="210"/>
      <c r="F31" s="19"/>
      <c r="G31" s="212" t="s">
        <v>217</v>
      </c>
      <c r="H31" s="219" t="str">
        <f aca="false">D38</f>
        <v>500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8.75" hidden="false" customHeight="true" outlineLevel="0" collapsed="false">
      <c r="A32" s="216" t="s">
        <v>100</v>
      </c>
      <c r="B32" s="220" t="str">
        <f aca="false">IF(A32=Z103,D38,IF(A32=Z104,D38,IF(A32=Z105,(D38*3),IF(A32=Z106,(D38*6),IF(A32=Z107,(D38*9),IF(A32=Z108,(D38*12),IF(A32=Z109,D38,IF(A32=Z110,D38,IF(A32=Z111,D38,0)))))))))</f>
        <v>500</v>
      </c>
      <c r="C32" s="220"/>
      <c r="D32" s="220" t="str">
        <f aca="false">IF(A32=Z103,A41,IF(A32=Z104,A41,IF(A32=Z105,(A41*3),IF(A32=Z106,(A41*6),IF(A32=Z107,(A41*9),IF(A32=Z108,(A41*12),IF(A32=Z109,A41,IF(A32=Z110,A41,IF(A32=Z111,A41,0)))))))))</f>
        <v>60</v>
      </c>
      <c r="E32" s="220"/>
      <c r="F32" s="19"/>
      <c r="G32" s="221" t="s">
        <v>218</v>
      </c>
      <c r="H32" s="219" t="str">
        <f aca="false">A41</f>
        <v>60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18.75" hidden="false" customHeight="true" outlineLevel="0" collapsed="false">
      <c r="A33" s="222"/>
      <c r="B33" s="174"/>
      <c r="C33" s="223"/>
      <c r="D33" s="176"/>
      <c r="E33" s="210"/>
      <c r="F33" s="19"/>
      <c r="G33" s="221" t="s">
        <v>219</v>
      </c>
      <c r="H33" s="219" t="str">
        <f aca="false">D41</f>
        <v>6000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8.75" hidden="false" customHeight="true" outlineLevel="0" collapsed="false">
      <c r="A34" s="222" t="s">
        <v>220</v>
      </c>
      <c r="B34" s="224" t="s">
        <v>221</v>
      </c>
      <c r="C34" s="223"/>
      <c r="D34" s="64" t="s">
        <v>175</v>
      </c>
      <c r="E34" s="210"/>
      <c r="F34" s="19"/>
      <c r="G34" s="221" t="s">
        <v>222</v>
      </c>
      <c r="H34" s="219" t="str">
        <f aca="false">A44</f>
        <v>12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8.75" hidden="false" customHeight="true" outlineLevel="0" collapsed="false">
      <c r="A35" s="220" t="n">
        <f aca="false">B32+D32</f>
        <v>560</v>
      </c>
      <c r="B35" s="217" t="n">
        <v>12</v>
      </c>
      <c r="C35" s="217"/>
      <c r="D35" s="217" t="n">
        <v>5000</v>
      </c>
      <c r="E35" s="217"/>
      <c r="F35" s="19"/>
      <c r="G35" s="225"/>
      <c r="H35" s="226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8.75" hidden="false" customHeight="true" outlineLevel="0" collapsed="false">
      <c r="A36" s="209"/>
      <c r="B36" s="207"/>
      <c r="C36" s="207"/>
      <c r="D36" s="207"/>
      <c r="E36" s="210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8.75" hidden="false" customHeight="true" outlineLevel="0" collapsed="false">
      <c r="A37" s="214" t="s">
        <v>223</v>
      </c>
      <c r="B37" s="215" t="s">
        <v>224</v>
      </c>
      <c r="C37" s="207"/>
      <c r="D37" s="215" t="s">
        <v>225</v>
      </c>
      <c r="E37" s="210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8.75" hidden="false" customHeight="true" outlineLevel="0" collapsed="false">
      <c r="A38" s="227" t="n">
        <f aca="false">(B35/12)*D35</f>
        <v>5000</v>
      </c>
      <c r="B38" s="217" t="s">
        <v>9</v>
      </c>
      <c r="C38" s="217"/>
      <c r="D38" s="60" t="s">
        <v>226</v>
      </c>
      <c r="E38" s="60"/>
      <c r="F38" s="19"/>
      <c r="G38" s="19"/>
      <c r="H38" s="19"/>
      <c r="I38" s="22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8.75" hidden="false" customHeight="true" outlineLevel="0" collapsed="false">
      <c r="A39" s="229"/>
      <c r="B39" s="223"/>
      <c r="C39" s="223"/>
      <c r="D39" s="207"/>
      <c r="E39" s="210"/>
      <c r="F39" s="19"/>
      <c r="G39" s="19"/>
      <c r="H39" s="228"/>
      <c r="I39" s="228"/>
      <c r="J39" s="22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8.75" hidden="false" customHeight="true" outlineLevel="0" collapsed="false">
      <c r="A40" s="230" t="s">
        <v>227</v>
      </c>
      <c r="B40" s="231" t="s">
        <v>93</v>
      </c>
      <c r="C40" s="223"/>
      <c r="D40" s="232" t="s">
        <v>228</v>
      </c>
      <c r="E40" s="210"/>
      <c r="F40" s="19"/>
      <c r="G40" s="19"/>
      <c r="H40" s="228"/>
      <c r="I40" s="228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8.75" hidden="false" customHeight="true" outlineLevel="0" collapsed="false">
      <c r="A41" s="60" t="s">
        <v>371</v>
      </c>
      <c r="B41" s="233" t="n">
        <f aca="false">IF(B38="YES", D38+A41, D38)</f>
        <v>560</v>
      </c>
      <c r="C41" s="233"/>
      <c r="D41" s="60" t="s">
        <v>336</v>
      </c>
      <c r="E41" s="60"/>
      <c r="F41" s="19"/>
      <c r="G41" s="19"/>
      <c r="H41" s="235"/>
      <c r="I41" s="22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8.75" hidden="false" customHeight="true" outlineLevel="0" collapsed="false">
      <c r="A42" s="229"/>
      <c r="B42" s="223"/>
      <c r="C42" s="223"/>
      <c r="D42" s="223"/>
      <c r="E42" s="236"/>
      <c r="F42" s="19"/>
      <c r="G42" s="237" t="s">
        <v>42</v>
      </c>
      <c r="H42" s="237"/>
      <c r="I42" s="22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8.75" hidden="false" customHeight="true" outlineLevel="0" collapsed="false">
      <c r="A43" s="230" t="s">
        <v>111</v>
      </c>
      <c r="B43" s="231" t="s">
        <v>229</v>
      </c>
      <c r="C43" s="223"/>
      <c r="D43" s="231" t="s">
        <v>230</v>
      </c>
      <c r="E43" s="236"/>
      <c r="F43" s="19"/>
      <c r="G43" s="19" t="s">
        <v>231</v>
      </c>
      <c r="H43" s="228" t="n">
        <f aca="false">((((D38*(B35-1))+B32)/B35) + (A44/B35))</f>
        <v>501</v>
      </c>
      <c r="I43" s="22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8.75" hidden="false" customHeight="true" outlineLevel="0" collapsed="false">
      <c r="A44" s="60" t="s">
        <v>232</v>
      </c>
      <c r="B44" s="60" t="s">
        <v>341</v>
      </c>
      <c r="C44" s="60"/>
      <c r="D44" s="60" t="s">
        <v>372</v>
      </c>
      <c r="E44" s="60"/>
      <c r="F44" s="19"/>
      <c r="G44" s="19" t="s">
        <v>233</v>
      </c>
      <c r="H44" s="228" t="str">
        <f aca="false">H32</f>
        <v>60</v>
      </c>
      <c r="I44" s="238" t="n">
        <f aca="false">((A41*(B35-1))+D32)/B35</f>
        <v>60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8.75" hidden="false" customHeight="true" outlineLevel="0" collapsed="false">
      <c r="A45" s="229"/>
      <c r="B45" s="223"/>
      <c r="C45" s="223"/>
      <c r="D45" s="223"/>
      <c r="E45" s="236"/>
      <c r="F45" s="19"/>
      <c r="G45" s="19" t="s">
        <v>234</v>
      </c>
      <c r="H45" s="239" t="n">
        <f aca="false">H43+H44</f>
        <v>561</v>
      </c>
      <c r="I45" s="22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8.75" hidden="false" customHeight="true" outlineLevel="0" collapsed="false">
      <c r="A46" s="230" t="s">
        <v>235</v>
      </c>
      <c r="B46" s="231" t="s">
        <v>236</v>
      </c>
      <c r="C46" s="223"/>
      <c r="D46" s="231" t="s">
        <v>237</v>
      </c>
      <c r="E46" s="236"/>
      <c r="F46" s="19"/>
      <c r="G46" s="19" t="s">
        <v>238</v>
      </c>
      <c r="H46" s="228" t="n">
        <f aca="false">H43</f>
        <v>501</v>
      </c>
      <c r="I46" s="22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8.75" hidden="false" customHeight="true" outlineLevel="0" collapsed="false">
      <c r="A47" s="240" t="n">
        <v>0</v>
      </c>
      <c r="B47" s="497" t="s">
        <v>373</v>
      </c>
      <c r="C47" s="497"/>
      <c r="D47" s="60" t="s">
        <v>373</v>
      </c>
      <c r="E47" s="60"/>
      <c r="F47" s="19"/>
      <c r="G47" s="19"/>
      <c r="H47" s="228"/>
      <c r="I47" s="22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8.75" hidden="false" customHeight="true" outlineLevel="0" collapsed="false">
      <c r="A48" s="229"/>
      <c r="B48" s="223"/>
      <c r="C48" s="223"/>
      <c r="D48" s="223"/>
      <c r="E48" s="236"/>
      <c r="F48" s="19"/>
      <c r="G48" s="19"/>
      <c r="H48" s="228"/>
      <c r="I48" s="22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8.75" hidden="false" customHeight="true" outlineLevel="0" collapsed="false">
      <c r="A49" s="229"/>
      <c r="B49" s="223"/>
      <c r="C49" s="223"/>
      <c r="D49" s="223"/>
      <c r="E49" s="236"/>
      <c r="F49" s="19"/>
      <c r="G49" s="19"/>
      <c r="H49" s="228"/>
      <c r="I49" s="22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8.75" hidden="false" customHeight="true" outlineLevel="0" collapsed="false">
      <c r="B50" s="223"/>
      <c r="C50" s="223"/>
      <c r="D50" s="223"/>
      <c r="E50" s="236"/>
      <c r="F50" s="19"/>
      <c r="G50" s="19"/>
      <c r="H50" s="228"/>
      <c r="I50" s="22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8.75" hidden="false" customHeight="true" outlineLevel="0" collapsed="false">
      <c r="A51" s="229"/>
      <c r="B51" s="223"/>
      <c r="C51" s="223"/>
      <c r="D51" s="223"/>
      <c r="E51" s="236"/>
      <c r="F51" s="19"/>
      <c r="G51" s="19"/>
      <c r="H51" s="228"/>
      <c r="I51" s="22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8.75" hidden="false" customHeight="true" outlineLevel="0" collapsed="false">
      <c r="A52" s="242" t="s">
        <v>239</v>
      </c>
      <c r="B52" s="223"/>
      <c r="C52" s="223"/>
      <c r="D52" s="223"/>
      <c r="E52" s="236"/>
      <c r="F52" s="19"/>
      <c r="G52" s="19"/>
      <c r="H52" s="228"/>
      <c r="I52" s="22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8.75" hidden="false" customHeight="true" outlineLevel="0" collapsed="false">
      <c r="A53" s="229"/>
      <c r="B53" s="223"/>
      <c r="C53" s="223"/>
      <c r="D53" s="223"/>
      <c r="E53" s="236"/>
      <c r="F53" s="19"/>
      <c r="G53" s="19"/>
      <c r="H53" s="228"/>
      <c r="I53" s="22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8.75" hidden="false" customHeight="true" outlineLevel="0" collapsed="false">
      <c r="A54" s="243" t="s">
        <v>239</v>
      </c>
      <c r="B54" s="207"/>
      <c r="C54" s="207"/>
      <c r="D54" s="244"/>
      <c r="E54" s="245"/>
      <c r="F54" s="19"/>
      <c r="G54" s="19"/>
      <c r="H54" s="228"/>
      <c r="I54" s="22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8.75" hidden="false" customHeight="true" outlineLevel="0" collapsed="false">
      <c r="A55" s="209"/>
      <c r="B55" s="246"/>
      <c r="C55" s="246"/>
      <c r="D55" s="207"/>
      <c r="E55" s="210"/>
      <c r="F55" s="19"/>
      <c r="G55" s="19"/>
      <c r="H55" s="247"/>
      <c r="I55" s="22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8.75" hidden="false" customHeight="true" outlineLevel="0" collapsed="false">
      <c r="A56" s="248" t="s">
        <v>28</v>
      </c>
      <c r="B56" s="249" t="s">
        <v>33</v>
      </c>
      <c r="C56" s="249"/>
      <c r="D56" s="207"/>
      <c r="E56" s="210"/>
      <c r="F56" s="19"/>
      <c r="G56" s="19"/>
      <c r="H56" s="19"/>
      <c r="I56" s="22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8.75" hidden="false" customHeight="true" outlineLevel="0" collapsed="false">
      <c r="A57" s="248"/>
      <c r="B57" s="250" t="n">
        <f aca="false">H30</f>
        <v>5000</v>
      </c>
      <c r="C57" s="250"/>
      <c r="D57" s="207"/>
      <c r="E57" s="210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8.75" hidden="false" customHeight="true" outlineLevel="0" collapsed="false">
      <c r="A58" s="251" t="n">
        <f aca="false">H29</f>
        <v>12</v>
      </c>
      <c r="B58" s="92" t="n">
        <f aca="false">H45</f>
        <v>561</v>
      </c>
      <c r="C58" s="92"/>
      <c r="D58" s="207"/>
      <c r="E58" s="210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8.75" hidden="false" customHeight="true" outlineLevel="0" collapsed="false">
      <c r="A59" s="209"/>
      <c r="B59" s="207"/>
      <c r="C59" s="207"/>
      <c r="D59" s="207"/>
      <c r="E59" s="210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8.75" hidden="false" customHeight="true" outlineLevel="0" collapsed="false">
      <c r="A60" s="252"/>
      <c r="B60" s="253"/>
      <c r="C60" s="253"/>
      <c r="D60" s="253"/>
      <c r="E60" s="254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8.75" hidden="false" customHeight="true" outlineLevel="0" collapsed="false">
      <c r="A61" s="207"/>
      <c r="B61" s="207"/>
      <c r="C61" s="207"/>
      <c r="D61" s="207"/>
      <c r="E61" s="207"/>
      <c r="F61" s="19"/>
      <c r="G61" s="207"/>
      <c r="H61" s="207"/>
      <c r="I61" s="207"/>
      <c r="J61" s="207"/>
      <c r="K61" s="207"/>
      <c r="L61" s="19"/>
      <c r="M61" s="207"/>
      <c r="N61" s="207"/>
      <c r="O61" s="207"/>
      <c r="P61" s="207"/>
      <c r="Q61" s="207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8.75" hidden="false" customHeight="true" outlineLevel="0" collapsed="false">
      <c r="A62" s="255"/>
      <c r="B62" s="256" t="s">
        <v>344</v>
      </c>
      <c r="C62" s="256"/>
      <c r="D62" s="256"/>
      <c r="E62" s="257"/>
      <c r="F62" s="19"/>
      <c r="G62" s="255"/>
      <c r="H62" s="256"/>
      <c r="I62" s="256"/>
      <c r="J62" s="256"/>
      <c r="K62" s="257"/>
      <c r="L62" s="19"/>
      <c r="M62" s="255"/>
      <c r="N62" s="256"/>
      <c r="O62" s="256"/>
      <c r="P62" s="256"/>
      <c r="Q62" s="257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8.75" hidden="false" customHeight="true" outlineLevel="0" collapsed="false">
      <c r="A63" s="209" t="s">
        <v>46</v>
      </c>
      <c r="B63" s="207" t="n">
        <f aca="false">IF(B105=Z103,1,IF(B105=Z104,1,IF(B105=Z105,3,IF(B105=Z106,6,IF(B105=Z107,9,IF(B105=Z108,12,IF(B105=Z109,3,IF(B105=Z110,6,IF(B105=Z111,9,0)))))))))</f>
        <v>9</v>
      </c>
      <c r="C63" s="207"/>
      <c r="D63" s="207"/>
      <c r="E63" s="210"/>
      <c r="F63" s="19"/>
      <c r="G63" s="209" t="s">
        <v>46</v>
      </c>
      <c r="H63" s="207" t="n">
        <f aca="false">IF(H105=Y103,1,IF(H105=Y104,1,IF(H105=Y105,3,IF(H105=Y106,6,IF(H105=Y107,9,IF(H105=Y108,12,IF(H105=Y109,3,IF(H105=Y110,6,IF(H105=Y111,9,0)))))))))</f>
        <v>0</v>
      </c>
      <c r="I63" s="207"/>
      <c r="J63" s="207"/>
      <c r="K63" s="210"/>
      <c r="L63" s="19"/>
      <c r="M63" s="209" t="s">
        <v>46</v>
      </c>
      <c r="N63" s="207" t="n">
        <f aca="false">IF(N105=Y103,1,IF(N105=Y104,1,IF(N105=Y105,3,IF(N105=Y106,6,IF(N105=Y107,9,IF(N105=Y108,12,IF(N105=Y109,3,IF(N105=Y110,6,IF(N105=Y111,9,0)))))))))</f>
        <v>0</v>
      </c>
      <c r="O63" s="207"/>
      <c r="P63" s="207"/>
      <c r="Q63" s="210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8.75" hidden="false" customHeight="true" outlineLevel="0" collapsed="false">
      <c r="A64" s="209" t="s">
        <v>60</v>
      </c>
      <c r="B64" s="207" t="n">
        <f aca="false">IF(B105=Z103,H29-B63,IF(B105=Z104,H29-B63,IF(B105=Z105,H29-1,IF(B105=Z106,H29-1,IF(B105=Z107,H29-1,IF(B105=Z108,H29-1,IF(B105=Z109,H29-B63,IF(B105=Z110,H29-B63,IF(B105=Z111,H29-B63,0)))))))))</f>
        <v>3</v>
      </c>
      <c r="C64" s="207"/>
      <c r="D64" s="207"/>
      <c r="E64" s="210"/>
      <c r="F64" s="19"/>
      <c r="G64" s="209" t="s">
        <v>60</v>
      </c>
      <c r="H64" s="207" t="n">
        <f aca="false">IF(H105=Y103,H29-H63,IF(H105=Y104,H29-H63,IF(H105=Y105,H29-1,IF(H105=Y106,H29-1,IF(H105=Y107,H29-1,IF(H105=Y108,H29-1,IF(H105=Y109,H29-H63,IF(H105=Y110,H29-H63,IF(H105=Y111,H29-H63,0)))))))))</f>
        <v>0</v>
      </c>
      <c r="I64" s="207"/>
      <c r="J64" s="207"/>
      <c r="K64" s="210"/>
      <c r="L64" s="19"/>
      <c r="M64" s="209" t="s">
        <v>60</v>
      </c>
      <c r="N64" s="207" t="n">
        <f aca="false">IF(N105=Y103,H29-N63,IF(N105=Y104,H29-N63,IF(N105=Y105,H29-1,IF(N105=Y106,H29-1,IF(N105=Y107,H29-1,IF(N105=Y108,H29-1,IF(N105=Y109,H29-N63,IF(N105=Y110,H29-N63,IF(N105=Y111,H29-N63,0)))))))))</f>
        <v>0</v>
      </c>
      <c r="O64" s="207"/>
      <c r="P64" s="207"/>
      <c r="Q64" s="210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8.75" hidden="false" customHeight="true" outlineLevel="0" collapsed="false">
      <c r="A65" s="209"/>
      <c r="B65" s="207"/>
      <c r="C65" s="207"/>
      <c r="D65" s="207"/>
      <c r="E65" s="210"/>
      <c r="F65" s="19"/>
      <c r="G65" s="209"/>
      <c r="H65" s="207"/>
      <c r="I65" s="207"/>
      <c r="J65" s="207"/>
      <c r="K65" s="210"/>
      <c r="L65" s="19"/>
      <c r="M65" s="209"/>
      <c r="N65" s="207"/>
      <c r="O65" s="207"/>
      <c r="P65" s="207"/>
      <c r="Q65" s="210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8.75" hidden="false" customHeight="true" outlineLevel="0" collapsed="false">
      <c r="A66" s="209"/>
      <c r="B66" s="207"/>
      <c r="C66" s="207"/>
      <c r="D66" s="207"/>
      <c r="E66" s="210"/>
      <c r="F66" s="19"/>
      <c r="G66" s="209"/>
      <c r="H66" s="207"/>
      <c r="I66" s="207"/>
      <c r="J66" s="207"/>
      <c r="K66" s="210"/>
      <c r="L66" s="19"/>
      <c r="M66" s="209"/>
      <c r="N66" s="207"/>
      <c r="O66" s="207"/>
      <c r="P66" s="207"/>
      <c r="Q66" s="210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8.75" hidden="false" customHeight="true" outlineLevel="0" collapsed="false">
      <c r="A67" s="209" t="s">
        <v>16</v>
      </c>
      <c r="B67" s="79" t="n">
        <f aca="false">G18</f>
        <v>57885</v>
      </c>
      <c r="C67" s="207"/>
      <c r="D67" s="207"/>
      <c r="E67" s="210"/>
      <c r="F67" s="19"/>
      <c r="G67" s="209" t="s">
        <v>16</v>
      </c>
      <c r="H67" s="79" t="n">
        <f aca="false">G18</f>
        <v>57885</v>
      </c>
      <c r="I67" s="207"/>
      <c r="J67" s="207"/>
      <c r="K67" s="210"/>
      <c r="L67" s="19"/>
      <c r="M67" s="209" t="s">
        <v>16</v>
      </c>
      <c r="N67" s="79" t="n">
        <f aca="false">G18</f>
        <v>57885</v>
      </c>
      <c r="O67" s="207"/>
      <c r="P67" s="207"/>
      <c r="Q67" s="210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8.75" hidden="false" customHeight="true" outlineLevel="0" collapsed="false">
      <c r="A68" s="258" t="s">
        <v>241</v>
      </c>
      <c r="B68" s="259" t="n">
        <v>0.07</v>
      </c>
      <c r="C68" s="207"/>
      <c r="D68" s="207"/>
      <c r="E68" s="210"/>
      <c r="F68" s="19"/>
      <c r="G68" s="258" t="s">
        <v>241</v>
      </c>
      <c r="H68" s="259" t="n">
        <v>0.07</v>
      </c>
      <c r="I68" s="207"/>
      <c r="J68" s="207"/>
      <c r="K68" s="210"/>
      <c r="L68" s="19"/>
      <c r="M68" s="258" t="s">
        <v>241</v>
      </c>
      <c r="N68" s="259" t="n">
        <v>0.07</v>
      </c>
      <c r="O68" s="207"/>
      <c r="P68" s="207"/>
      <c r="Q68" s="210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8.75" hidden="false" customHeight="true" outlineLevel="0" collapsed="false">
      <c r="A69" s="209" t="s">
        <v>242</v>
      </c>
      <c r="B69" s="260" t="n">
        <f aca="false">B68+(B68*0.25*(H29/12-1))</f>
        <v>0.07</v>
      </c>
      <c r="C69" s="207"/>
      <c r="D69" s="207"/>
      <c r="E69" s="210"/>
      <c r="F69" s="19"/>
      <c r="G69" s="209" t="s">
        <v>242</v>
      </c>
      <c r="H69" s="260" t="n">
        <f aca="false">H68+(H68*0.25*(H29/12-1))</f>
        <v>0.07</v>
      </c>
      <c r="I69" s="207"/>
      <c r="J69" s="207"/>
      <c r="K69" s="210"/>
      <c r="L69" s="19"/>
      <c r="M69" s="209" t="s">
        <v>242</v>
      </c>
      <c r="N69" s="260" t="n">
        <f aca="false">N68+(N68*0.25*(H29/12-1))</f>
        <v>0.07</v>
      </c>
      <c r="O69" s="207"/>
      <c r="P69" s="207"/>
      <c r="Q69" s="210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18.75" hidden="false" customHeight="true" outlineLevel="0" collapsed="false">
      <c r="A70" s="252" t="s">
        <v>65</v>
      </c>
      <c r="B70" s="139" t="n">
        <f aca="false">B67*B69</f>
        <v>4051.95</v>
      </c>
      <c r="C70" s="207" t="n">
        <v>10000</v>
      </c>
      <c r="D70" s="79" t="n">
        <f aca="false">B70-A149</f>
        <v>4051.95</v>
      </c>
      <c r="E70" s="210" t="n">
        <f aca="false">D70/12</f>
        <v>337.6625</v>
      </c>
      <c r="F70" s="19"/>
      <c r="G70" s="252" t="s">
        <v>65</v>
      </c>
      <c r="H70" s="139" t="n">
        <f aca="false">H67*H69</f>
        <v>4051.95</v>
      </c>
      <c r="I70" s="207"/>
      <c r="J70" s="79" t="n">
        <f aca="false">H70-G151</f>
        <v>4051.95</v>
      </c>
      <c r="K70" s="210"/>
      <c r="L70" s="19"/>
      <c r="M70" s="252" t="s">
        <v>65</v>
      </c>
      <c r="N70" s="139" t="n">
        <f aca="false">N67*N69</f>
        <v>4051.95</v>
      </c>
      <c r="O70" s="207"/>
      <c r="P70" s="79" t="n">
        <f aca="false">N70-M151</f>
        <v>4051.95</v>
      </c>
      <c r="Q70" s="210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18.75" hidden="false" customHeight="true" outlineLevel="0" collapsed="false">
      <c r="A71" s="258" t="s">
        <v>66</v>
      </c>
      <c r="B71" s="259" t="n">
        <v>0.01</v>
      </c>
      <c r="C71" s="207"/>
      <c r="D71" s="207"/>
      <c r="E71" s="210"/>
      <c r="F71" s="19"/>
      <c r="G71" s="258" t="s">
        <v>66</v>
      </c>
      <c r="H71" s="259" t="n">
        <v>0.005</v>
      </c>
      <c r="I71" s="207"/>
      <c r="J71" s="207"/>
      <c r="K71" s="210"/>
      <c r="L71" s="19"/>
      <c r="M71" s="258" t="s">
        <v>66</v>
      </c>
      <c r="N71" s="259" t="n">
        <v>0.005</v>
      </c>
      <c r="O71" s="207"/>
      <c r="P71" s="207"/>
      <c r="Q71" s="210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8.75" hidden="false" customHeight="true" outlineLevel="0" collapsed="false">
      <c r="A72" s="209" t="s">
        <v>67</v>
      </c>
      <c r="B72" s="260" t="n">
        <f aca="false">B71+(B71*0.5*(H29/12-1))</f>
        <v>0.01</v>
      </c>
      <c r="C72" s="207"/>
      <c r="D72" s="207"/>
      <c r="E72" s="210"/>
      <c r="F72" s="19"/>
      <c r="G72" s="209" t="s">
        <v>67</v>
      </c>
      <c r="H72" s="260" t="n">
        <f aca="false">H71+(H71*0.5*(H29/12-1))</f>
        <v>0.005</v>
      </c>
      <c r="I72" s="207"/>
      <c r="J72" s="207"/>
      <c r="K72" s="210"/>
      <c r="L72" s="19"/>
      <c r="M72" s="209" t="s">
        <v>67</v>
      </c>
      <c r="N72" s="260" t="n">
        <f aca="false">N71+(N71*0.5*(H29/12-1))</f>
        <v>0.005</v>
      </c>
      <c r="O72" s="207"/>
      <c r="P72" s="207"/>
      <c r="Q72" s="210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8.75" hidden="false" customHeight="true" outlineLevel="0" collapsed="false">
      <c r="A73" s="252" t="s">
        <v>68</v>
      </c>
      <c r="B73" s="139" t="n">
        <f aca="false">B67*B72</f>
        <v>578.85</v>
      </c>
      <c r="C73" s="207"/>
      <c r="D73" s="79"/>
      <c r="E73" s="210"/>
      <c r="F73" s="19"/>
      <c r="G73" s="252" t="s">
        <v>68</v>
      </c>
      <c r="H73" s="139" t="n">
        <f aca="false">H67*H72</f>
        <v>289.425</v>
      </c>
      <c r="I73" s="207"/>
      <c r="J73" s="79"/>
      <c r="K73" s="210"/>
      <c r="L73" s="19"/>
      <c r="M73" s="252" t="s">
        <v>68</v>
      </c>
      <c r="N73" s="139" t="n">
        <f aca="false">N67*N72</f>
        <v>289.425</v>
      </c>
      <c r="O73" s="207"/>
      <c r="P73" s="79"/>
      <c r="Q73" s="210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8.75" hidden="false" customHeight="true" outlineLevel="0" collapsed="false">
      <c r="A74" s="258" t="s">
        <v>69</v>
      </c>
      <c r="B74" s="259" t="n">
        <v>0.0075</v>
      </c>
      <c r="C74" s="207"/>
      <c r="D74" s="207"/>
      <c r="E74" s="210"/>
      <c r="F74" s="19"/>
      <c r="G74" s="258" t="s">
        <v>69</v>
      </c>
      <c r="H74" s="259" t="n">
        <v>0.0075</v>
      </c>
      <c r="I74" s="207"/>
      <c r="J74" s="207"/>
      <c r="K74" s="210"/>
      <c r="L74" s="19"/>
      <c r="M74" s="258" t="s">
        <v>69</v>
      </c>
      <c r="N74" s="259" t="n">
        <v>0.0075</v>
      </c>
      <c r="O74" s="207"/>
      <c r="P74" s="207"/>
      <c r="Q74" s="210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8.75" hidden="false" customHeight="true" outlineLevel="0" collapsed="false">
      <c r="A75" s="261" t="s">
        <v>70</v>
      </c>
      <c r="B75" s="262" t="n">
        <v>0.12</v>
      </c>
      <c r="C75" s="207"/>
      <c r="D75" s="207"/>
      <c r="E75" s="210"/>
      <c r="F75" s="19"/>
      <c r="G75" s="261" t="s">
        <v>70</v>
      </c>
      <c r="H75" s="262" t="n">
        <v>0.12</v>
      </c>
      <c r="I75" s="207"/>
      <c r="J75" s="207"/>
      <c r="K75" s="210"/>
      <c r="L75" s="19"/>
      <c r="M75" s="261" t="s">
        <v>70</v>
      </c>
      <c r="N75" s="262" t="n">
        <v>0.12</v>
      </c>
      <c r="O75" s="207"/>
      <c r="P75" s="207"/>
      <c r="Q75" s="210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8.75" hidden="false" customHeight="true" outlineLevel="0" collapsed="false">
      <c r="A76" s="252" t="s">
        <v>71</v>
      </c>
      <c r="B76" s="263" t="n">
        <f aca="false">B74*(1+B75)</f>
        <v>0.0084</v>
      </c>
      <c r="C76" s="207"/>
      <c r="D76" s="207"/>
      <c r="E76" s="210"/>
      <c r="F76" s="19"/>
      <c r="G76" s="252" t="s">
        <v>71</v>
      </c>
      <c r="H76" s="263" t="n">
        <f aca="false">H74*(1+H75)</f>
        <v>0.0084</v>
      </c>
      <c r="I76" s="207"/>
      <c r="J76" s="207"/>
      <c r="K76" s="210"/>
      <c r="L76" s="19"/>
      <c r="M76" s="252" t="s">
        <v>71</v>
      </c>
      <c r="N76" s="263" t="n">
        <f aca="false">N74*(1+N75)</f>
        <v>0.0084</v>
      </c>
      <c r="O76" s="207"/>
      <c r="P76" s="207"/>
      <c r="Q76" s="210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8.75" hidden="false" customHeight="true" outlineLevel="0" collapsed="false">
      <c r="A77" s="258" t="s">
        <v>72</v>
      </c>
      <c r="B77" s="264" t="n">
        <v>200</v>
      </c>
      <c r="C77" s="207"/>
      <c r="D77" s="207"/>
      <c r="E77" s="210"/>
      <c r="F77" s="19"/>
      <c r="G77" s="258" t="s">
        <v>72</v>
      </c>
      <c r="H77" s="264" t="n">
        <v>160</v>
      </c>
      <c r="I77" s="207"/>
      <c r="J77" s="207"/>
      <c r="K77" s="210"/>
      <c r="L77" s="19"/>
      <c r="M77" s="258" t="s">
        <v>72</v>
      </c>
      <c r="N77" s="264" t="n">
        <v>160</v>
      </c>
      <c r="O77" s="207"/>
      <c r="P77" s="207"/>
      <c r="Q77" s="210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8.75" hidden="false" customHeight="true" outlineLevel="0" collapsed="false">
      <c r="A78" s="261" t="s">
        <v>73</v>
      </c>
      <c r="B78" s="265" t="n">
        <v>5</v>
      </c>
      <c r="C78" s="207"/>
      <c r="D78" s="207"/>
      <c r="E78" s="210"/>
      <c r="F78" s="19"/>
      <c r="G78" s="261" t="s">
        <v>73</v>
      </c>
      <c r="H78" s="265" t="n">
        <v>4.5</v>
      </c>
      <c r="I78" s="207"/>
      <c r="J78" s="207"/>
      <c r="K78" s="210"/>
      <c r="L78" s="19"/>
      <c r="M78" s="261" t="s">
        <v>73</v>
      </c>
      <c r="N78" s="265" t="n">
        <v>4.5</v>
      </c>
      <c r="O78" s="207"/>
      <c r="P78" s="207"/>
      <c r="Q78" s="210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8.75" hidden="false" customHeight="true" outlineLevel="0" collapsed="false">
      <c r="A79" s="252" t="s">
        <v>74</v>
      </c>
      <c r="B79" s="139" t="n">
        <f aca="false">B78*H29</f>
        <v>60</v>
      </c>
      <c r="C79" s="207"/>
      <c r="D79" s="79" t="n">
        <f aca="false">B79+B77</f>
        <v>260</v>
      </c>
      <c r="E79" s="266" t="n">
        <f aca="false">D79+D85+D86</f>
        <v>660</v>
      </c>
      <c r="F79" s="19"/>
      <c r="G79" s="252" t="s">
        <v>74</v>
      </c>
      <c r="H79" s="139" t="n">
        <f aca="false">H78*H29</f>
        <v>54</v>
      </c>
      <c r="I79" s="207"/>
      <c r="J79" s="79" t="n">
        <f aca="false">H79+H77</f>
        <v>214</v>
      </c>
      <c r="K79" s="210"/>
      <c r="L79" s="19"/>
      <c r="M79" s="252" t="s">
        <v>74</v>
      </c>
      <c r="N79" s="139" t="n">
        <f aca="false">N78*H29</f>
        <v>54</v>
      </c>
      <c r="O79" s="207"/>
      <c r="P79" s="79" t="n">
        <f aca="false">N79+N77</f>
        <v>214</v>
      </c>
      <c r="Q79" s="210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8.75" hidden="false" customHeight="true" outlineLevel="0" collapsed="false">
      <c r="A80" s="267" t="s">
        <v>243</v>
      </c>
      <c r="B80" s="268" t="n">
        <v>0</v>
      </c>
      <c r="C80" s="207"/>
      <c r="D80" s="207"/>
      <c r="E80" s="266" t="n">
        <f aca="false">E79+D82</f>
        <v>660</v>
      </c>
      <c r="F80" s="19"/>
      <c r="G80" s="258" t="s">
        <v>243</v>
      </c>
      <c r="H80" s="264" t="n">
        <v>150</v>
      </c>
      <c r="I80" s="207"/>
      <c r="J80" s="207"/>
      <c r="K80" s="210"/>
      <c r="L80" s="19"/>
      <c r="M80" s="267" t="s">
        <v>243</v>
      </c>
      <c r="N80" s="268" t="n">
        <v>0</v>
      </c>
      <c r="O80" s="207"/>
      <c r="P80" s="207"/>
      <c r="Q80" s="210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18.75" hidden="false" customHeight="true" outlineLevel="0" collapsed="false">
      <c r="A81" s="269" t="s">
        <v>244</v>
      </c>
      <c r="B81" s="270" t="n">
        <v>0</v>
      </c>
      <c r="C81" s="207"/>
      <c r="D81" s="207"/>
      <c r="E81" s="210" t="n">
        <f aca="false">E80/12</f>
        <v>55</v>
      </c>
      <c r="F81" s="19"/>
      <c r="G81" s="261" t="s">
        <v>244</v>
      </c>
      <c r="H81" s="265" t="n">
        <f aca="false">IF(G18&gt;40000, 325, 0)</f>
        <v>325</v>
      </c>
      <c r="I81" s="207"/>
      <c r="J81" s="207"/>
      <c r="K81" s="210"/>
      <c r="L81" s="19"/>
      <c r="M81" s="269" t="s">
        <v>244</v>
      </c>
      <c r="N81" s="270" t="n">
        <v>0</v>
      </c>
      <c r="O81" s="207"/>
      <c r="P81" s="207"/>
      <c r="Q81" s="210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18.75" hidden="false" customHeight="true" outlineLevel="0" collapsed="false">
      <c r="A82" s="252" t="s">
        <v>245</v>
      </c>
      <c r="B82" s="139" t="n">
        <f aca="false">((B80+B81)/12)*(H29-11)</f>
        <v>0</v>
      </c>
      <c r="C82" s="207"/>
      <c r="D82" s="79" t="n">
        <f aca="false">IF(A50="YES", 0, B82)</f>
        <v>0</v>
      </c>
      <c r="E82" s="210"/>
      <c r="F82" s="19"/>
      <c r="G82" s="252" t="s">
        <v>245</v>
      </c>
      <c r="H82" s="139" t="n">
        <f aca="false">((H80+H81)/12)*(H29-11)</f>
        <v>39.5833333333333</v>
      </c>
      <c r="I82" s="207"/>
      <c r="J82" s="79" t="n">
        <f aca="false">IF(A50="YES", 0, H82)</f>
        <v>39.5833333333333</v>
      </c>
      <c r="K82" s="210"/>
      <c r="L82" s="19"/>
      <c r="M82" s="271" t="s">
        <v>245</v>
      </c>
      <c r="N82" s="272" t="n">
        <f aca="false">((N80+N81)/12)*(H29-11)</f>
        <v>0</v>
      </c>
      <c r="O82" s="207"/>
      <c r="P82" s="79" t="n">
        <f aca="false">IF(A50="YES", 0, N82)</f>
        <v>0</v>
      </c>
      <c r="Q82" s="210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8.75" hidden="false" customHeight="true" outlineLevel="0" collapsed="false">
      <c r="A83" s="258" t="s">
        <v>246</v>
      </c>
      <c r="B83" s="264" t="n">
        <f aca="false">B108/(1-0.1)</f>
        <v>444.444444444444</v>
      </c>
      <c r="C83" s="207"/>
      <c r="D83" s="79" t="n">
        <f aca="false">B83</f>
        <v>444.444444444444</v>
      </c>
      <c r="E83" s="210" t="n">
        <f aca="false">D83/12</f>
        <v>37.037037037037</v>
      </c>
      <c r="F83" s="19"/>
      <c r="G83" s="258" t="s">
        <v>246</v>
      </c>
      <c r="H83" s="264" t="n">
        <f aca="false">H108</f>
        <v>1200</v>
      </c>
      <c r="I83" s="207"/>
      <c r="J83" s="79" t="n">
        <f aca="false">H83</f>
        <v>1200</v>
      </c>
      <c r="K83" s="210"/>
      <c r="L83" s="19"/>
      <c r="M83" s="258" t="s">
        <v>246</v>
      </c>
      <c r="N83" s="264" t="n">
        <f aca="false">N108</f>
        <v>1200</v>
      </c>
      <c r="O83" s="207"/>
      <c r="P83" s="79" t="n">
        <f aca="false">N83</f>
        <v>1200</v>
      </c>
      <c r="Q83" s="210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18.75" hidden="false" customHeight="true" outlineLevel="0" collapsed="false">
      <c r="A84" s="209" t="s">
        <v>247</v>
      </c>
      <c r="B84" s="273" t="n">
        <f aca="false">D108/(1-0.1)</f>
        <v>222.222222222222</v>
      </c>
      <c r="C84" s="207"/>
      <c r="D84" s="79" t="n">
        <f aca="false">B84</f>
        <v>222.222222222222</v>
      </c>
      <c r="E84" s="210"/>
      <c r="F84" s="19"/>
      <c r="G84" s="209" t="s">
        <v>248</v>
      </c>
      <c r="H84" s="273" t="n">
        <f aca="false">J108</f>
        <v>1500</v>
      </c>
      <c r="I84" s="207"/>
      <c r="J84" s="79" t="n">
        <f aca="false">H84</f>
        <v>1500</v>
      </c>
      <c r="K84" s="210"/>
      <c r="L84" s="19"/>
      <c r="M84" s="209" t="s">
        <v>248</v>
      </c>
      <c r="N84" s="273" t="n">
        <f aca="false">P108</f>
        <v>1500</v>
      </c>
      <c r="O84" s="207"/>
      <c r="P84" s="79" t="n">
        <f aca="false">N84</f>
        <v>1500</v>
      </c>
      <c r="Q84" s="210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8.75" hidden="false" customHeight="true" outlineLevel="0" collapsed="false">
      <c r="A85" s="261" t="s">
        <v>75</v>
      </c>
      <c r="B85" s="265" t="n">
        <v>200</v>
      </c>
      <c r="C85" s="207"/>
      <c r="D85" s="79" t="n">
        <f aca="false">B85</f>
        <v>200</v>
      </c>
      <c r="E85" s="210"/>
      <c r="F85" s="19"/>
      <c r="G85" s="261" t="s">
        <v>75</v>
      </c>
      <c r="H85" s="265" t="n">
        <v>100</v>
      </c>
      <c r="I85" s="207"/>
      <c r="J85" s="79" t="n">
        <f aca="false">H85</f>
        <v>100</v>
      </c>
      <c r="K85" s="210"/>
      <c r="L85" s="19"/>
      <c r="M85" s="261" t="s">
        <v>75</v>
      </c>
      <c r="N85" s="265" t="n">
        <v>100</v>
      </c>
      <c r="O85" s="207"/>
      <c r="P85" s="79" t="n">
        <f aca="false">N85</f>
        <v>100</v>
      </c>
      <c r="Q85" s="210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8.75" hidden="false" customHeight="true" outlineLevel="0" collapsed="false">
      <c r="A86" s="274" t="s">
        <v>76</v>
      </c>
      <c r="B86" s="275" t="n">
        <v>200</v>
      </c>
      <c r="C86" s="207"/>
      <c r="D86" s="79" t="n">
        <f aca="false">B86</f>
        <v>200</v>
      </c>
      <c r="E86" s="210"/>
      <c r="F86" s="19"/>
      <c r="G86" s="274" t="s">
        <v>76</v>
      </c>
      <c r="H86" s="275" t="n">
        <v>100</v>
      </c>
      <c r="I86" s="207"/>
      <c r="J86" s="79" t="n">
        <f aca="false">H86</f>
        <v>100</v>
      </c>
      <c r="K86" s="210"/>
      <c r="L86" s="19"/>
      <c r="M86" s="274" t="s">
        <v>76</v>
      </c>
      <c r="N86" s="275" t="n">
        <v>100</v>
      </c>
      <c r="O86" s="207"/>
      <c r="P86" s="79" t="n">
        <f aca="false">N86</f>
        <v>100</v>
      </c>
      <c r="Q86" s="210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8.75" hidden="false" customHeight="true" outlineLevel="0" collapsed="false">
      <c r="A87" s="276" t="s">
        <v>77</v>
      </c>
      <c r="B87" s="277" t="n">
        <f aca="false">SUM(D70:D86)</f>
        <v>5378.61666666667</v>
      </c>
      <c r="C87" s="207"/>
      <c r="D87" s="207"/>
      <c r="E87" s="210"/>
      <c r="F87" s="19"/>
      <c r="G87" s="276" t="s">
        <v>77</v>
      </c>
      <c r="H87" s="277" t="n">
        <f aca="false">SUM(J70:J86)</f>
        <v>7205.53333333333</v>
      </c>
      <c r="I87" s="207"/>
      <c r="J87" s="207"/>
      <c r="K87" s="210"/>
      <c r="L87" s="19"/>
      <c r="M87" s="276" t="s">
        <v>77</v>
      </c>
      <c r="N87" s="277" t="n">
        <f aca="false">SUM(P70:P86)</f>
        <v>7165.95</v>
      </c>
      <c r="O87" s="207"/>
      <c r="P87" s="207"/>
      <c r="Q87" s="210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8.75" hidden="false" customHeight="true" outlineLevel="0" collapsed="false">
      <c r="A88" s="209" t="s">
        <v>78</v>
      </c>
      <c r="B88" s="273" t="n">
        <f aca="false">B87/H29</f>
        <v>448.218055555556</v>
      </c>
      <c r="C88" s="207"/>
      <c r="D88" s="207"/>
      <c r="E88" s="210"/>
      <c r="F88" s="19"/>
      <c r="G88" s="209" t="s">
        <v>78</v>
      </c>
      <c r="H88" s="273" t="n">
        <f aca="false">H87/H29</f>
        <v>600.461111111111</v>
      </c>
      <c r="I88" s="207"/>
      <c r="J88" s="207"/>
      <c r="K88" s="210"/>
      <c r="L88" s="19"/>
      <c r="M88" s="209" t="s">
        <v>78</v>
      </c>
      <c r="N88" s="273" t="n">
        <f aca="false">N87/H29</f>
        <v>597.1625</v>
      </c>
      <c r="O88" s="207"/>
      <c r="P88" s="207"/>
      <c r="Q88" s="210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8.75" hidden="false" customHeight="true" outlineLevel="0" collapsed="false">
      <c r="A89" s="278" t="s">
        <v>79</v>
      </c>
      <c r="B89" s="279" t="n">
        <f aca="false">H46</f>
        <v>501</v>
      </c>
      <c r="C89" s="207"/>
      <c r="D89" s="207"/>
      <c r="E89" s="210"/>
      <c r="F89" s="19"/>
      <c r="G89" s="278" t="s">
        <v>79</v>
      </c>
      <c r="H89" s="279" t="n">
        <f aca="false">H46</f>
        <v>501</v>
      </c>
      <c r="I89" s="207"/>
      <c r="J89" s="207"/>
      <c r="K89" s="210"/>
      <c r="L89" s="19"/>
      <c r="M89" s="278" t="s">
        <v>79</v>
      </c>
      <c r="N89" s="279" t="n">
        <f aca="false">H46</f>
        <v>501</v>
      </c>
      <c r="O89" s="207"/>
      <c r="P89" s="207"/>
      <c r="Q89" s="210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8.75" hidden="false" customHeight="true" outlineLevel="0" collapsed="false">
      <c r="A90" s="209"/>
      <c r="B90" s="79"/>
      <c r="C90" s="207"/>
      <c r="D90" s="207"/>
      <c r="E90" s="210"/>
      <c r="F90" s="19"/>
      <c r="G90" s="209"/>
      <c r="H90" s="79"/>
      <c r="I90" s="207"/>
      <c r="J90" s="207"/>
      <c r="K90" s="210"/>
      <c r="L90" s="19"/>
      <c r="M90" s="209"/>
      <c r="N90" s="79"/>
      <c r="O90" s="207"/>
      <c r="P90" s="207"/>
      <c r="Q90" s="210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8.75" hidden="false" customHeight="true" outlineLevel="0" collapsed="false">
      <c r="A91" s="255" t="s">
        <v>88</v>
      </c>
      <c r="B91" s="137" t="n">
        <f aca="false">((B89*H29)+B87)</f>
        <v>11390.6166666667</v>
      </c>
      <c r="C91" s="207"/>
      <c r="D91" s="207"/>
      <c r="E91" s="210"/>
      <c r="F91" s="19"/>
      <c r="G91" s="255" t="s">
        <v>88</v>
      </c>
      <c r="H91" s="137" t="n">
        <f aca="false">((H89*H29)+H87)*1.2</f>
        <v>15861.04</v>
      </c>
      <c r="I91" s="207"/>
      <c r="J91" s="207"/>
      <c r="K91" s="210"/>
      <c r="L91" s="19"/>
      <c r="M91" s="255" t="s">
        <v>88</v>
      </c>
      <c r="N91" s="137" t="n">
        <f aca="false">((N89*H29)+N87)</f>
        <v>13177.95</v>
      </c>
      <c r="O91" s="207"/>
      <c r="P91" s="207"/>
      <c r="Q91" s="210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8.75" hidden="false" customHeight="true" outlineLevel="0" collapsed="false">
      <c r="A92" s="209" t="s">
        <v>89</v>
      </c>
      <c r="B92" s="273" t="n">
        <f aca="false">(((B89*H29)+B87)/(1-B76))*B76</f>
        <v>96.4917103670835</v>
      </c>
      <c r="C92" s="207"/>
      <c r="D92" s="207"/>
      <c r="E92" s="280"/>
      <c r="F92" s="19"/>
      <c r="G92" s="209" t="s">
        <v>89</v>
      </c>
      <c r="H92" s="273" t="n">
        <f aca="false">(((H89*H29)+H87)/(1-H76))*H76</f>
        <v>111.967809600645</v>
      </c>
      <c r="I92" s="207"/>
      <c r="J92" s="207"/>
      <c r="K92" s="210"/>
      <c r="L92" s="19"/>
      <c r="M92" s="209" t="s">
        <v>89</v>
      </c>
      <c r="N92" s="273" t="n">
        <f aca="false">(N91/(1-N76))*N76</f>
        <v>111.632492940702</v>
      </c>
      <c r="O92" s="207"/>
      <c r="P92" s="207"/>
      <c r="Q92" s="210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8.75" hidden="false" customHeight="true" outlineLevel="0" collapsed="false">
      <c r="A93" s="252" t="s">
        <v>90</v>
      </c>
      <c r="B93" s="139" t="n">
        <f aca="false">IF(B116="YES",((B91+B92)-E120),(B91+B92))</f>
        <v>7487.10837703375</v>
      </c>
      <c r="C93" s="207"/>
      <c r="D93" s="207"/>
      <c r="E93" s="210"/>
      <c r="F93" s="19"/>
      <c r="G93" s="252" t="s">
        <v>90</v>
      </c>
      <c r="H93" s="139" t="n">
        <f aca="false">IF(H116="YES",((H91+H92)-K120),(H91+H92))</f>
        <v>17973.0078096006</v>
      </c>
      <c r="I93" s="207"/>
      <c r="J93" s="207"/>
      <c r="K93" s="210"/>
      <c r="L93" s="19"/>
      <c r="M93" s="252" t="s">
        <v>90</v>
      </c>
      <c r="N93" s="139" t="n">
        <f aca="false">IF(N116="YES",((N91+N92)-K120),(N91+N92))</f>
        <v>15289.5824929407</v>
      </c>
      <c r="O93" s="207"/>
      <c r="P93" s="207"/>
      <c r="Q93" s="210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18.75" hidden="false" customHeight="true" outlineLevel="0" collapsed="false">
      <c r="A94" s="209"/>
      <c r="B94" s="79"/>
      <c r="C94" s="207"/>
      <c r="D94" s="207"/>
      <c r="E94" s="210"/>
      <c r="F94" s="19"/>
      <c r="G94" s="209"/>
      <c r="H94" s="79"/>
      <c r="I94" s="207"/>
      <c r="J94" s="207"/>
      <c r="K94" s="210"/>
      <c r="L94" s="19"/>
      <c r="M94" s="209"/>
      <c r="N94" s="79"/>
      <c r="O94" s="207"/>
      <c r="P94" s="207"/>
      <c r="Q94" s="210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8.75" hidden="false" customHeight="true" outlineLevel="0" collapsed="false">
      <c r="A95" s="276" t="s">
        <v>91</v>
      </c>
      <c r="B95" s="277" t="n">
        <f aca="false">IF(B105=Z104,(((H44*B35)+(H44*B35)*(B111/100))/(B64)),(((H44*B35)+(H44*B35)*(B111/100))/(B63+B64)))</f>
        <v>72</v>
      </c>
      <c r="C95" s="207"/>
      <c r="D95" s="207"/>
      <c r="E95" s="210"/>
      <c r="F95" s="19"/>
      <c r="G95" s="276" t="s">
        <v>91</v>
      </c>
      <c r="H95" s="277" t="e">
        <f aca="false">(((H44*B35)+((H44*B35)*H111))/(H63+H64))*1.2</f>
        <v>#DIV/0!</v>
      </c>
      <c r="I95" s="207"/>
      <c r="J95" s="207"/>
      <c r="K95" s="210"/>
      <c r="L95" s="19"/>
      <c r="M95" s="276" t="s">
        <v>91</v>
      </c>
      <c r="N95" s="277" t="e">
        <f aca="false">((H44*B35)+((H44*B35)*N111))/(N63+N64)</f>
        <v>#DIV/0!</v>
      </c>
      <c r="O95" s="207"/>
      <c r="P95" s="207"/>
      <c r="Q95" s="210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8.75" hidden="false" customHeight="true" outlineLevel="0" collapsed="false">
      <c r="A96" s="281" t="s">
        <v>92</v>
      </c>
      <c r="B96" s="282" t="n">
        <f aca="false">IF(B105=Z104, (B93-D111)/(B64), B93/(B63+B64))</f>
        <v>623.925698086146</v>
      </c>
      <c r="C96" s="207"/>
      <c r="D96" s="207"/>
      <c r="E96" s="210"/>
      <c r="F96" s="19"/>
      <c r="G96" s="281" t="s">
        <v>92</v>
      </c>
      <c r="H96" s="282" t="e">
        <f aca="false">IF(H105=Y104, (H93-J111)/(H64), H93/(H63+H64))</f>
        <v>#DIV/0!</v>
      </c>
      <c r="I96" s="207"/>
      <c r="J96" s="207"/>
      <c r="K96" s="210"/>
      <c r="L96" s="19"/>
      <c r="M96" s="281" t="s">
        <v>92</v>
      </c>
      <c r="N96" s="282" t="e">
        <f aca="false">IF(N105=Y104, (N93-P111)/(N64), N93/(N63+N64))</f>
        <v>#DIV/0!</v>
      </c>
      <c r="O96" s="207"/>
      <c r="P96" s="207"/>
      <c r="Q96" s="210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8.75" hidden="false" customHeight="true" outlineLevel="0" collapsed="false">
      <c r="A97" s="283" t="s">
        <v>93</v>
      </c>
      <c r="B97" s="284" t="n">
        <f aca="false">IF(A111="YES", B96+B95, B96)</f>
        <v>695.925698086146</v>
      </c>
      <c r="C97" s="207"/>
      <c r="D97" s="285"/>
      <c r="E97" s="210"/>
      <c r="F97" s="19"/>
      <c r="G97" s="283" t="s">
        <v>93</v>
      </c>
      <c r="H97" s="284" t="e">
        <f aca="false">IF(G111="YES", H96+H95, H96)</f>
        <v>#DIV/0!</v>
      </c>
      <c r="I97" s="207"/>
      <c r="J97" s="207"/>
      <c r="K97" s="210"/>
      <c r="L97" s="19"/>
      <c r="M97" s="283" t="s">
        <v>93</v>
      </c>
      <c r="N97" s="284" t="e">
        <f aca="false">IF(M111="YES", N96+N95, N96)</f>
        <v>#DIV/0!</v>
      </c>
      <c r="O97" s="207"/>
      <c r="P97" s="207"/>
      <c r="Q97" s="210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18.75" hidden="false" customHeight="true" outlineLevel="0" collapsed="false">
      <c r="A98" s="252"/>
      <c r="B98" s="253"/>
      <c r="C98" s="253"/>
      <c r="D98" s="253"/>
      <c r="E98" s="254"/>
      <c r="F98" s="19"/>
      <c r="G98" s="252"/>
      <c r="H98" s="253"/>
      <c r="I98" s="253"/>
      <c r="J98" s="253"/>
      <c r="K98" s="254"/>
      <c r="L98" s="19"/>
      <c r="M98" s="252"/>
      <c r="N98" s="253"/>
      <c r="O98" s="253"/>
      <c r="P98" s="253"/>
      <c r="Q98" s="254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18.75" hidden="false" customHeight="true" outlineLevel="0" collapsed="false">
      <c r="A99" s="207"/>
      <c r="B99" s="207"/>
      <c r="C99" s="207"/>
      <c r="D99" s="207"/>
      <c r="E99" s="207"/>
      <c r="F99" s="19"/>
      <c r="G99" s="207"/>
      <c r="H99" s="207"/>
      <c r="I99" s="207"/>
      <c r="J99" s="207"/>
      <c r="K99" s="207"/>
      <c r="L99" s="19"/>
      <c r="M99" s="207"/>
      <c r="N99" s="207"/>
      <c r="O99" s="207"/>
      <c r="P99" s="207"/>
      <c r="Q99" s="207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48.75" hidden="false" customHeight="true" outlineLevel="0" collapsed="false">
      <c r="A100" s="208" t="s">
        <v>374</v>
      </c>
      <c r="B100" s="208"/>
      <c r="C100" s="208"/>
      <c r="D100" s="208"/>
      <c r="E100" s="208"/>
      <c r="F100" s="19"/>
      <c r="G100" s="208" t="s">
        <v>250</v>
      </c>
      <c r="H100" s="208"/>
      <c r="I100" s="208"/>
      <c r="J100" s="208"/>
      <c r="K100" s="208"/>
      <c r="L100" s="19"/>
      <c r="M100" s="208" t="s">
        <v>251</v>
      </c>
      <c r="N100" s="208"/>
      <c r="O100" s="208"/>
      <c r="P100" s="208"/>
      <c r="Q100" s="208"/>
      <c r="R100" s="19"/>
      <c r="S100" s="19"/>
      <c r="T100" s="19"/>
      <c r="U100" s="19"/>
      <c r="V100" s="19"/>
      <c r="W100" s="19"/>
      <c r="X100" s="19"/>
      <c r="Y100" s="19"/>
      <c r="Z100" s="19"/>
    </row>
    <row r="101" customFormat="false" ht="18.75" hidden="false" customHeight="true" outlineLevel="0" collapsed="false">
      <c r="A101" s="209"/>
      <c r="B101" s="207"/>
      <c r="C101" s="207"/>
      <c r="D101" s="207"/>
      <c r="E101" s="210"/>
      <c r="F101" s="19"/>
      <c r="G101" s="209"/>
      <c r="H101" s="207"/>
      <c r="I101" s="207"/>
      <c r="J101" s="207"/>
      <c r="K101" s="210"/>
      <c r="L101" s="19"/>
      <c r="M101" s="209"/>
      <c r="N101" s="207"/>
      <c r="O101" s="207"/>
      <c r="P101" s="207"/>
      <c r="Q101" s="210"/>
      <c r="R101" s="19"/>
      <c r="S101" s="19"/>
      <c r="T101" s="19"/>
      <c r="U101" s="19"/>
      <c r="V101" s="19"/>
      <c r="W101" s="19"/>
      <c r="X101" s="19"/>
      <c r="Y101" s="19"/>
      <c r="Z101" s="19"/>
    </row>
    <row r="102" customFormat="false" ht="18.75" hidden="false" customHeight="true" outlineLevel="0" collapsed="false">
      <c r="A102" s="211" t="s">
        <v>26</v>
      </c>
      <c r="B102" s="211"/>
      <c r="C102" s="211"/>
      <c r="D102" s="211"/>
      <c r="E102" s="211"/>
      <c r="F102" s="19"/>
      <c r="G102" s="211" t="s">
        <v>26</v>
      </c>
      <c r="H102" s="211"/>
      <c r="I102" s="211"/>
      <c r="J102" s="211"/>
      <c r="K102" s="211"/>
      <c r="L102" s="19"/>
      <c r="M102" s="211" t="s">
        <v>26</v>
      </c>
      <c r="N102" s="211"/>
      <c r="O102" s="211"/>
      <c r="P102" s="211"/>
      <c r="Q102" s="211"/>
      <c r="R102" s="19"/>
      <c r="S102" s="19"/>
      <c r="T102" s="19"/>
      <c r="U102" s="19"/>
      <c r="V102" s="19"/>
      <c r="W102" s="19"/>
      <c r="X102" s="19"/>
      <c r="Y102" s="19"/>
      <c r="Z102" s="19"/>
    </row>
    <row r="103" customFormat="false" ht="18.75" hidden="false" customHeight="true" outlineLevel="0" collapsed="false">
      <c r="A103" s="209"/>
      <c r="B103" s="207"/>
      <c r="C103" s="207"/>
      <c r="D103" s="207"/>
      <c r="E103" s="210"/>
      <c r="F103" s="19"/>
      <c r="G103" s="209"/>
      <c r="H103" s="207"/>
      <c r="I103" s="207"/>
      <c r="J103" s="207"/>
      <c r="K103" s="210"/>
      <c r="L103" s="19"/>
      <c r="M103" s="209"/>
      <c r="N103" s="207"/>
      <c r="O103" s="207"/>
      <c r="P103" s="207"/>
      <c r="Q103" s="210"/>
      <c r="R103" s="19"/>
      <c r="S103" s="19"/>
      <c r="T103" s="19"/>
      <c r="U103" s="19"/>
      <c r="V103" s="19"/>
      <c r="W103" s="19"/>
      <c r="X103" s="19"/>
      <c r="Y103" s="19"/>
      <c r="Z103" s="19" t="s">
        <v>100</v>
      </c>
    </row>
    <row r="104" customFormat="false" ht="18.75" hidden="false" customHeight="true" outlineLevel="0" collapsed="false">
      <c r="A104" s="209" t="s">
        <v>98</v>
      </c>
      <c r="B104" s="207" t="s">
        <v>23</v>
      </c>
      <c r="C104" s="207"/>
      <c r="D104" s="207" t="s">
        <v>252</v>
      </c>
      <c r="E104" s="210"/>
      <c r="F104" s="19"/>
      <c r="G104" s="209" t="s">
        <v>98</v>
      </c>
      <c r="H104" s="207" t="s">
        <v>23</v>
      </c>
      <c r="I104" s="207"/>
      <c r="J104" s="207" t="s">
        <v>252</v>
      </c>
      <c r="K104" s="210"/>
      <c r="L104" s="19"/>
      <c r="M104" s="209" t="s">
        <v>98</v>
      </c>
      <c r="N104" s="207" t="s">
        <v>23</v>
      </c>
      <c r="O104" s="207"/>
      <c r="P104" s="207" t="s">
        <v>252</v>
      </c>
      <c r="Q104" s="210"/>
      <c r="R104" s="19"/>
      <c r="S104" s="19"/>
      <c r="T104" s="19"/>
      <c r="U104" s="19"/>
      <c r="V104" s="19"/>
      <c r="W104" s="19"/>
      <c r="X104" s="19"/>
      <c r="Y104" s="19"/>
      <c r="Z104" s="19" t="s">
        <v>253</v>
      </c>
    </row>
    <row r="105" customFormat="false" ht="18.75" hidden="false" customHeight="true" outlineLevel="0" collapsed="false">
      <c r="A105" s="214"/>
      <c r="B105" s="286" t="s">
        <v>315</v>
      </c>
      <c r="C105" s="286"/>
      <c r="D105" s="287" t="n">
        <v>1000</v>
      </c>
      <c r="E105" s="287"/>
      <c r="F105" s="19"/>
      <c r="G105" s="214" t="s">
        <v>254</v>
      </c>
      <c r="H105" s="286" t="s">
        <v>255</v>
      </c>
      <c r="I105" s="286"/>
      <c r="J105" s="287" t="n">
        <v>5000</v>
      </c>
      <c r="K105" s="287"/>
      <c r="L105" s="19"/>
      <c r="M105" s="214" t="s">
        <v>254</v>
      </c>
      <c r="N105" s="286" t="s">
        <v>256</v>
      </c>
      <c r="O105" s="286"/>
      <c r="P105" s="287" t="n">
        <v>0</v>
      </c>
      <c r="Q105" s="287"/>
      <c r="R105" s="19"/>
      <c r="S105" s="19"/>
      <c r="T105" s="19"/>
      <c r="U105" s="19"/>
      <c r="V105" s="19"/>
      <c r="W105" s="19"/>
      <c r="X105" s="19"/>
      <c r="Y105" s="19"/>
      <c r="Z105" s="19" t="s">
        <v>257</v>
      </c>
    </row>
    <row r="106" customFormat="false" ht="18.75" hidden="false" customHeight="true" outlineLevel="0" collapsed="false">
      <c r="A106" s="209"/>
      <c r="B106" s="207"/>
      <c r="C106" s="207"/>
      <c r="D106" s="207"/>
      <c r="E106" s="210"/>
      <c r="F106" s="19"/>
      <c r="G106" s="209"/>
      <c r="H106" s="207"/>
      <c r="I106" s="207"/>
      <c r="J106" s="207"/>
      <c r="K106" s="210"/>
      <c r="L106" s="19"/>
      <c r="M106" s="209"/>
      <c r="N106" s="207"/>
      <c r="O106" s="207"/>
      <c r="P106" s="207"/>
      <c r="Q106" s="210"/>
      <c r="R106" s="19"/>
      <c r="S106" s="19"/>
      <c r="T106" s="19"/>
      <c r="U106" s="19"/>
      <c r="V106" s="19"/>
      <c r="W106" s="19"/>
      <c r="X106" s="19"/>
      <c r="Y106" s="19"/>
      <c r="Z106" s="19" t="s">
        <v>258</v>
      </c>
    </row>
    <row r="107" customFormat="false" ht="18.75" hidden="false" customHeight="true" outlineLevel="0" collapsed="false">
      <c r="A107" s="209" t="s">
        <v>259</v>
      </c>
      <c r="B107" s="207" t="s">
        <v>260</v>
      </c>
      <c r="C107" s="207"/>
      <c r="D107" s="207" t="s">
        <v>261</v>
      </c>
      <c r="E107" s="210"/>
      <c r="F107" s="19"/>
      <c r="G107" s="209" t="s">
        <v>259</v>
      </c>
      <c r="H107" s="207" t="s">
        <v>260</v>
      </c>
      <c r="I107" s="207"/>
      <c r="J107" s="207" t="s">
        <v>261</v>
      </c>
      <c r="K107" s="210"/>
      <c r="L107" s="19"/>
      <c r="M107" s="209" t="s">
        <v>259</v>
      </c>
      <c r="N107" s="207" t="s">
        <v>260</v>
      </c>
      <c r="O107" s="207"/>
      <c r="P107" s="207" t="s">
        <v>261</v>
      </c>
      <c r="Q107" s="210"/>
      <c r="R107" s="19"/>
      <c r="S107" s="19"/>
      <c r="T107" s="19"/>
      <c r="U107" s="19"/>
      <c r="V107" s="19"/>
      <c r="W107" s="19"/>
      <c r="X107" s="19"/>
      <c r="Y107" s="19"/>
      <c r="Z107" s="19" t="s">
        <v>262</v>
      </c>
    </row>
    <row r="108" customFormat="false" ht="18.75" hidden="false" customHeight="true" outlineLevel="0" collapsed="false">
      <c r="A108" s="288" t="n">
        <v>199.99</v>
      </c>
      <c r="B108" s="72" t="n">
        <v>400</v>
      </c>
      <c r="C108" s="72"/>
      <c r="D108" s="72" t="n">
        <v>200</v>
      </c>
      <c r="E108" s="72"/>
      <c r="F108" s="19"/>
      <c r="G108" s="288" t="n">
        <f aca="false">199.99*1.2</f>
        <v>239.988</v>
      </c>
      <c r="H108" s="72" t="n">
        <v>1200</v>
      </c>
      <c r="I108" s="72"/>
      <c r="J108" s="72" t="n">
        <v>1500</v>
      </c>
      <c r="K108" s="72"/>
      <c r="L108" s="19"/>
      <c r="M108" s="288" t="n">
        <v>199.99</v>
      </c>
      <c r="N108" s="72" t="n">
        <v>1200</v>
      </c>
      <c r="O108" s="72"/>
      <c r="P108" s="72" t="n">
        <v>1500</v>
      </c>
      <c r="Q108" s="72"/>
      <c r="R108" s="19"/>
      <c r="S108" s="19"/>
      <c r="T108" s="19"/>
      <c r="U108" s="19"/>
      <c r="V108" s="19"/>
      <c r="W108" s="19"/>
      <c r="X108" s="19"/>
      <c r="Y108" s="19"/>
      <c r="Z108" s="19" t="s">
        <v>256</v>
      </c>
    </row>
    <row r="109" customFormat="false" ht="18.75" hidden="false" customHeight="true" outlineLevel="0" collapsed="false">
      <c r="A109" s="209"/>
      <c r="B109" s="207"/>
      <c r="C109" s="207"/>
      <c r="D109" s="207"/>
      <c r="E109" s="210"/>
      <c r="F109" s="19"/>
      <c r="G109" s="209"/>
      <c r="H109" s="207"/>
      <c r="I109" s="207"/>
      <c r="J109" s="207"/>
      <c r="K109" s="210"/>
      <c r="L109" s="19"/>
      <c r="M109" s="209"/>
      <c r="N109" s="207"/>
      <c r="O109" s="207"/>
      <c r="P109" s="207"/>
      <c r="Q109" s="210"/>
      <c r="R109" s="19"/>
      <c r="S109" s="19"/>
      <c r="T109" s="19"/>
      <c r="U109" s="19"/>
      <c r="V109" s="19"/>
      <c r="W109" s="19"/>
      <c r="X109" s="19"/>
      <c r="Y109" s="19"/>
      <c r="Z109" s="19" t="s">
        <v>255</v>
      </c>
    </row>
    <row r="110" customFormat="false" ht="18.75" hidden="false" customHeight="true" outlineLevel="0" collapsed="false">
      <c r="A110" s="214" t="s">
        <v>22</v>
      </c>
      <c r="B110" s="19" t="s">
        <v>101</v>
      </c>
      <c r="C110" s="207"/>
      <c r="D110" s="207" t="s">
        <v>112</v>
      </c>
      <c r="E110" s="210"/>
      <c r="F110" s="19"/>
      <c r="G110" s="214" t="s">
        <v>22</v>
      </c>
      <c r="H110" s="19" t="s">
        <v>101</v>
      </c>
      <c r="I110" s="207"/>
      <c r="J110" s="207" t="s">
        <v>112</v>
      </c>
      <c r="K110" s="210"/>
      <c r="L110" s="19"/>
      <c r="M110" s="214" t="s">
        <v>22</v>
      </c>
      <c r="N110" s="19" t="s">
        <v>101</v>
      </c>
      <c r="O110" s="207"/>
      <c r="P110" s="207" t="s">
        <v>112</v>
      </c>
      <c r="Q110" s="210"/>
      <c r="R110" s="19"/>
      <c r="S110" s="19"/>
      <c r="T110" s="19"/>
      <c r="U110" s="19"/>
      <c r="V110" s="19"/>
      <c r="W110" s="19"/>
      <c r="X110" s="19"/>
      <c r="Y110" s="19"/>
      <c r="Z110" s="19" t="s">
        <v>263</v>
      </c>
    </row>
    <row r="111" customFormat="false" ht="18.75" hidden="false" customHeight="true" outlineLevel="0" collapsed="false">
      <c r="A111" s="216" t="s">
        <v>9</v>
      </c>
      <c r="B111" s="289" t="n">
        <v>20</v>
      </c>
      <c r="C111" s="289"/>
      <c r="D111" s="72" t="s">
        <v>264</v>
      </c>
      <c r="E111" s="72"/>
      <c r="F111" s="19"/>
      <c r="G111" s="216" t="s">
        <v>9</v>
      </c>
      <c r="H111" s="289" t="n">
        <v>0.2</v>
      </c>
      <c r="I111" s="289"/>
      <c r="J111" s="72" t="n">
        <v>5000</v>
      </c>
      <c r="K111" s="72"/>
      <c r="L111" s="19"/>
      <c r="M111" s="216" t="s">
        <v>9</v>
      </c>
      <c r="N111" s="289" t="n">
        <v>0.2</v>
      </c>
      <c r="O111" s="289"/>
      <c r="P111" s="72" t="n">
        <v>5000</v>
      </c>
      <c r="Q111" s="72"/>
      <c r="R111" s="19"/>
      <c r="S111" s="19"/>
      <c r="T111" s="19"/>
      <c r="U111" s="19"/>
      <c r="V111" s="19"/>
      <c r="W111" s="19"/>
      <c r="X111" s="19"/>
      <c r="Y111" s="19"/>
      <c r="Z111" s="19" t="s">
        <v>265</v>
      </c>
    </row>
    <row r="112" customFormat="false" ht="18.75" hidden="false" customHeight="true" outlineLevel="0" collapsed="false">
      <c r="A112" s="209"/>
      <c r="B112" s="207"/>
      <c r="C112" s="207"/>
      <c r="D112" s="207" t="s">
        <v>4</v>
      </c>
      <c r="E112" s="210"/>
      <c r="F112" s="19"/>
      <c r="G112" s="209"/>
      <c r="H112" s="207"/>
      <c r="I112" s="207"/>
      <c r="J112" s="207"/>
      <c r="K112" s="210"/>
      <c r="L112" s="19"/>
      <c r="M112" s="209"/>
      <c r="N112" s="207"/>
      <c r="O112" s="207"/>
      <c r="P112" s="207"/>
      <c r="Q112" s="210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8.75" hidden="false" customHeight="true" outlineLevel="0" collapsed="false">
      <c r="A113" s="209"/>
      <c r="B113" s="207"/>
      <c r="C113" s="207"/>
      <c r="D113" s="207"/>
      <c r="E113" s="210"/>
      <c r="F113" s="19"/>
      <c r="G113" s="209"/>
      <c r="H113" s="207"/>
      <c r="I113" s="207"/>
      <c r="J113" s="207"/>
      <c r="K113" s="210"/>
      <c r="L113" s="19"/>
      <c r="M113" s="209"/>
      <c r="N113" s="207" t="s">
        <v>266</v>
      </c>
      <c r="O113" s="216" t="s">
        <v>9</v>
      </c>
      <c r="P113" s="207"/>
      <c r="Q113" s="210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8.75" hidden="false" customHeight="true" outlineLevel="0" collapsed="false">
      <c r="A114" s="211" t="s">
        <v>267</v>
      </c>
      <c r="B114" s="211"/>
      <c r="C114" s="211"/>
      <c r="D114" s="211"/>
      <c r="E114" s="211"/>
      <c r="F114" s="19"/>
      <c r="G114" s="211" t="s">
        <v>267</v>
      </c>
      <c r="H114" s="211"/>
      <c r="I114" s="211"/>
      <c r="J114" s="211"/>
      <c r="K114" s="211"/>
      <c r="L114" s="19"/>
      <c r="M114" s="211" t="s">
        <v>267</v>
      </c>
      <c r="N114" s="211"/>
      <c r="O114" s="211"/>
      <c r="P114" s="211"/>
      <c r="Q114" s="211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8.75" hidden="false" customHeight="true" outlineLevel="0" collapsed="false">
      <c r="A115" s="209"/>
      <c r="B115" s="207"/>
      <c r="C115" s="207"/>
      <c r="D115" s="207"/>
      <c r="E115" s="210"/>
      <c r="F115" s="19"/>
      <c r="G115" s="209"/>
      <c r="H115" s="207"/>
      <c r="I115" s="207"/>
      <c r="J115" s="207"/>
      <c r="K115" s="210"/>
      <c r="L115" s="19"/>
      <c r="M115" s="209"/>
      <c r="N115" s="207"/>
      <c r="O115" s="207"/>
      <c r="P115" s="207"/>
      <c r="Q115" s="210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8.75" hidden="false" customHeight="true" outlineLevel="0" collapsed="false">
      <c r="A116" s="209" t="s">
        <v>268</v>
      </c>
      <c r="B116" s="216" t="s">
        <v>9</v>
      </c>
      <c r="C116" s="207"/>
      <c r="D116" s="207"/>
      <c r="E116" s="210"/>
      <c r="F116" s="19"/>
      <c r="G116" s="209" t="s">
        <v>268</v>
      </c>
      <c r="H116" s="216" t="s">
        <v>9</v>
      </c>
      <c r="I116" s="207"/>
      <c r="J116" s="207"/>
      <c r="K116" s="210"/>
      <c r="L116" s="19"/>
      <c r="M116" s="209" t="s">
        <v>268</v>
      </c>
      <c r="N116" s="216" t="s">
        <v>9</v>
      </c>
      <c r="O116" s="207"/>
      <c r="P116" s="207"/>
      <c r="Q116" s="210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8.75" hidden="false" customHeight="true" outlineLevel="0" collapsed="false">
      <c r="A117" s="209"/>
      <c r="B117" s="207"/>
      <c r="C117" s="207"/>
      <c r="D117" s="207"/>
      <c r="E117" s="210"/>
      <c r="F117" s="19"/>
      <c r="G117" s="209"/>
      <c r="H117" s="207"/>
      <c r="I117" s="207"/>
      <c r="J117" s="207"/>
      <c r="K117" s="210"/>
      <c r="L117" s="19"/>
      <c r="M117" s="209"/>
      <c r="N117" s="207"/>
      <c r="O117" s="207"/>
      <c r="P117" s="207"/>
      <c r="Q117" s="210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8.75" hidden="false" customHeight="true" outlineLevel="0" collapsed="false">
      <c r="A118" s="209" t="s">
        <v>146</v>
      </c>
      <c r="B118" s="207"/>
      <c r="C118" s="207"/>
      <c r="D118" s="288" t="n">
        <v>10000</v>
      </c>
      <c r="E118" s="72" t="n">
        <v>6000</v>
      </c>
      <c r="F118" s="19"/>
      <c r="G118" s="209" t="s">
        <v>146</v>
      </c>
      <c r="H118" s="207"/>
      <c r="I118" s="207"/>
      <c r="J118" s="288" t="n">
        <v>10000</v>
      </c>
      <c r="K118" s="72" t="n">
        <v>5000</v>
      </c>
      <c r="L118" s="19"/>
      <c r="M118" s="209" t="s">
        <v>146</v>
      </c>
      <c r="N118" s="207"/>
      <c r="O118" s="207"/>
      <c r="P118" s="288" t="n">
        <v>10000</v>
      </c>
      <c r="Q118" s="72" t="n">
        <v>5000</v>
      </c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8.75" hidden="false" customHeight="true" outlineLevel="0" collapsed="false">
      <c r="A119" s="209" t="s">
        <v>147</v>
      </c>
      <c r="B119" s="207"/>
      <c r="C119" s="207"/>
      <c r="D119" s="38" t="n">
        <f aca="false">E119</f>
        <v>2000</v>
      </c>
      <c r="E119" s="72" t="n">
        <v>2000</v>
      </c>
      <c r="F119" s="19"/>
      <c r="G119" s="209" t="s">
        <v>147</v>
      </c>
      <c r="H119" s="207"/>
      <c r="I119" s="207"/>
      <c r="J119" s="38" t="n">
        <f aca="false">K119</f>
        <v>7000</v>
      </c>
      <c r="K119" s="72" t="n">
        <v>7000</v>
      </c>
      <c r="L119" s="19"/>
      <c r="M119" s="209" t="s">
        <v>147</v>
      </c>
      <c r="N119" s="207"/>
      <c r="O119" s="207"/>
      <c r="P119" s="38" t="n">
        <f aca="false">Q119</f>
        <v>7000</v>
      </c>
      <c r="Q119" s="72" t="n">
        <v>7000</v>
      </c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8.75" hidden="false" customHeight="true" outlineLevel="0" collapsed="false">
      <c r="A120" s="209" t="s">
        <v>148</v>
      </c>
      <c r="B120" s="207"/>
      <c r="C120" s="207"/>
      <c r="D120" s="38" t="n">
        <f aca="false">D118-D119</f>
        <v>8000</v>
      </c>
      <c r="E120" s="163" t="n">
        <f aca="false">E118-E119</f>
        <v>4000</v>
      </c>
      <c r="F120" s="19"/>
      <c r="G120" s="209" t="s">
        <v>148</v>
      </c>
      <c r="H120" s="207"/>
      <c r="I120" s="207"/>
      <c r="J120" s="38" t="n">
        <f aca="false">J118-J119</f>
        <v>3000</v>
      </c>
      <c r="K120" s="163" t="n">
        <f aca="false">K118-K119</f>
        <v>-2000</v>
      </c>
      <c r="L120" s="19"/>
      <c r="M120" s="209" t="s">
        <v>148</v>
      </c>
      <c r="N120" s="207"/>
      <c r="O120" s="207"/>
      <c r="P120" s="38" t="n">
        <f aca="false">P118-P119</f>
        <v>3000</v>
      </c>
      <c r="Q120" s="163" t="n">
        <f aca="false">Q118-Q119</f>
        <v>-2000</v>
      </c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8.75" hidden="false" customHeight="true" outlineLevel="0" collapsed="false">
      <c r="A121" s="209" t="s">
        <v>149</v>
      </c>
      <c r="B121" s="207"/>
      <c r="C121" s="207"/>
      <c r="D121" s="38" t="n">
        <f aca="false">D120-E120</f>
        <v>4000</v>
      </c>
      <c r="E121" s="210"/>
      <c r="F121" s="19"/>
      <c r="G121" s="209" t="s">
        <v>149</v>
      </c>
      <c r="H121" s="207"/>
      <c r="I121" s="207"/>
      <c r="J121" s="38" t="n">
        <f aca="false">J120-K120</f>
        <v>5000</v>
      </c>
      <c r="K121" s="210"/>
      <c r="L121" s="19"/>
      <c r="M121" s="209" t="s">
        <v>149</v>
      </c>
      <c r="N121" s="207"/>
      <c r="O121" s="207"/>
      <c r="P121" s="38" t="n">
        <f aca="false">P120-Q120</f>
        <v>5000</v>
      </c>
      <c r="Q121" s="210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8.75" hidden="false" customHeight="true" outlineLevel="0" collapsed="false">
      <c r="A122" s="209"/>
      <c r="B122" s="207"/>
      <c r="C122" s="207"/>
      <c r="D122" s="207"/>
      <c r="E122" s="210"/>
      <c r="F122" s="19"/>
      <c r="G122" s="209"/>
      <c r="H122" s="207"/>
      <c r="I122" s="207"/>
      <c r="J122" s="207"/>
      <c r="K122" s="210"/>
      <c r="L122" s="19"/>
      <c r="M122" s="209"/>
      <c r="N122" s="207"/>
      <c r="O122" s="207"/>
      <c r="P122" s="207"/>
      <c r="Q122" s="210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8.75" hidden="false" customHeight="true" outlineLevel="0" collapsed="false">
      <c r="A123" s="255" t="s">
        <v>108</v>
      </c>
      <c r="B123" s="256"/>
      <c r="C123" s="256"/>
      <c r="D123" s="256"/>
      <c r="E123" s="137" t="n">
        <f aca="false">D105</f>
        <v>1000</v>
      </c>
      <c r="F123" s="19"/>
      <c r="G123" s="255" t="s">
        <v>108</v>
      </c>
      <c r="H123" s="256"/>
      <c r="I123" s="256"/>
      <c r="J123" s="256"/>
      <c r="K123" s="137" t="n">
        <f aca="false">J105</f>
        <v>5000</v>
      </c>
      <c r="L123" s="19"/>
      <c r="M123" s="255" t="s">
        <v>108</v>
      </c>
      <c r="N123" s="256"/>
      <c r="O123" s="256"/>
      <c r="P123" s="256"/>
      <c r="Q123" s="137" t="n">
        <f aca="false">P105</f>
        <v>0</v>
      </c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8.75" hidden="false" customHeight="true" outlineLevel="0" collapsed="false">
      <c r="A124" s="209" t="s">
        <v>152</v>
      </c>
      <c r="B124" s="207"/>
      <c r="C124" s="207"/>
      <c r="D124" s="207"/>
      <c r="E124" s="273" t="n">
        <f aca="false">A108</f>
        <v>199.99</v>
      </c>
      <c r="F124" s="19"/>
      <c r="G124" s="209" t="s">
        <v>152</v>
      </c>
      <c r="H124" s="207"/>
      <c r="I124" s="207"/>
      <c r="J124" s="207"/>
      <c r="K124" s="273" t="n">
        <f aca="false">G108</f>
        <v>239.988</v>
      </c>
      <c r="L124" s="19"/>
      <c r="M124" s="209" t="s">
        <v>152</v>
      </c>
      <c r="N124" s="207"/>
      <c r="O124" s="207"/>
      <c r="P124" s="207"/>
      <c r="Q124" s="273" t="n">
        <f aca="false">M108</f>
        <v>199.99</v>
      </c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8.75" hidden="false" customHeight="true" outlineLevel="0" collapsed="false">
      <c r="A125" s="290" t="s">
        <v>269</v>
      </c>
      <c r="B125" s="253"/>
      <c r="C125" s="253"/>
      <c r="D125" s="253"/>
      <c r="E125" s="139" t="n">
        <f aca="false">(E124+E123)-E120</f>
        <v>-2800.01</v>
      </c>
      <c r="F125" s="19"/>
      <c r="G125" s="290" t="s">
        <v>269</v>
      </c>
      <c r="H125" s="253"/>
      <c r="I125" s="253"/>
      <c r="J125" s="253"/>
      <c r="K125" s="139" t="n">
        <f aca="false">(K124+K123)-K120</f>
        <v>7239.988</v>
      </c>
      <c r="L125" s="19"/>
      <c r="M125" s="290" t="s">
        <v>269</v>
      </c>
      <c r="N125" s="253"/>
      <c r="O125" s="253"/>
      <c r="P125" s="253"/>
      <c r="Q125" s="139" t="n">
        <f aca="false">(Q124+Q123)-Q120</f>
        <v>2199.99</v>
      </c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8.75" hidden="false" customHeight="true" outlineLevel="0" collapsed="false">
      <c r="A126" s="209"/>
      <c r="B126" s="207"/>
      <c r="C126" s="207"/>
      <c r="D126" s="207"/>
      <c r="E126" s="210"/>
      <c r="F126" s="19"/>
      <c r="G126" s="209"/>
      <c r="H126" s="207"/>
      <c r="I126" s="207"/>
      <c r="J126" s="207"/>
      <c r="K126" s="210"/>
      <c r="L126" s="19"/>
      <c r="M126" s="209"/>
      <c r="N126" s="207"/>
      <c r="O126" s="207"/>
      <c r="P126" s="207"/>
      <c r="Q126" s="210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8.75" hidden="false" customHeight="true" outlineLevel="0" collapsed="false">
      <c r="A127" s="209"/>
      <c r="B127" s="207"/>
      <c r="C127" s="207"/>
      <c r="D127" s="207"/>
      <c r="E127" s="210"/>
      <c r="F127" s="19"/>
      <c r="G127" s="209"/>
      <c r="H127" s="207"/>
      <c r="I127" s="207"/>
      <c r="J127" s="207"/>
      <c r="K127" s="210"/>
      <c r="L127" s="19"/>
      <c r="M127" s="209"/>
      <c r="N127" s="207"/>
      <c r="O127" s="207"/>
      <c r="P127" s="207"/>
      <c r="Q127" s="210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8.75" hidden="false" customHeight="true" outlineLevel="0" collapsed="false">
      <c r="A128" s="211" t="s">
        <v>270</v>
      </c>
      <c r="B128" s="211"/>
      <c r="C128" s="211"/>
      <c r="D128" s="211"/>
      <c r="E128" s="211"/>
      <c r="F128" s="19"/>
      <c r="G128" s="211" t="s">
        <v>270</v>
      </c>
      <c r="H128" s="211"/>
      <c r="I128" s="211"/>
      <c r="J128" s="211"/>
      <c r="K128" s="211"/>
      <c r="L128" s="19"/>
      <c r="M128" s="211" t="s">
        <v>270</v>
      </c>
      <c r="N128" s="211"/>
      <c r="O128" s="211"/>
      <c r="P128" s="211"/>
      <c r="Q128" s="211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8.75" hidden="false" customHeight="true" outlineLevel="0" collapsed="false">
      <c r="A129" s="291"/>
      <c r="B129" s="292"/>
      <c r="C129" s="292"/>
      <c r="D129" s="292"/>
      <c r="E129" s="293"/>
      <c r="F129" s="19"/>
      <c r="G129" s="209"/>
      <c r="H129" s="207"/>
      <c r="I129" s="207"/>
      <c r="J129" s="207"/>
      <c r="K129" s="210"/>
      <c r="L129" s="19"/>
      <c r="M129" s="209"/>
      <c r="N129" s="207"/>
      <c r="O129" s="207"/>
      <c r="P129" s="207"/>
      <c r="Q129" s="210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8.75" hidden="false" customHeight="true" outlineLevel="0" collapsed="false">
      <c r="A130" s="294" t="s">
        <v>98</v>
      </c>
      <c r="B130" s="295" t="n">
        <v>0</v>
      </c>
      <c r="C130" s="296"/>
      <c r="D130" s="295" t="s">
        <v>33</v>
      </c>
      <c r="E130" s="297"/>
      <c r="F130" s="19"/>
      <c r="G130" s="209" t="s">
        <v>29</v>
      </c>
      <c r="H130" s="168" t="n">
        <v>0</v>
      </c>
      <c r="I130" s="168"/>
      <c r="J130" s="207"/>
      <c r="K130" s="210"/>
      <c r="L130" s="19"/>
      <c r="M130" s="209" t="s">
        <v>29</v>
      </c>
      <c r="N130" s="168" t="n">
        <v>0</v>
      </c>
      <c r="O130" s="168"/>
      <c r="P130" s="207"/>
      <c r="Q130" s="210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8.75" hidden="false" customHeight="true" outlineLevel="0" collapsed="false">
      <c r="A131" s="298" t="s">
        <v>254</v>
      </c>
      <c r="B131" s="299" t="n">
        <f aca="false">A167</f>
        <v>12</v>
      </c>
      <c r="C131" s="300"/>
      <c r="D131" s="299" t="n">
        <f aca="false">B166</f>
        <v>5000</v>
      </c>
      <c r="E131" s="297"/>
      <c r="F131" s="19"/>
      <c r="G131" s="209"/>
      <c r="H131" s="207"/>
      <c r="I131" s="207"/>
      <c r="J131" s="207"/>
      <c r="K131" s="210"/>
      <c r="L131" s="19"/>
      <c r="M131" s="209"/>
      <c r="N131" s="207"/>
      <c r="O131" s="207"/>
      <c r="P131" s="207"/>
      <c r="Q131" s="210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8.75" hidden="false" customHeight="true" outlineLevel="0" collapsed="false">
      <c r="A132" s="294"/>
      <c r="B132" s="295"/>
      <c r="C132" s="295"/>
      <c r="D132" s="295"/>
      <c r="E132" s="297"/>
      <c r="F132" s="19"/>
      <c r="G132" s="209" t="s">
        <v>28</v>
      </c>
      <c r="H132" s="207" t="s">
        <v>33</v>
      </c>
      <c r="I132" s="207"/>
      <c r="J132" s="207" t="s">
        <v>60</v>
      </c>
      <c r="K132" s="210"/>
      <c r="L132" s="19"/>
      <c r="M132" s="209" t="s">
        <v>28</v>
      </c>
      <c r="N132" s="207" t="s">
        <v>33</v>
      </c>
      <c r="O132" s="207"/>
      <c r="P132" s="207" t="s">
        <v>60</v>
      </c>
      <c r="Q132" s="210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8.75" hidden="false" customHeight="true" outlineLevel="0" collapsed="false">
      <c r="A133" s="294" t="s">
        <v>92</v>
      </c>
      <c r="B133" s="295" t="s">
        <v>271</v>
      </c>
      <c r="C133" s="296"/>
      <c r="D133" s="295" t="s">
        <v>272</v>
      </c>
      <c r="E133" s="297"/>
      <c r="F133" s="19"/>
      <c r="G133" s="222" t="n">
        <f aca="false">G158</f>
        <v>12</v>
      </c>
      <c r="H133" s="174" t="n">
        <f aca="false">B157</f>
        <v>0</v>
      </c>
      <c r="I133" s="223"/>
      <c r="J133" s="174" t="n">
        <f aca="false">B64</f>
        <v>3</v>
      </c>
      <c r="K133" s="210"/>
      <c r="L133" s="19"/>
      <c r="M133" s="222" t="n">
        <f aca="false">M161</f>
        <v>12</v>
      </c>
      <c r="N133" s="174" t="n">
        <f aca="false">B157</f>
        <v>0</v>
      </c>
      <c r="O133" s="223"/>
      <c r="P133" s="174" t="n">
        <f aca="false">B64</f>
        <v>3</v>
      </c>
      <c r="Q133" s="210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8.75" hidden="false" customHeight="true" outlineLevel="0" collapsed="false">
      <c r="A134" s="298" t="n">
        <f aca="false">B96</f>
        <v>623.925698086146</v>
      </c>
      <c r="B134" s="296" t="n">
        <f aca="false">IF(A111="YES", B95, 0)</f>
        <v>72</v>
      </c>
      <c r="C134" s="301"/>
      <c r="D134" s="296" t="n">
        <f aca="false">B97</f>
        <v>695.925698086146</v>
      </c>
      <c r="E134" s="297"/>
      <c r="F134" s="19"/>
      <c r="G134" s="209"/>
      <c r="H134" s="207"/>
      <c r="I134" s="207"/>
      <c r="J134" s="207"/>
      <c r="K134" s="210"/>
      <c r="L134" s="19"/>
      <c r="M134" s="209"/>
      <c r="N134" s="207"/>
      <c r="O134" s="207"/>
      <c r="P134" s="207"/>
      <c r="Q134" s="210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8.75" hidden="false" customHeight="true" outlineLevel="0" collapsed="false">
      <c r="A135" s="291"/>
      <c r="B135" s="292"/>
      <c r="C135" s="292"/>
      <c r="D135" s="292"/>
      <c r="E135" s="293"/>
      <c r="F135" s="19"/>
      <c r="G135" s="302" t="s">
        <v>273</v>
      </c>
      <c r="H135" s="303" t="s">
        <v>274</v>
      </c>
      <c r="I135" s="303"/>
      <c r="J135" s="303" t="s">
        <v>275</v>
      </c>
      <c r="K135" s="210"/>
      <c r="L135" s="19"/>
      <c r="M135" s="302" t="s">
        <v>276</v>
      </c>
      <c r="N135" s="303" t="s">
        <v>227</v>
      </c>
      <c r="O135" s="303"/>
      <c r="P135" s="303" t="s">
        <v>93</v>
      </c>
      <c r="Q135" s="210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8.75" hidden="false" customHeight="true" outlineLevel="0" collapsed="false">
      <c r="A136" s="304" t="s">
        <v>23</v>
      </c>
      <c r="B136" s="305" t="s">
        <v>277</v>
      </c>
      <c r="C136" s="306"/>
      <c r="D136" s="305" t="s">
        <v>278</v>
      </c>
      <c r="E136" s="293"/>
      <c r="F136" s="19"/>
      <c r="G136" s="307" t="e">
        <f aca="false">H96</f>
        <v>#DIV/0!</v>
      </c>
      <c r="H136" s="172" t="e">
        <f aca="false">IF(G111="YES", H95*H63, 0)</f>
        <v>#DIV/0!</v>
      </c>
      <c r="I136" s="172"/>
      <c r="J136" s="308" t="e">
        <f aca="false">H97</f>
        <v>#DIV/0!</v>
      </c>
      <c r="K136" s="210"/>
      <c r="L136" s="19"/>
      <c r="M136" s="307" t="e">
        <f aca="false">N96</f>
        <v>#DIV/0!</v>
      </c>
      <c r="N136" s="172" t="e">
        <f aca="false">IF(M111="YES", N95*N63, 0)</f>
        <v>#DIV/0!</v>
      </c>
      <c r="O136" s="172"/>
      <c r="P136" s="172" t="e">
        <f aca="false">N97</f>
        <v>#DIV/0!</v>
      </c>
      <c r="Q136" s="210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8.75" hidden="false" customHeight="true" outlineLevel="0" collapsed="false">
      <c r="A137" s="309" t="str">
        <f aca="false">B105</f>
        <v>Terminal pause with 9 down</v>
      </c>
      <c r="B137" s="201" t="n">
        <f aca="false">B96*B63</f>
        <v>5615.33128277531</v>
      </c>
      <c r="C137" s="292"/>
      <c r="D137" s="201" t="n">
        <f aca="false">IF(A111="YES", B95*B63, 0)</f>
        <v>648</v>
      </c>
      <c r="E137" s="293"/>
      <c r="F137" s="19"/>
      <c r="G137" s="209"/>
      <c r="H137" s="207"/>
      <c r="I137" s="207"/>
      <c r="J137" s="207"/>
      <c r="K137" s="210"/>
      <c r="L137" s="19"/>
      <c r="M137" s="209"/>
      <c r="N137" s="207"/>
      <c r="O137" s="207"/>
      <c r="P137" s="207"/>
      <c r="Q137" s="210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8.75" hidden="false" customHeight="true" outlineLevel="0" collapsed="false">
      <c r="A138" s="291"/>
      <c r="B138" s="292"/>
      <c r="C138" s="292"/>
      <c r="D138" s="292"/>
      <c r="E138" s="293"/>
      <c r="F138" s="19"/>
      <c r="G138" s="209" t="s">
        <v>279</v>
      </c>
      <c r="H138" s="207" t="s">
        <v>280</v>
      </c>
      <c r="I138" s="207"/>
      <c r="J138" s="207" t="s">
        <v>281</v>
      </c>
      <c r="K138" s="210"/>
      <c r="L138" s="19"/>
      <c r="M138" s="209" t="s">
        <v>282</v>
      </c>
      <c r="N138" s="207" t="s">
        <v>216</v>
      </c>
      <c r="O138" s="207"/>
      <c r="P138" s="207" t="s">
        <v>220</v>
      </c>
      <c r="Q138" s="210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8.75" hidden="false" customHeight="true" outlineLevel="0" collapsed="false">
      <c r="A139" s="123" t="s">
        <v>283</v>
      </c>
      <c r="B139" s="200" t="s">
        <v>284</v>
      </c>
      <c r="C139" s="310"/>
      <c r="D139" s="240" t="s">
        <v>177</v>
      </c>
      <c r="E139" s="293"/>
      <c r="F139" s="19"/>
      <c r="G139" s="69" t="e">
        <f aca="false">H96*H63</f>
        <v>#DIV/0!</v>
      </c>
      <c r="H139" s="37" t="e">
        <f aca="false">IF(G111="YES", H95*H63, 0)</f>
        <v>#DIV/0!</v>
      </c>
      <c r="I139" s="215"/>
      <c r="J139" s="37" t="e">
        <f aca="false">H97*H63</f>
        <v>#DIV/0!</v>
      </c>
      <c r="K139" s="210"/>
      <c r="L139" s="19"/>
      <c r="M139" s="69" t="e">
        <f aca="false">N96*N63</f>
        <v>#DIV/0!</v>
      </c>
      <c r="N139" s="37" t="e">
        <f aca="false">IF(M111="YES", N95*N63, 0)</f>
        <v>#DIV/0!</v>
      </c>
      <c r="O139" s="215"/>
      <c r="P139" s="232" t="e">
        <f aca="false">N97*N63</f>
        <v>#DIV/0!</v>
      </c>
      <c r="Q139" s="210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8.75" hidden="false" customHeight="true" outlineLevel="0" collapsed="false">
      <c r="A140" s="70" t="n">
        <f aca="false">B97*B63</f>
        <v>6263.33128277531</v>
      </c>
      <c r="B140" s="201" t="n">
        <f aca="false">E120</f>
        <v>4000</v>
      </c>
      <c r="C140" s="292"/>
      <c r="D140" s="311" t="n">
        <f aca="false">B64</f>
        <v>3</v>
      </c>
      <c r="E140" s="293"/>
      <c r="F140" s="19"/>
      <c r="G140" s="209"/>
      <c r="H140" s="207"/>
      <c r="I140" s="207"/>
      <c r="J140" s="207"/>
      <c r="K140" s="210"/>
      <c r="L140" s="19"/>
      <c r="M140" s="209"/>
      <c r="N140" s="207"/>
      <c r="O140" s="207"/>
      <c r="P140" s="207"/>
      <c r="Q140" s="210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8.75" hidden="false" customHeight="true" outlineLevel="0" collapsed="false">
      <c r="A141" s="70"/>
      <c r="B141" s="312"/>
      <c r="C141" s="292"/>
      <c r="D141" s="292"/>
      <c r="E141" s="293"/>
      <c r="F141" s="19"/>
      <c r="G141" s="209" t="s">
        <v>285</v>
      </c>
      <c r="H141" s="207" t="s">
        <v>286</v>
      </c>
      <c r="I141" s="207"/>
      <c r="J141" s="207" t="s">
        <v>287</v>
      </c>
      <c r="K141" s="210"/>
      <c r="L141" s="19"/>
      <c r="M141" s="209" t="s">
        <v>229</v>
      </c>
      <c r="N141" s="207" t="s">
        <v>230</v>
      </c>
      <c r="O141" s="207"/>
      <c r="P141" s="207" t="s">
        <v>235</v>
      </c>
      <c r="Q141" s="210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8.75" hidden="false" customHeight="true" outlineLevel="0" collapsed="false">
      <c r="A142" s="78" t="s">
        <v>92</v>
      </c>
      <c r="B142" s="313" t="s">
        <v>271</v>
      </c>
      <c r="C142" s="292"/>
      <c r="D142" s="292" t="s">
        <v>272</v>
      </c>
      <c r="E142" s="293"/>
      <c r="F142" s="19"/>
      <c r="G142" s="70" t="n">
        <f aca="false">E15*0.000006</f>
        <v>0.35115</v>
      </c>
      <c r="H142" s="37" t="n">
        <f aca="false">IF(G111="YES", E15*0.000002, 0)</f>
        <v>0.11705</v>
      </c>
      <c r="I142" s="37"/>
      <c r="J142" s="37" t="n">
        <f aca="false">G142+H142</f>
        <v>0.4682</v>
      </c>
      <c r="K142" s="177"/>
      <c r="L142" s="19"/>
      <c r="M142" s="70" t="n">
        <f aca="false">E15*0.000006</f>
        <v>0.35115</v>
      </c>
      <c r="N142" s="37" t="n">
        <f aca="false">IF(M111="YES", E15*0.000002, 0)</f>
        <v>0.11705</v>
      </c>
      <c r="O142" s="37"/>
      <c r="P142" s="37" t="n">
        <f aca="false">M142+N142</f>
        <v>0.4682</v>
      </c>
      <c r="Q142" s="177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8.75" hidden="false" customHeight="true" outlineLevel="0" collapsed="false">
      <c r="A143" s="70" t="n">
        <f aca="false">B96</f>
        <v>623.925698086146</v>
      </c>
      <c r="B143" s="201" t="n">
        <f aca="false">IF(A111="YES", B95, 0)</f>
        <v>72</v>
      </c>
      <c r="C143" s="292"/>
      <c r="D143" s="201" t="n">
        <f aca="false">B97</f>
        <v>695.925698086146</v>
      </c>
      <c r="E143" s="293"/>
      <c r="F143" s="19"/>
      <c r="G143" s="209"/>
      <c r="H143" s="207"/>
      <c r="I143" s="207"/>
      <c r="J143" s="207"/>
      <c r="K143" s="210"/>
      <c r="L143" s="19"/>
      <c r="M143" s="209"/>
      <c r="N143" s="207"/>
      <c r="O143" s="207"/>
      <c r="P143" s="207"/>
      <c r="Q143" s="210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8.75" hidden="false" customHeight="true" outlineLevel="0" collapsed="false">
      <c r="A144" s="291"/>
      <c r="B144" s="292"/>
      <c r="C144" s="292"/>
      <c r="D144" s="292"/>
      <c r="E144" s="293"/>
      <c r="F144" s="19"/>
      <c r="G144" s="209" t="s">
        <v>288</v>
      </c>
      <c r="H144" s="207" t="s">
        <v>289</v>
      </c>
      <c r="I144" s="207"/>
      <c r="J144" s="207" t="s">
        <v>290</v>
      </c>
      <c r="K144" s="210"/>
      <c r="L144" s="19"/>
      <c r="M144" s="209" t="s">
        <v>111</v>
      </c>
      <c r="N144" s="207" t="s">
        <v>289</v>
      </c>
      <c r="O144" s="207"/>
      <c r="P144" s="207" t="s">
        <v>290</v>
      </c>
      <c r="Q144" s="210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8.75" hidden="false" customHeight="true" outlineLevel="0" collapsed="false">
      <c r="A145" s="314" t="s">
        <v>180</v>
      </c>
      <c r="B145" s="315" t="s">
        <v>291</v>
      </c>
      <c r="C145" s="201"/>
      <c r="D145" s="315" t="s">
        <v>182</v>
      </c>
      <c r="E145" s="177"/>
      <c r="F145" s="19"/>
      <c r="G145" s="70" t="n">
        <f aca="false">G108</f>
        <v>239.988</v>
      </c>
      <c r="H145" s="37" t="n">
        <f aca="false">H73/1.2</f>
        <v>241.1875</v>
      </c>
      <c r="I145" s="37"/>
      <c r="J145" s="37" t="n">
        <f aca="false">H108*0.9</f>
        <v>1080</v>
      </c>
      <c r="K145" s="177"/>
      <c r="L145" s="19"/>
      <c r="M145" s="70" t="n">
        <f aca="false">M108</f>
        <v>199.99</v>
      </c>
      <c r="N145" s="37" t="n">
        <f aca="false">N73/1.2</f>
        <v>241.1875</v>
      </c>
      <c r="O145" s="37"/>
      <c r="P145" s="37" t="n">
        <f aca="false">N108*0.9</f>
        <v>1080</v>
      </c>
      <c r="Q145" s="177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8.75" hidden="false" customHeight="true" outlineLevel="0" collapsed="false">
      <c r="A146" s="316" t="n">
        <f aca="false">(G18*0.000006)*1.2*100</f>
        <v>41.6772</v>
      </c>
      <c r="B146" s="317" t="n">
        <f aca="false">G18*0.000002 *1.2*100</f>
        <v>13.8924</v>
      </c>
      <c r="C146" s="292"/>
      <c r="D146" s="317" t="n">
        <f aca="false">A146+B146</f>
        <v>55.5696</v>
      </c>
      <c r="E146" s="293"/>
      <c r="F146" s="19"/>
      <c r="G146" s="209"/>
      <c r="H146" s="207"/>
      <c r="I146" s="207"/>
      <c r="J146" s="207"/>
      <c r="K146" s="210"/>
      <c r="L146" s="19"/>
      <c r="M146" s="209"/>
      <c r="N146" s="207"/>
      <c r="O146" s="207"/>
      <c r="P146" s="207"/>
      <c r="Q146" s="210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8.75" hidden="false" customHeight="true" outlineLevel="0" collapsed="false">
      <c r="A147" s="316"/>
      <c r="B147" s="317"/>
      <c r="C147" s="292"/>
      <c r="D147" s="317"/>
      <c r="E147" s="293"/>
      <c r="F147" s="19"/>
      <c r="G147" s="209" t="s">
        <v>292</v>
      </c>
      <c r="H147" s="207" t="s">
        <v>293</v>
      </c>
      <c r="I147" s="207"/>
      <c r="J147" s="207" t="s">
        <v>294</v>
      </c>
      <c r="K147" s="210"/>
      <c r="L147" s="19"/>
      <c r="M147" s="209" t="s">
        <v>292</v>
      </c>
      <c r="N147" s="207" t="s">
        <v>293</v>
      </c>
      <c r="O147" s="207"/>
      <c r="P147" s="207" t="s">
        <v>294</v>
      </c>
      <c r="Q147" s="210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8.75" hidden="false" customHeight="true" outlineLevel="0" collapsed="false">
      <c r="A148" s="314" t="s">
        <v>295</v>
      </c>
      <c r="B148" s="315" t="s">
        <v>152</v>
      </c>
      <c r="C148" s="201"/>
      <c r="D148" s="315" t="s">
        <v>246</v>
      </c>
      <c r="E148" s="293"/>
      <c r="F148" s="19"/>
      <c r="G148" s="70" t="n">
        <f aca="false">IF(G111="YES", ((A41*H111)*0.1)*(G133), 0)</f>
        <v>14.4</v>
      </c>
      <c r="H148" s="37" t="n">
        <f aca="false">G108-100</f>
        <v>139.988</v>
      </c>
      <c r="I148" s="37"/>
      <c r="J148" s="37" t="n">
        <f aca="false">(H145+J145+G148+H148)-H151</f>
        <v>1475.5755</v>
      </c>
      <c r="K148" s="177"/>
      <c r="L148" s="19"/>
      <c r="M148" s="70" t="n">
        <f aca="false">IF(M111="YES", ((A41*N111)*0.1)*(M133), 0)</f>
        <v>14.4</v>
      </c>
      <c r="N148" s="37" t="n">
        <f aca="false">M108-100</f>
        <v>99.99</v>
      </c>
      <c r="O148" s="37"/>
      <c r="P148" s="37" t="n">
        <f aca="false">(N145+P145+M148+N148)-N151</f>
        <v>1435.5775</v>
      </c>
      <c r="Q148" s="177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8.75" hidden="false" customHeight="true" outlineLevel="0" collapsed="false">
      <c r="A149" s="70" t="n">
        <v>0</v>
      </c>
      <c r="B149" s="201" t="n">
        <f aca="false">E124</f>
        <v>199.99</v>
      </c>
      <c r="C149" s="292"/>
      <c r="D149" s="152" t="n">
        <f aca="false">B108</f>
        <v>400</v>
      </c>
      <c r="E149" s="293"/>
      <c r="F149" s="19"/>
      <c r="G149" s="209"/>
      <c r="H149" s="207"/>
      <c r="I149" s="207"/>
      <c r="J149" s="207"/>
      <c r="K149" s="210"/>
      <c r="L149" s="19"/>
      <c r="M149" s="209"/>
      <c r="N149" s="207"/>
      <c r="O149" s="207"/>
      <c r="P149" s="207"/>
      <c r="Q149" s="210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8.75" hidden="false" customHeight="true" outlineLevel="0" collapsed="false">
      <c r="A150" s="70"/>
      <c r="B150" s="201"/>
      <c r="C150" s="292"/>
      <c r="D150" s="201"/>
      <c r="E150" s="293"/>
      <c r="F150" s="19"/>
      <c r="G150" s="209" t="s">
        <v>296</v>
      </c>
      <c r="H150" s="207" t="s">
        <v>297</v>
      </c>
      <c r="I150" s="207"/>
      <c r="J150" s="207"/>
      <c r="K150" s="210"/>
      <c r="L150" s="19"/>
      <c r="M150" s="209" t="s">
        <v>296</v>
      </c>
      <c r="N150" s="207" t="s">
        <v>297</v>
      </c>
      <c r="O150" s="207"/>
      <c r="P150" s="207"/>
      <c r="Q150" s="210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8.75" hidden="false" customHeight="true" outlineLevel="0" collapsed="false">
      <c r="A151" s="318" t="s">
        <v>298</v>
      </c>
      <c r="B151" s="319"/>
      <c r="C151" s="320"/>
      <c r="D151" s="319"/>
      <c r="E151" s="321"/>
      <c r="F151" s="19"/>
      <c r="G151" s="70" t="n">
        <f aca="false">IF((1200-H108) &lt;= 0, 0, (1200-H108))</f>
        <v>0</v>
      </c>
      <c r="H151" s="37" t="n">
        <f aca="false">(H145+J145+G148+H148)*(G151/H70)</f>
        <v>0</v>
      </c>
      <c r="I151" s="207"/>
      <c r="J151" s="207"/>
      <c r="K151" s="210"/>
      <c r="L151" s="19"/>
      <c r="M151" s="70" t="n">
        <f aca="false">IF((1200-N108) &lt;= 0, 0, (1200-N108))</f>
        <v>0</v>
      </c>
      <c r="N151" s="37" t="n">
        <f aca="false">(N145+P145+M148+N148)*(M151/N70)</f>
        <v>0</v>
      </c>
      <c r="O151" s="207"/>
      <c r="P151" s="207"/>
      <c r="Q151" s="210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8.75" hidden="false" customHeight="true" outlineLevel="0" collapsed="false">
      <c r="A152" s="316"/>
      <c r="B152" s="317"/>
      <c r="C152" s="292"/>
      <c r="D152" s="317"/>
      <c r="E152" s="293"/>
      <c r="F152" s="19"/>
      <c r="G152" s="209"/>
      <c r="H152" s="207"/>
      <c r="I152" s="207"/>
      <c r="J152" s="207"/>
      <c r="K152" s="210"/>
      <c r="L152" s="19"/>
      <c r="M152" s="70"/>
      <c r="N152" s="37"/>
      <c r="O152" s="207"/>
      <c r="P152" s="207"/>
      <c r="Q152" s="210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8.75" hidden="false" customHeight="true" outlineLevel="0" collapsed="false">
      <c r="A153" s="291" t="s">
        <v>299</v>
      </c>
      <c r="B153" s="292" t="s">
        <v>300</v>
      </c>
      <c r="C153" s="292"/>
      <c r="D153" s="292" t="s">
        <v>301</v>
      </c>
      <c r="E153" s="293"/>
      <c r="F153" s="19"/>
      <c r="G153" s="209"/>
      <c r="H153" s="207"/>
      <c r="I153" s="207"/>
      <c r="J153" s="207"/>
      <c r="K153" s="210"/>
      <c r="L153" s="19"/>
      <c r="M153" s="78" t="s">
        <v>302</v>
      </c>
      <c r="N153" s="38" t="s">
        <v>303</v>
      </c>
      <c r="O153" s="207"/>
      <c r="P153" s="207"/>
      <c r="Q153" s="210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8.75" hidden="false" customHeight="true" outlineLevel="0" collapsed="false">
      <c r="A154" s="70" t="n">
        <f aca="false">B73</f>
        <v>578.85</v>
      </c>
      <c r="B154" s="37" t="n">
        <f aca="false">B108</f>
        <v>400</v>
      </c>
      <c r="C154" s="201"/>
      <c r="D154" s="201" t="n">
        <f aca="false">IF(A111="YES", (A41/100*B111)*B131, 0)*0.1</f>
        <v>14.4</v>
      </c>
      <c r="E154" s="177"/>
      <c r="F154" s="19"/>
      <c r="G154" s="243" t="s">
        <v>304</v>
      </c>
      <c r="H154" s="207"/>
      <c r="I154" s="207"/>
      <c r="J154" s="244"/>
      <c r="K154" s="245"/>
      <c r="L154" s="19"/>
      <c r="M154" s="322" t="n">
        <f aca="false">H40</f>
        <v>0</v>
      </c>
      <c r="N154" s="323" t="n">
        <v>0.99</v>
      </c>
      <c r="O154" s="323"/>
      <c r="P154" s="207"/>
      <c r="Q154" s="210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8.75" hidden="false" customHeight="true" outlineLevel="0" collapsed="false">
      <c r="A155" s="291"/>
      <c r="B155" s="292"/>
      <c r="C155" s="292"/>
      <c r="D155" s="292"/>
      <c r="E155" s="293"/>
      <c r="F155" s="19"/>
      <c r="G155" s="209"/>
      <c r="H155" s="246"/>
      <c r="I155" s="246"/>
      <c r="J155" s="207"/>
      <c r="K155" s="210"/>
      <c r="L155" s="19"/>
      <c r="M155" s="209"/>
      <c r="N155" s="207"/>
      <c r="O155" s="207"/>
      <c r="P155" s="207"/>
      <c r="Q155" s="210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8.75" hidden="false" customHeight="true" outlineLevel="0" collapsed="false">
      <c r="A156" s="291" t="s">
        <v>305</v>
      </c>
      <c r="B156" s="292" t="s">
        <v>297</v>
      </c>
      <c r="C156" s="292"/>
      <c r="D156" s="292" t="s">
        <v>294</v>
      </c>
      <c r="E156" s="293"/>
      <c r="F156" s="19"/>
      <c r="G156" s="248" t="s">
        <v>28</v>
      </c>
      <c r="H156" s="249" t="s">
        <v>33</v>
      </c>
      <c r="I156" s="249"/>
      <c r="J156" s="207"/>
      <c r="K156" s="210"/>
      <c r="L156" s="19"/>
      <c r="M156" s="209"/>
      <c r="N156" s="207"/>
      <c r="O156" s="207"/>
      <c r="P156" s="207"/>
      <c r="Q156" s="210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8.75" hidden="false" customHeight="true" outlineLevel="0" collapsed="false">
      <c r="A157" s="70" t="n">
        <f aca="false">E124-100</f>
        <v>99.99</v>
      </c>
      <c r="B157" s="201" t="n">
        <f aca="false">(A154+B154+D154+A157)*(A149/B70)</f>
        <v>0</v>
      </c>
      <c r="C157" s="201"/>
      <c r="D157" s="201" t="n">
        <f aca="false">(A154+B154+D154+A157)-B157</f>
        <v>1093.24</v>
      </c>
      <c r="E157" s="177"/>
      <c r="F157" s="19"/>
      <c r="G157" s="248"/>
      <c r="H157" s="250" t="n">
        <f aca="false">B57</f>
        <v>5000</v>
      </c>
      <c r="I157" s="250"/>
      <c r="J157" s="207"/>
      <c r="K157" s="210"/>
      <c r="L157" s="19"/>
      <c r="M157" s="243" t="s">
        <v>304</v>
      </c>
      <c r="N157" s="207"/>
      <c r="O157" s="207"/>
      <c r="P157" s="244"/>
      <c r="Q157" s="245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8.75" hidden="false" customHeight="true" outlineLevel="0" collapsed="false">
      <c r="A158" s="291"/>
      <c r="B158" s="292"/>
      <c r="C158" s="292"/>
      <c r="D158" s="292"/>
      <c r="E158" s="293"/>
      <c r="F158" s="19"/>
      <c r="G158" s="251" t="n">
        <f aca="false">A58</f>
        <v>12</v>
      </c>
      <c r="H158" s="92" t="e">
        <f aca="false">H97</f>
        <v>#DIV/0!</v>
      </c>
      <c r="I158" s="92"/>
      <c r="J158" s="207"/>
      <c r="K158" s="210"/>
      <c r="L158" s="19"/>
      <c r="M158" s="209"/>
      <c r="N158" s="246"/>
      <c r="O158" s="246"/>
      <c r="P158" s="207"/>
      <c r="Q158" s="210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8.75" hidden="false" customHeight="true" outlineLevel="0" collapsed="false">
      <c r="A159" s="291" t="s">
        <v>306</v>
      </c>
      <c r="B159" s="292"/>
      <c r="C159" s="292"/>
      <c r="D159" s="292"/>
      <c r="E159" s="293"/>
      <c r="F159" s="19"/>
      <c r="G159" s="209"/>
      <c r="H159" s="207"/>
      <c r="I159" s="207"/>
      <c r="J159" s="207"/>
      <c r="K159" s="210"/>
      <c r="L159" s="19"/>
      <c r="M159" s="248" t="s">
        <v>28</v>
      </c>
      <c r="N159" s="249" t="s">
        <v>33</v>
      </c>
      <c r="O159" s="249"/>
      <c r="P159" s="207"/>
      <c r="Q159" s="210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8.75" hidden="false" customHeight="true" outlineLevel="0" collapsed="false">
      <c r="A160" s="70" t="n">
        <f aca="false">D108</f>
        <v>200</v>
      </c>
      <c r="B160" s="201"/>
      <c r="C160" s="292"/>
      <c r="D160" s="292"/>
      <c r="E160" s="293"/>
      <c r="F160" s="19"/>
      <c r="G160" s="209"/>
      <c r="H160" s="207"/>
      <c r="I160" s="207"/>
      <c r="J160" s="207"/>
      <c r="K160" s="210"/>
      <c r="L160" s="19"/>
      <c r="M160" s="248"/>
      <c r="N160" s="250" t="n">
        <f aca="false">B57</f>
        <v>5000</v>
      </c>
      <c r="O160" s="250"/>
      <c r="P160" s="207"/>
      <c r="Q160" s="210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8.75" hidden="false" customHeight="true" outlineLevel="0" collapsed="false">
      <c r="A161" s="291"/>
      <c r="B161" s="292"/>
      <c r="C161" s="292"/>
      <c r="D161" s="292"/>
      <c r="E161" s="293"/>
      <c r="F161" s="19"/>
      <c r="G161" s="209"/>
      <c r="H161" s="207"/>
      <c r="I161" s="207"/>
      <c r="J161" s="207"/>
      <c r="K161" s="210"/>
      <c r="L161" s="19"/>
      <c r="M161" s="251" t="n">
        <f aca="false">A58</f>
        <v>12</v>
      </c>
      <c r="N161" s="92" t="e">
        <f aca="false">N97</f>
        <v>#DIV/0!</v>
      </c>
      <c r="O161" s="92"/>
      <c r="P161" s="207"/>
      <c r="Q161" s="210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8.75" hidden="false" customHeight="true" outlineLevel="0" collapsed="false">
      <c r="A162" s="291"/>
      <c r="B162" s="292"/>
      <c r="C162" s="292"/>
      <c r="D162" s="292"/>
      <c r="E162" s="293"/>
      <c r="F162" s="19"/>
      <c r="G162" s="209"/>
      <c r="H162" s="207"/>
      <c r="I162" s="207"/>
      <c r="J162" s="207"/>
      <c r="K162" s="210"/>
      <c r="L162" s="19"/>
      <c r="M162" s="209"/>
      <c r="N162" s="207"/>
      <c r="O162" s="207"/>
      <c r="P162" s="207"/>
      <c r="Q162" s="210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8.75" hidden="false" customHeight="true" outlineLevel="0" collapsed="false">
      <c r="A163" s="324" t="s">
        <v>304</v>
      </c>
      <c r="B163" s="292"/>
      <c r="C163" s="292"/>
      <c r="D163" s="325"/>
      <c r="E163" s="326"/>
      <c r="F163" s="19"/>
      <c r="G163" s="252"/>
      <c r="H163" s="253"/>
      <c r="I163" s="253"/>
      <c r="J163" s="253"/>
      <c r="K163" s="254"/>
      <c r="L163" s="19"/>
      <c r="M163" s="209"/>
      <c r="N163" s="207"/>
      <c r="O163" s="207"/>
      <c r="P163" s="207"/>
      <c r="Q163" s="210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8.75" hidden="false" customHeight="true" outlineLevel="0" collapsed="false">
      <c r="A164" s="291"/>
      <c r="B164" s="327"/>
      <c r="C164" s="327"/>
      <c r="D164" s="292"/>
      <c r="E164" s="293"/>
      <c r="F164" s="19"/>
      <c r="G164" s="19"/>
      <c r="H164" s="19"/>
      <c r="I164" s="19"/>
      <c r="J164" s="19"/>
      <c r="K164" s="19"/>
      <c r="L164" s="19"/>
      <c r="M164" s="209"/>
      <c r="N164" s="207"/>
      <c r="O164" s="207"/>
      <c r="P164" s="207"/>
      <c r="Q164" s="210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8.75" hidden="false" customHeight="true" outlineLevel="0" collapsed="false">
      <c r="A165" s="248" t="s">
        <v>28</v>
      </c>
      <c r="B165" s="249" t="s">
        <v>33</v>
      </c>
      <c r="C165" s="249"/>
      <c r="D165" s="292"/>
      <c r="E165" s="293"/>
      <c r="F165" s="19"/>
      <c r="G165" s="19"/>
      <c r="H165" s="19"/>
      <c r="I165" s="19"/>
      <c r="J165" s="19"/>
      <c r="K165" s="19"/>
      <c r="L165" s="19"/>
      <c r="M165" s="209"/>
      <c r="N165" s="207"/>
      <c r="O165" s="207"/>
      <c r="P165" s="207"/>
      <c r="Q165" s="210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8.75" hidden="false" customHeight="true" outlineLevel="0" collapsed="false">
      <c r="A166" s="248"/>
      <c r="B166" s="250" t="n">
        <f aca="false">B57</f>
        <v>5000</v>
      </c>
      <c r="C166" s="250"/>
      <c r="D166" s="292"/>
      <c r="E166" s="293"/>
      <c r="F166" s="19"/>
      <c r="G166" s="19"/>
      <c r="H166" s="19"/>
      <c r="I166" s="19"/>
      <c r="J166" s="19"/>
      <c r="K166" s="19"/>
      <c r="L166" s="19"/>
      <c r="M166" s="209"/>
      <c r="N166" s="207"/>
      <c r="O166" s="207"/>
      <c r="P166" s="207"/>
      <c r="Q166" s="210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8.75" hidden="false" customHeight="true" outlineLevel="0" collapsed="false">
      <c r="A167" s="251" t="n">
        <f aca="false">A58</f>
        <v>12</v>
      </c>
      <c r="B167" s="92" t="n">
        <f aca="false">B97</f>
        <v>695.925698086146</v>
      </c>
      <c r="C167" s="92"/>
      <c r="D167" s="292"/>
      <c r="E167" s="293"/>
      <c r="F167" s="19"/>
      <c r="G167" s="19"/>
      <c r="H167" s="19"/>
      <c r="I167" s="19"/>
      <c r="J167" s="19"/>
      <c r="K167" s="19"/>
      <c r="L167" s="19"/>
      <c r="M167" s="209"/>
      <c r="N167" s="207"/>
      <c r="O167" s="207"/>
      <c r="P167" s="207"/>
      <c r="Q167" s="210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8.75" hidden="false" customHeight="true" outlineLevel="0" collapsed="false">
      <c r="A168" s="291"/>
      <c r="B168" s="292"/>
      <c r="C168" s="292"/>
      <c r="D168" s="292"/>
      <c r="E168" s="293"/>
      <c r="F168" s="19"/>
      <c r="G168" s="19"/>
      <c r="H168" s="19"/>
      <c r="I168" s="19"/>
      <c r="J168" s="19"/>
      <c r="K168" s="19"/>
      <c r="L168" s="19"/>
      <c r="M168" s="252"/>
      <c r="N168" s="253"/>
      <c r="O168" s="253"/>
      <c r="P168" s="253"/>
      <c r="Q168" s="254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8.75" hidden="false" customHeight="true" outlineLevel="0" collapsed="false">
      <c r="A169" s="291"/>
      <c r="B169" s="292"/>
      <c r="C169" s="292"/>
      <c r="D169" s="292"/>
      <c r="E169" s="293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8.75" hidden="false" customHeight="true" outlineLevel="0" collapsed="false">
      <c r="A170" s="291"/>
      <c r="B170" s="292"/>
      <c r="C170" s="292"/>
      <c r="D170" s="292"/>
      <c r="E170" s="293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8.75" hidden="false" customHeight="true" outlineLevel="0" collapsed="false">
      <c r="A171" s="328" t="s">
        <v>270</v>
      </c>
      <c r="B171" s="328"/>
      <c r="C171" s="328"/>
      <c r="D171" s="328"/>
      <c r="E171" s="328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8.75" hidden="false" customHeight="true" outlineLevel="0" collapsed="false">
      <c r="A172" s="291"/>
      <c r="B172" s="329"/>
      <c r="C172" s="329"/>
      <c r="D172" s="329"/>
      <c r="E172" s="293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8.75" hidden="false" customHeight="true" outlineLevel="0" collapsed="false">
      <c r="A173" s="294" t="s">
        <v>98</v>
      </c>
      <c r="B173" s="330" t="s">
        <v>174</v>
      </c>
      <c r="C173" s="331"/>
      <c r="D173" s="330" t="s">
        <v>33</v>
      </c>
      <c r="E173" s="297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8.75" hidden="false" customHeight="true" outlineLevel="0" collapsed="false">
      <c r="A174" s="298" t="s">
        <v>254</v>
      </c>
      <c r="B174" s="332" t="n">
        <f aca="false">A167</f>
        <v>12</v>
      </c>
      <c r="C174" s="333"/>
      <c r="D174" s="331" t="n">
        <f aca="false">B166</f>
        <v>5000</v>
      </c>
      <c r="E174" s="297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8.75" hidden="false" customHeight="true" outlineLevel="0" collapsed="false">
      <c r="A175" s="294"/>
      <c r="B175" s="330"/>
      <c r="C175" s="330"/>
      <c r="D175" s="330"/>
      <c r="E175" s="297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8.75" hidden="false" customHeight="true" outlineLevel="0" collapsed="false">
      <c r="A176" s="294" t="s">
        <v>92</v>
      </c>
      <c r="B176" s="330" t="s">
        <v>271</v>
      </c>
      <c r="C176" s="331"/>
      <c r="D176" s="330" t="s">
        <v>272</v>
      </c>
      <c r="E176" s="297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8.75" hidden="false" customHeight="true" outlineLevel="0" collapsed="false">
      <c r="A177" s="298" t="n">
        <f aca="false">B96</f>
        <v>623.925698086146</v>
      </c>
      <c r="B177" s="331" t="n">
        <f aca="false">IF(A111="YES", B95, 0)</f>
        <v>72</v>
      </c>
      <c r="C177" s="334"/>
      <c r="D177" s="331" t="n">
        <f aca="false">B91</f>
        <v>11390.6166666667</v>
      </c>
      <c r="E177" s="297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8.75" hidden="false" customHeight="true" outlineLevel="0" collapsed="false">
      <c r="A178" s="291"/>
      <c r="B178" s="329"/>
      <c r="C178" s="329"/>
      <c r="D178" s="329"/>
      <c r="E178" s="293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8.75" hidden="false" customHeight="true" outlineLevel="0" collapsed="false">
      <c r="A179" s="304" t="s">
        <v>23</v>
      </c>
      <c r="B179" s="335" t="s">
        <v>277</v>
      </c>
      <c r="C179" s="223"/>
      <c r="D179" s="335" t="s">
        <v>278</v>
      </c>
      <c r="E179" s="293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8.75" hidden="false" customHeight="true" outlineLevel="0" collapsed="false">
      <c r="A180" s="309" t="str">
        <f aca="false">B105</f>
        <v>Terminal pause with 9 down</v>
      </c>
      <c r="B180" s="37" t="n">
        <f aca="false">B96*B63</f>
        <v>5615.33128277531</v>
      </c>
      <c r="C180" s="329"/>
      <c r="D180" s="37" t="n">
        <f aca="false">IF(A111="YES", B95*B63, 0)</f>
        <v>648</v>
      </c>
      <c r="E180" s="293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8.75" hidden="false" customHeight="true" outlineLevel="0" collapsed="false">
      <c r="A181" s="291"/>
      <c r="B181" s="329"/>
      <c r="C181" s="329"/>
      <c r="D181" s="329"/>
      <c r="E181" s="293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8.75" hidden="false" customHeight="true" outlineLevel="0" collapsed="false">
      <c r="A182" s="123" t="s">
        <v>283</v>
      </c>
      <c r="B182" s="38" t="s">
        <v>284</v>
      </c>
      <c r="C182" s="336"/>
      <c r="D182" s="233" t="s">
        <v>177</v>
      </c>
      <c r="E182" s="293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8.75" hidden="false" customHeight="true" outlineLevel="0" collapsed="false">
      <c r="A183" s="70" t="n">
        <f aca="false">B97*B63</f>
        <v>6263.33128277531</v>
      </c>
      <c r="B183" s="37" t="n">
        <f aca="false">E120</f>
        <v>4000</v>
      </c>
      <c r="C183" s="329"/>
      <c r="D183" s="337" t="n">
        <f aca="false">B64</f>
        <v>3</v>
      </c>
      <c r="E183" s="293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8.75" hidden="false" customHeight="true" outlineLevel="0" collapsed="false">
      <c r="A184" s="70"/>
      <c r="B184" s="338"/>
      <c r="C184" s="329"/>
      <c r="D184" s="329"/>
      <c r="E184" s="293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8.75" hidden="false" customHeight="true" outlineLevel="0" collapsed="false">
      <c r="A185" s="78" t="s">
        <v>92</v>
      </c>
      <c r="B185" s="339" t="s">
        <v>271</v>
      </c>
      <c r="C185" s="329"/>
      <c r="D185" s="329" t="s">
        <v>272</v>
      </c>
      <c r="E185" s="293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8.75" hidden="false" customHeight="true" outlineLevel="0" collapsed="false">
      <c r="A186" s="70" t="n">
        <f aca="false">B96</f>
        <v>623.925698086146</v>
      </c>
      <c r="B186" s="37" t="n">
        <f aca="false">IF(A111="YES", B95, 0)</f>
        <v>72</v>
      </c>
      <c r="C186" s="329"/>
      <c r="D186" s="37" t="n">
        <f aca="false">B97</f>
        <v>695.925698086146</v>
      </c>
      <c r="E186" s="293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8.75" hidden="false" customHeight="true" outlineLevel="0" collapsed="false">
      <c r="A187" s="291"/>
      <c r="B187" s="329"/>
      <c r="C187" s="329"/>
      <c r="D187" s="329"/>
      <c r="E187" s="293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8.75" hidden="false" customHeight="true" outlineLevel="0" collapsed="false">
      <c r="A188" s="314" t="s">
        <v>180</v>
      </c>
      <c r="B188" s="340" t="s">
        <v>291</v>
      </c>
      <c r="C188" s="37"/>
      <c r="D188" s="340" t="s">
        <v>182</v>
      </c>
      <c r="E188" s="177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8.75" hidden="false" customHeight="true" outlineLevel="0" collapsed="false">
      <c r="A189" s="316" t="n">
        <f aca="false">(G18*0.000006)*1.2*100</f>
        <v>41.6772</v>
      </c>
      <c r="B189" s="341" t="n">
        <f aca="false">G18*0.000002 *1.2*100</f>
        <v>13.8924</v>
      </c>
      <c r="C189" s="329"/>
      <c r="D189" s="341" t="n">
        <f aca="false">A189+B189</f>
        <v>55.5696</v>
      </c>
      <c r="E189" s="293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8.75" hidden="false" customHeight="true" outlineLevel="0" collapsed="false">
      <c r="A190" s="316"/>
      <c r="B190" s="341"/>
      <c r="C190" s="329"/>
      <c r="D190" s="341"/>
      <c r="E190" s="293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8.75" hidden="false" customHeight="true" outlineLevel="0" collapsed="false">
      <c r="A191" s="314" t="s">
        <v>295</v>
      </c>
      <c r="B191" s="340" t="s">
        <v>152</v>
      </c>
      <c r="C191" s="37"/>
      <c r="D191" s="340" t="s">
        <v>246</v>
      </c>
      <c r="E191" s="293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8.75" hidden="false" customHeight="true" outlineLevel="0" collapsed="false">
      <c r="A192" s="70" t="n">
        <v>0</v>
      </c>
      <c r="B192" s="37" t="n">
        <f aca="false">E124</f>
        <v>199.99</v>
      </c>
      <c r="C192" s="329"/>
      <c r="D192" s="152" t="n">
        <f aca="false">B108</f>
        <v>400</v>
      </c>
      <c r="E192" s="293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8.75" hidden="false" customHeight="true" outlineLevel="0" collapsed="false">
      <c r="A193" s="70"/>
      <c r="B193" s="37"/>
      <c r="C193" s="329"/>
      <c r="D193" s="37"/>
      <c r="E193" s="293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8.75" hidden="false" customHeight="true" outlineLevel="0" collapsed="false">
      <c r="A194" s="318" t="s">
        <v>298</v>
      </c>
      <c r="B194" s="319"/>
      <c r="C194" s="320"/>
      <c r="D194" s="319"/>
      <c r="E194" s="321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8.75" hidden="false" customHeight="true" outlineLevel="0" collapsed="false">
      <c r="A195" s="316"/>
      <c r="B195" s="341"/>
      <c r="C195" s="329"/>
      <c r="D195" s="341"/>
      <c r="E195" s="293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8.75" hidden="false" customHeight="true" outlineLevel="0" collapsed="false">
      <c r="A196" s="291" t="s">
        <v>299</v>
      </c>
      <c r="B196" s="329" t="s">
        <v>300</v>
      </c>
      <c r="C196" s="329"/>
      <c r="D196" s="329" t="s">
        <v>301</v>
      </c>
      <c r="E196" s="293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8.75" hidden="false" customHeight="true" outlineLevel="0" collapsed="false">
      <c r="A197" s="70" t="n">
        <f aca="false">B73</f>
        <v>578.85</v>
      </c>
      <c r="B197" s="37" t="n">
        <f aca="false">B108</f>
        <v>400</v>
      </c>
      <c r="C197" s="37"/>
      <c r="D197" s="37" t="n">
        <f aca="false">IF(A111="YES", (A41/100*B111)*B131, 0)*0.1</f>
        <v>14.4</v>
      </c>
      <c r="E197" s="177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8.75" hidden="false" customHeight="true" outlineLevel="0" collapsed="false">
      <c r="A198" s="291"/>
      <c r="B198" s="329"/>
      <c r="C198" s="329"/>
      <c r="D198" s="329"/>
      <c r="E198" s="293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8.75" hidden="false" customHeight="true" outlineLevel="0" collapsed="false">
      <c r="A199" s="291" t="s">
        <v>305</v>
      </c>
      <c r="B199" s="329" t="s">
        <v>297</v>
      </c>
      <c r="C199" s="329"/>
      <c r="D199" s="329" t="s">
        <v>294</v>
      </c>
      <c r="E199" s="293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8.75" hidden="false" customHeight="true" outlineLevel="0" collapsed="false">
      <c r="A200" s="70" t="n">
        <f aca="false">E124-100</f>
        <v>99.99</v>
      </c>
      <c r="B200" s="37" t="n">
        <f aca="false">(A154+B154+D154+A157)*(A149/B70)</f>
        <v>0</v>
      </c>
      <c r="C200" s="37"/>
      <c r="D200" s="37" t="n">
        <f aca="false">(A154+B154+D154+A157)-B157</f>
        <v>1093.24</v>
      </c>
      <c r="E200" s="177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8.75" hidden="false" customHeight="true" outlineLevel="0" collapsed="false">
      <c r="A201" s="291"/>
      <c r="B201" s="329"/>
      <c r="C201" s="329"/>
      <c r="D201" s="329"/>
      <c r="E201" s="293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8.75" hidden="false" customHeight="true" outlineLevel="0" collapsed="false">
      <c r="A202" s="291" t="s">
        <v>306</v>
      </c>
      <c r="B202" s="329"/>
      <c r="C202" s="329"/>
      <c r="D202" s="329"/>
      <c r="E202" s="293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8.75" hidden="false" customHeight="true" outlineLevel="0" collapsed="false">
      <c r="A203" s="70" t="n">
        <f aca="false">D108</f>
        <v>200</v>
      </c>
      <c r="B203" s="37"/>
      <c r="C203" s="329"/>
      <c r="D203" s="329"/>
      <c r="E203" s="293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8.75" hidden="false" customHeight="true" outlineLevel="0" collapsed="false">
      <c r="A204" s="342"/>
      <c r="B204" s="343"/>
      <c r="C204" s="343"/>
      <c r="D204" s="343"/>
      <c r="E204" s="344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8.75" hidden="false" customHeight="true" outlineLevel="0" collapsed="false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8.75" hidden="false" customHeight="true" outlineLevel="0" collapsed="false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8.75" hidden="false" customHeight="true" outlineLevel="0" collapsed="false">
      <c r="A207" s="328" t="s">
        <v>185</v>
      </c>
      <c r="B207" s="328"/>
      <c r="C207" s="328"/>
      <c r="D207" s="328"/>
      <c r="E207" s="328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8.75" hidden="false" customHeight="true" outlineLevel="0" collapsed="false">
      <c r="A208" s="291"/>
      <c r="B208" s="292"/>
      <c r="C208" s="292"/>
      <c r="D208" s="292"/>
      <c r="E208" s="293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8.75" hidden="false" customHeight="true" outlineLevel="0" collapsed="false">
      <c r="A209" s="294" t="s">
        <v>186</v>
      </c>
      <c r="B209" s="345" t="n">
        <f aca="false">H35</f>
        <v>0</v>
      </c>
      <c r="C209" s="296" t="s">
        <v>188</v>
      </c>
      <c r="D209" s="346" t="n">
        <f aca="false">D70</f>
        <v>4051.95</v>
      </c>
      <c r="E209" s="297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8.75" hidden="false" customHeight="true" outlineLevel="0" collapsed="false">
      <c r="A210" s="298"/>
      <c r="B210" s="299"/>
      <c r="C210" s="300"/>
      <c r="D210" s="299"/>
      <c r="E210" s="297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8.75" hidden="false" customHeight="true" outlineLevel="0" collapsed="false">
      <c r="A211" s="294" t="s">
        <v>189</v>
      </c>
      <c r="B211" s="296" t="n">
        <f aca="false">B219</f>
        <v>578.85</v>
      </c>
      <c r="C211" s="295" t="s">
        <v>190</v>
      </c>
      <c r="D211" s="346" t="n">
        <f aca="false">B225+E221+B221+B223</f>
        <v>483.99</v>
      </c>
      <c r="E211" s="297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8.75" hidden="false" customHeight="true" outlineLevel="0" collapsed="false">
      <c r="A212" s="294"/>
      <c r="B212" s="347"/>
      <c r="C212" s="296"/>
      <c r="D212" s="295"/>
      <c r="E212" s="297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8.75" hidden="false" customHeight="true" outlineLevel="0" collapsed="false">
      <c r="A213" s="298" t="s">
        <v>191</v>
      </c>
      <c r="B213" s="296" t="n">
        <f aca="false">E223</f>
        <v>3957.09</v>
      </c>
      <c r="C213" s="300"/>
      <c r="D213" s="296"/>
      <c r="E213" s="297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8.75" hidden="false" customHeight="true" outlineLevel="0" collapsed="false">
      <c r="A214" s="291"/>
      <c r="B214" s="313"/>
      <c r="C214" s="292"/>
      <c r="D214" s="292"/>
      <c r="E214" s="293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8.75" hidden="false" customHeight="true" outlineLevel="0" collapsed="false">
      <c r="A215" s="222" t="s">
        <v>186</v>
      </c>
      <c r="B215" s="348" t="n">
        <v>0.065</v>
      </c>
      <c r="C215" s="306"/>
      <c r="D215" s="305"/>
      <c r="E215" s="293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8.75" hidden="false" customHeight="true" outlineLevel="0" collapsed="false">
      <c r="A216" s="349"/>
      <c r="B216" s="200"/>
      <c r="C216" s="292"/>
      <c r="D216" s="201"/>
      <c r="E216" s="293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8.75" hidden="false" customHeight="true" outlineLevel="0" collapsed="false">
      <c r="A217" s="350" t="s">
        <v>188</v>
      </c>
      <c r="B217" s="60" t="n">
        <f aca="false">D70</f>
        <v>4051.95</v>
      </c>
      <c r="C217" s="351" t="s">
        <v>194</v>
      </c>
      <c r="D217" s="292"/>
      <c r="E217" s="352" t="n">
        <f aca="false">B72</f>
        <v>0.01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8.75" hidden="false" customHeight="true" outlineLevel="0" collapsed="false">
      <c r="A218" s="69"/>
      <c r="B218" s="200"/>
      <c r="C218" s="310"/>
      <c r="D218" s="240"/>
      <c r="E218" s="293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8.75" hidden="false" customHeight="true" outlineLevel="0" collapsed="false">
      <c r="A219" s="70" t="s">
        <v>194</v>
      </c>
      <c r="B219" s="60" t="n">
        <f aca="false">B73</f>
        <v>578.85</v>
      </c>
      <c r="C219" s="310" t="s">
        <v>307</v>
      </c>
      <c r="D219" s="353"/>
      <c r="E219" s="103" t="n">
        <v>0.001</v>
      </c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8.75" hidden="false" customHeight="true" outlineLevel="0" collapsed="false">
      <c r="A220" s="70"/>
      <c r="B220" s="313"/>
      <c r="C220" s="310"/>
      <c r="D220" s="292"/>
      <c r="E220" s="293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8.75" hidden="false" customHeight="true" outlineLevel="0" collapsed="false">
      <c r="A221" s="70" t="s">
        <v>307</v>
      </c>
      <c r="B221" s="233" t="n">
        <f aca="false">B197*E219*100</f>
        <v>40</v>
      </c>
      <c r="C221" s="310" t="s">
        <v>196</v>
      </c>
      <c r="D221" s="292"/>
      <c r="E221" s="20" t="n">
        <f aca="false">A200</f>
        <v>99.99</v>
      </c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18.75" hidden="false" customHeight="true" outlineLevel="0" collapsed="false">
      <c r="A222" s="70"/>
      <c r="B222" s="200"/>
      <c r="C222" s="310"/>
      <c r="D222" s="201"/>
      <c r="E222" s="293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18.75" hidden="false" customHeight="true" outlineLevel="0" collapsed="false">
      <c r="A223" s="350" t="s">
        <v>308</v>
      </c>
      <c r="B223" s="233" t="n">
        <f aca="false">B84-(B84*(E219*100))</f>
        <v>200</v>
      </c>
      <c r="C223" s="310" t="s">
        <v>191</v>
      </c>
      <c r="D223" s="292"/>
      <c r="E223" s="20" t="n">
        <f aca="false">(B217-B211+D211)</f>
        <v>3957.09</v>
      </c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18.75" hidden="false" customHeight="true" outlineLevel="0" collapsed="false">
      <c r="A224" s="354"/>
      <c r="B224" s="315"/>
      <c r="C224" s="201"/>
      <c r="D224" s="315"/>
      <c r="E224" s="163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18.75" hidden="false" customHeight="true" outlineLevel="0" collapsed="false">
      <c r="A225" s="354" t="s">
        <v>309</v>
      </c>
      <c r="B225" s="315" t="n">
        <f aca="false">D197/0.1</f>
        <v>144</v>
      </c>
      <c r="C225" s="201"/>
      <c r="D225" s="315"/>
      <c r="E225" s="163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18.75" hidden="false" customHeight="true" outlineLevel="0" collapsed="false">
      <c r="A226" s="354"/>
      <c r="B226" s="315"/>
      <c r="C226" s="201"/>
      <c r="D226" s="315"/>
      <c r="E226" s="163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customFormat="false" ht="18.75" hidden="false" customHeight="true" outlineLevel="0" collapsed="false">
      <c r="A227" s="318" t="s">
        <v>310</v>
      </c>
      <c r="B227" s="355"/>
      <c r="C227" s="320"/>
      <c r="D227" s="319"/>
      <c r="E227" s="321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18.75" hidden="false" customHeight="true" outlineLevel="0" collapsed="false">
      <c r="A228" s="316"/>
      <c r="B228" s="356"/>
      <c r="C228" s="292"/>
      <c r="D228" s="317"/>
      <c r="E228" s="293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18.75" hidden="false" customHeight="true" outlineLevel="0" collapsed="false">
      <c r="A229" s="316" t="s">
        <v>198</v>
      </c>
      <c r="B229" s="60" t="n">
        <f aca="false">B77</f>
        <v>200</v>
      </c>
      <c r="C229" s="310" t="s">
        <v>199</v>
      </c>
      <c r="D229" s="317"/>
      <c r="E229" s="150" t="n">
        <f aca="false">B78</f>
        <v>5</v>
      </c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18.75" hidden="false" customHeight="true" outlineLevel="0" collapsed="false">
      <c r="A230" s="316"/>
      <c r="B230" s="356"/>
      <c r="C230" s="310" t="s">
        <v>200</v>
      </c>
      <c r="D230" s="317"/>
      <c r="E230" s="20" t="n">
        <f aca="false">D79</f>
        <v>260</v>
      </c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18.75" hidden="false" customHeight="true" outlineLevel="0" collapsed="false">
      <c r="A231" s="316" t="s">
        <v>201</v>
      </c>
      <c r="B231" s="357" t="n">
        <f aca="false">B74</f>
        <v>0.0075</v>
      </c>
      <c r="C231" s="310" t="s">
        <v>202</v>
      </c>
      <c r="D231" s="317"/>
      <c r="E231" s="352" t="n">
        <f aca="false">B75</f>
        <v>0.12</v>
      </c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8.75" hidden="false" customHeight="true" outlineLevel="0" collapsed="false">
      <c r="A232" s="316"/>
      <c r="B232" s="356"/>
      <c r="C232" s="310" t="s">
        <v>203</v>
      </c>
      <c r="D232" s="317"/>
      <c r="E232" s="20" t="n">
        <f aca="false">B92</f>
        <v>96.4917103670835</v>
      </c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18.75" hidden="false" customHeight="true" outlineLevel="0" collapsed="false">
      <c r="A233" s="316" t="s">
        <v>204</v>
      </c>
      <c r="B233" s="60" t="n">
        <f aca="false">B85</f>
        <v>200</v>
      </c>
      <c r="C233" s="358" t="s">
        <v>311</v>
      </c>
      <c r="D233" s="359"/>
      <c r="E233" s="150" t="n">
        <f aca="false">B80</f>
        <v>0</v>
      </c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18.75" hidden="false" customHeight="true" outlineLevel="0" collapsed="false">
      <c r="A234" s="350"/>
      <c r="B234" s="313"/>
      <c r="C234" s="358"/>
      <c r="D234" s="360"/>
      <c r="E234" s="361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18.75" hidden="false" customHeight="true" outlineLevel="0" collapsed="false">
      <c r="A235" s="70" t="s">
        <v>205</v>
      </c>
      <c r="B235" s="60" t="n">
        <f aca="false">B86</f>
        <v>200</v>
      </c>
      <c r="C235" s="362" t="s">
        <v>312</v>
      </c>
      <c r="D235" s="362"/>
      <c r="E235" s="150" t="n">
        <f aca="false">B81</f>
        <v>0</v>
      </c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18.75" hidden="false" customHeight="true" outlineLevel="0" collapsed="false">
      <c r="A236" s="291"/>
      <c r="B236" s="292"/>
      <c r="C236" s="292"/>
      <c r="D236" s="292"/>
      <c r="E236" s="293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18.75" hidden="false" customHeight="true" outlineLevel="0" collapsed="false">
      <c r="A237" s="291"/>
      <c r="B237" s="292"/>
      <c r="C237" s="292"/>
      <c r="D237" s="292"/>
      <c r="E237" s="293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18.75" hidden="false" customHeight="true" outlineLevel="0" collapsed="false">
      <c r="A238" s="70"/>
      <c r="B238" s="201"/>
      <c r="C238" s="201"/>
      <c r="D238" s="201"/>
      <c r="E238" s="177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18.75" hidden="false" customHeight="true" outlineLevel="0" collapsed="false">
      <c r="A239" s="291"/>
      <c r="B239" s="292"/>
      <c r="C239" s="292"/>
      <c r="D239" s="292"/>
      <c r="E239" s="293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18.75" hidden="false" customHeight="true" outlineLevel="0" collapsed="false">
      <c r="A240" s="291"/>
      <c r="B240" s="292"/>
      <c r="C240" s="292"/>
      <c r="D240" s="292"/>
      <c r="E240" s="293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18.75" hidden="false" customHeight="true" outlineLevel="0" collapsed="false">
      <c r="A241" s="70"/>
      <c r="B241" s="201"/>
      <c r="C241" s="292"/>
      <c r="D241" s="292"/>
      <c r="E241" s="293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18.75" hidden="false" customHeight="true" outlineLevel="0" collapsed="false">
      <c r="A242" s="342"/>
      <c r="B242" s="343"/>
      <c r="C242" s="343"/>
      <c r="D242" s="343"/>
      <c r="E242" s="344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18.75" hidden="false" customHeight="tru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18.75" hidden="false" customHeight="tru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18.75" hidden="false" customHeight="tru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18.75" hidden="false" customHeight="tru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18.75" hidden="false" customHeight="tru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18.75" hidden="false" customHeight="tru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18.75" hidden="false" customHeight="tru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18.75" hidden="false" customHeight="tru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18.75" hidden="false" customHeight="tru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18.75" hidden="false" customHeight="tru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18.75" hidden="false" customHeight="tru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18.75" hidden="false" customHeight="tru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18.75" hidden="false" customHeight="tru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18.75" hidden="false" customHeight="tru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18.75" hidden="false" customHeight="tru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18.75" hidden="false" customHeight="tru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18.75" hidden="false" customHeight="tru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18.75" hidden="false" customHeight="tru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18.75" hidden="false" customHeight="tru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18.75" hidden="false" customHeight="tru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18.75" hidden="false" customHeight="tru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18.75" hidden="false" customHeight="tru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18.75" hidden="false" customHeight="tru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18.75" hidden="false" customHeight="tru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18.75" hidden="false" customHeight="tru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18.75" hidden="false" customHeight="tru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18.75" hidden="false" customHeight="tru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18.75" hidden="false" customHeight="tru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18.75" hidden="false" customHeight="tru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18.75" hidden="false" customHeight="tru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18.75" hidden="false" customHeight="tru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18.75" hidden="false" customHeight="tru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18.75" hidden="false" customHeight="tru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18.75" hidden="false" customHeight="tru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18.75" hidden="false" customHeight="tru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18.75" hidden="false" customHeight="tru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18.75" hidden="false" customHeight="tru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18.75" hidden="false" customHeight="tru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18.75" hidden="false" customHeight="tru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18.75" hidden="false" customHeight="tru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18.75" hidden="false" customHeight="tru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18.75" hidden="false" customHeight="tru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18.75" hidden="false" customHeight="tru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18.75" hidden="false" customHeight="tru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18.75" hidden="false" customHeight="tru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18.75" hidden="false" customHeight="tru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18.75" hidden="false" customHeight="tru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18.75" hidden="false" customHeight="tru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18.75" hidden="false" customHeight="tru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18.75" hidden="false" customHeight="tru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18.75" hidden="false" customHeight="tru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18.75" hidden="false" customHeight="tru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18.75" hidden="false" customHeight="tru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18.75" hidden="false" customHeight="tru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18.75" hidden="false" customHeight="tru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18.75" hidden="false" customHeight="tru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18.75" hidden="false" customHeight="tru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18.75" hidden="false" customHeight="tru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18.75" hidden="false" customHeight="tru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18.75" hidden="false" customHeight="tru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18.75" hidden="false" customHeight="tru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18.75" hidden="false" customHeight="tru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18.75" hidden="false" customHeight="tru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18.75" hidden="false" customHeight="tru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18.75" hidden="false" customHeight="tru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18.75" hidden="false" customHeight="tru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18.75" hidden="false" customHeight="tru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18.75" hidden="false" customHeight="tru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18.75" hidden="false" customHeight="tru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18.75" hidden="false" customHeight="tru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18.75" hidden="false" customHeight="tru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18.75" hidden="false" customHeight="tru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18.75" hidden="false" customHeight="tru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18.75" hidden="false" customHeight="tru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18.75" hidden="false" customHeight="tru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18.75" hidden="false" customHeight="tru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18.75" hidden="false" customHeight="tru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18.75" hidden="false" customHeight="tru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18.75" hidden="false" customHeight="tru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18.75" hidden="false" customHeight="tru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18.75" hidden="false" customHeight="tru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18.75" hidden="false" customHeight="tru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18.75" hidden="false" customHeight="tru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18.75" hidden="false" customHeight="tru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18.75" hidden="false" customHeight="tru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18.75" hidden="false" customHeight="tru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18.75" hidden="false" customHeight="tru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18.75" hidden="false" customHeight="tru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18.75" hidden="false" customHeight="tru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18.75" hidden="false" customHeight="tru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18.75" hidden="false" customHeight="tru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18.75" hidden="false" customHeight="tru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18.75" hidden="false" customHeight="tru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18.75" hidden="false" customHeight="tru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18.75" hidden="false" customHeight="tru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18.75" hidden="false" customHeight="tru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18.75" hidden="false" customHeight="tru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18.75" hidden="false" customHeight="tru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18.75" hidden="false" customHeight="tru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18.75" hidden="false" customHeight="tru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18.75" hidden="false" customHeight="tru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18.75" hidden="false" customHeight="tru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18.75" hidden="false" customHeight="tru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18.75" hidden="false" customHeight="tru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18.75" hidden="false" customHeight="tru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18.75" hidden="false" customHeight="tru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18.75" hidden="false" customHeight="tru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18.75" hidden="false" customHeight="tru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18.75" hidden="false" customHeight="tru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18.75" hidden="false" customHeight="tru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18.75" hidden="false" customHeight="true" outlineLevel="0" collapsed="false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customFormat="false" ht="18.75" hidden="false" customHeight="true" outlineLevel="0" collapsed="false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customFormat="false" ht="18.75" hidden="false" customHeight="tru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customFormat="false" ht="18.75" hidden="false" customHeight="true" outlineLevel="0" collapsed="false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customFormat="false" ht="18.75" hidden="false" customHeight="true" outlineLevel="0" collapsed="false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customFormat="false" ht="18.75" hidden="false" customHeight="true" outlineLevel="0" collapsed="false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customFormat="false" ht="18.75" hidden="false" customHeight="true" outlineLevel="0" collapsed="false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customFormat="false" ht="18.75" hidden="false" customHeight="true" outlineLevel="0" collapsed="false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customFormat="false" ht="18.75" hidden="false" customHeight="true" outlineLevel="0" collapsed="false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  <dataValidation allowBlank="true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48" colorId="64" zoomScale="75" zoomScaleNormal="75" zoomScalePageLayoutView="100" workbookViewId="0">
      <selection pane="topLeft" activeCell="B221" activeCellId="0" sqref="B221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396" t="s">
        <v>324</v>
      </c>
      <c r="B1" s="396"/>
      <c r="C1" s="396"/>
      <c r="D1" s="396"/>
      <c r="E1" s="396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8.75" hidden="false" customHeight="true" outlineLevel="0" collapsed="false">
      <c r="A2" s="261"/>
      <c r="B2" s="474" t="s">
        <v>115</v>
      </c>
      <c r="C2" s="474" t="s">
        <v>116</v>
      </c>
      <c r="D2" s="474" t="s">
        <v>117</v>
      </c>
      <c r="E2" s="399" t="s">
        <v>118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8.75" hidden="false" customHeight="true" outlineLevel="0" collapsed="false">
      <c r="A3" s="209" t="s">
        <v>121</v>
      </c>
      <c r="B3" s="475" t="n">
        <v>46854.17</v>
      </c>
      <c r="C3" s="475" t="n">
        <v>0</v>
      </c>
      <c r="D3" s="475" t="n">
        <v>833.33</v>
      </c>
      <c r="E3" s="476" t="n">
        <v>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8.75" hidden="false" customHeight="true" outlineLevel="0" collapsed="false">
      <c r="A4" s="209" t="s">
        <v>122</v>
      </c>
      <c r="B4" s="493" t="n">
        <v>0</v>
      </c>
      <c r="C4" s="493" t="n">
        <v>0</v>
      </c>
      <c r="D4" s="493" t="n">
        <v>0</v>
      </c>
      <c r="E4" s="260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8.75" hidden="false" customHeight="true" outlineLevel="0" collapsed="false">
      <c r="A5" s="209" t="s">
        <v>123</v>
      </c>
      <c r="B5" s="475" t="n">
        <v>0</v>
      </c>
      <c r="C5" s="475" t="n">
        <v>0</v>
      </c>
      <c r="D5" s="475" t="n">
        <v>0</v>
      </c>
      <c r="E5" s="273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8.75" hidden="false" customHeight="true" outlineLevel="0" collapsed="false">
      <c r="A6" s="209" t="s">
        <v>124</v>
      </c>
      <c r="B6" s="79" t="n">
        <f aca="false">(B3*B4/100)+B5</f>
        <v>0</v>
      </c>
      <c r="C6" s="79" t="n">
        <f aca="false">(C3*C4/100)+C5</f>
        <v>0</v>
      </c>
      <c r="D6" s="79" t="n">
        <f aca="false">(D3*D4/100)+D5</f>
        <v>0</v>
      </c>
      <c r="E6" s="273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8.75" hidden="false" customHeight="true" outlineLevel="0" collapsed="false">
      <c r="A7" s="209" t="s">
        <v>125</v>
      </c>
      <c r="B7" s="79" t="n">
        <f aca="false">B3-B6</f>
        <v>46854.17</v>
      </c>
      <c r="C7" s="79" t="n">
        <f aca="false">C3-C6</f>
        <v>0</v>
      </c>
      <c r="D7" s="79" t="n">
        <f aca="false">D3-D6</f>
        <v>833.33</v>
      </c>
      <c r="E7" s="273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8.75" hidden="false" customHeight="true" outlineLevel="0" collapsed="false">
      <c r="A8" s="209"/>
      <c r="B8" s="207"/>
      <c r="C8" s="207"/>
      <c r="D8" s="207"/>
      <c r="E8" s="210"/>
      <c r="F8" s="19"/>
      <c r="G8" s="19"/>
      <c r="H8" s="19"/>
      <c r="I8" s="26" t="s">
        <v>3</v>
      </c>
      <c r="J8" s="27" t="n">
        <f aca="false">E13+E14</f>
        <v>640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8.75" hidden="false" customHeight="true" outlineLevel="0" collapsed="false">
      <c r="A9" s="402" t="s">
        <v>133</v>
      </c>
      <c r="B9" s="402"/>
      <c r="C9" s="402"/>
      <c r="D9" s="402"/>
      <c r="E9" s="494" t="n">
        <f aca="false">B7+C7+D7+E3</f>
        <v>47687.5</v>
      </c>
      <c r="F9" s="19"/>
      <c r="G9" s="19"/>
      <c r="H9" s="19"/>
      <c r="I9" s="27"/>
      <c r="J9" s="27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8.75" hidden="false" customHeight="true" outlineLevel="0" collapsed="false">
      <c r="A10" s="404" t="s">
        <v>134</v>
      </c>
      <c r="B10" s="404"/>
      <c r="C10" s="404"/>
      <c r="D10" s="404"/>
      <c r="E10" s="476" t="n">
        <v>550</v>
      </c>
      <c r="F10" s="19"/>
      <c r="G10" s="19"/>
      <c r="H10" s="19"/>
      <c r="I10" s="32" t="s">
        <v>1</v>
      </c>
      <c r="J10" s="27" t="n">
        <f aca="false">E15-E11-J8</f>
        <v>48237.5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8.75" hidden="false" customHeight="true" outlineLevel="0" collapsed="false">
      <c r="A11" s="404" t="s">
        <v>135</v>
      </c>
      <c r="B11" s="404"/>
      <c r="C11" s="404"/>
      <c r="D11" s="404"/>
      <c r="E11" s="273" t="n">
        <f aca="false">(E9+E10)*20%</f>
        <v>9647.5</v>
      </c>
      <c r="F11" s="19"/>
      <c r="G11" s="19"/>
      <c r="H11" s="19"/>
      <c r="I11" s="27"/>
      <c r="J11" s="27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8.75" hidden="false" customHeight="true" outlineLevel="0" collapsed="false">
      <c r="A12" s="404" t="s">
        <v>136</v>
      </c>
      <c r="B12" s="404"/>
      <c r="C12" s="404"/>
      <c r="D12" s="404"/>
      <c r="E12" s="476" t="n"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8.75" hidden="false" customHeight="true" outlineLevel="0" collapsed="false">
      <c r="A13" s="404" t="s">
        <v>137</v>
      </c>
      <c r="B13" s="404"/>
      <c r="C13" s="404"/>
      <c r="D13" s="404"/>
      <c r="E13" s="476" t="n">
        <v>585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8.75" hidden="false" customHeight="true" outlineLevel="0" collapsed="false">
      <c r="A14" s="404" t="s">
        <v>138</v>
      </c>
      <c r="B14" s="404"/>
      <c r="C14" s="404"/>
      <c r="D14" s="404"/>
      <c r="E14" s="476" t="n">
        <v>55</v>
      </c>
      <c r="F14" s="19"/>
      <c r="G14" s="19" t="s">
        <v>13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8.75" hidden="false" customHeight="true" outlineLevel="0" collapsed="false">
      <c r="A15" s="404" t="s">
        <v>139</v>
      </c>
      <c r="B15" s="404"/>
      <c r="C15" s="404"/>
      <c r="D15" s="404"/>
      <c r="E15" s="495" t="n">
        <f aca="false">(E9+E10+E13+E14+E11)-E12</f>
        <v>58525</v>
      </c>
      <c r="F15" s="19"/>
      <c r="G15" s="205" t="n">
        <f aca="false">E15</f>
        <v>58525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8.75" hidden="false" customHeight="true" outlineLevel="0" collapsed="false">
      <c r="A16" s="404" t="s">
        <v>140</v>
      </c>
      <c r="B16" s="404"/>
      <c r="C16" s="404"/>
      <c r="D16" s="404"/>
      <c r="E16" s="476" t="n">
        <v>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6" t="s">
        <v>15</v>
      </c>
      <c r="Z16" s="19"/>
    </row>
    <row r="17" customFormat="false" ht="18.75" hidden="false" customHeight="true" outlineLevel="0" collapsed="false">
      <c r="A17" s="349" t="s">
        <v>141</v>
      </c>
      <c r="B17" s="349"/>
      <c r="C17" s="349"/>
      <c r="D17" s="349"/>
      <c r="E17" s="210"/>
      <c r="F17" s="19"/>
      <c r="G17" s="19" t="s">
        <v>16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6" t="s">
        <v>17</v>
      </c>
      <c r="Z17" s="19"/>
    </row>
    <row r="18" customFormat="false" ht="18.75" hidden="false" customHeight="true" outlineLevel="0" collapsed="false">
      <c r="A18" s="405" t="s">
        <v>15</v>
      </c>
      <c r="B18" s="406" t="s">
        <v>142</v>
      </c>
      <c r="C18" s="406"/>
      <c r="D18" s="406"/>
      <c r="E18" s="479" t="n">
        <v>0</v>
      </c>
      <c r="F18" s="19"/>
      <c r="G18" s="205" t="n">
        <f aca="false">(B3+C3+D3+E3+E10)*1.2</f>
        <v>57885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6" t="s">
        <v>18</v>
      </c>
      <c r="Z18" s="19"/>
    </row>
    <row r="19" customFormat="false" ht="18.75" hidden="false" customHeight="true" outlineLevel="0" collapsed="false">
      <c r="A19" s="405" t="s">
        <v>17</v>
      </c>
      <c r="B19" s="406" t="s">
        <v>142</v>
      </c>
      <c r="C19" s="406"/>
      <c r="D19" s="406"/>
      <c r="E19" s="479" t="n"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 t="s">
        <v>9</v>
      </c>
    </row>
    <row r="20" customFormat="false" ht="18.75" hidden="false" customHeight="true" outlineLevel="0" collapsed="false">
      <c r="A20" s="405" t="s">
        <v>18</v>
      </c>
      <c r="B20" s="406" t="s">
        <v>142</v>
      </c>
      <c r="C20" s="406"/>
      <c r="D20" s="406"/>
      <c r="E20" s="479" t="n"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 t="s">
        <v>10</v>
      </c>
    </row>
    <row r="21" customFormat="false" ht="18.75" hidden="false" customHeight="true" outlineLevel="0" collapsed="false">
      <c r="A21" s="407" t="s">
        <v>143</v>
      </c>
      <c r="B21" s="407"/>
      <c r="C21" s="407"/>
      <c r="D21" s="407"/>
      <c r="E21" s="480" t="n">
        <f aca="false">E15-((E18*1.2)+(E19*1.2)+(E20*1.2)+(E16*1.2))</f>
        <v>58525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8.75" hidden="false" customHeight="true" outlineLevel="0" collapsed="false">
      <c r="A22" s="207"/>
      <c r="B22" s="207"/>
      <c r="C22" s="207"/>
      <c r="D22" s="207"/>
      <c r="E22" s="207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7.35" hidden="false" customHeight="false" outlineLevel="0" collapsed="false">
      <c r="A23" s="207"/>
      <c r="B23" s="207"/>
      <c r="C23" s="207"/>
      <c r="D23" s="207"/>
      <c r="E23" s="207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56.7" hidden="false" customHeight="true" outlineLevel="0" collapsed="false">
      <c r="A24" s="208" t="s">
        <v>208</v>
      </c>
      <c r="B24" s="208"/>
      <c r="C24" s="208"/>
      <c r="D24" s="208"/>
      <c r="E24" s="20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8.75" hidden="false" customHeight="true" outlineLevel="0" collapsed="false">
      <c r="A25" s="209"/>
      <c r="B25" s="207"/>
      <c r="C25" s="207"/>
      <c r="D25" s="207"/>
      <c r="E25" s="21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8.75" hidden="false" customHeight="true" outlineLevel="0" collapsed="false">
      <c r="A26" s="211" t="s">
        <v>209</v>
      </c>
      <c r="B26" s="211"/>
      <c r="C26" s="211"/>
      <c r="D26" s="211"/>
      <c r="E26" s="211"/>
      <c r="F26" s="19"/>
      <c r="G26" s="212"/>
      <c r="H26" s="212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8.75" hidden="false" customHeight="true" outlineLevel="0" collapsed="false">
      <c r="A27" s="209"/>
      <c r="B27" s="207"/>
      <c r="C27" s="207"/>
      <c r="D27" s="207"/>
      <c r="E27" s="210"/>
      <c r="F27" s="19"/>
      <c r="G27" s="213" t="s">
        <v>46</v>
      </c>
      <c r="H27" s="213" t="n">
        <f aca="false">IF(A32=Y103,1,IF(A32=Y104,1,IF(A32=Y105,3,IF(A32=Y106,6,IF(A32=Y107,9,IF(A32=Y108,12,IF(A32=Y109,3,IF(A32=Y110,6,IF(A32=Y111,9,0)))))))))</f>
        <v>0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8.75" hidden="false" customHeight="true" outlineLevel="0" collapsed="false">
      <c r="A28" s="214" t="s">
        <v>210</v>
      </c>
      <c r="B28" s="215" t="s">
        <v>211</v>
      </c>
      <c r="C28" s="207"/>
      <c r="D28" s="215" t="s">
        <v>212</v>
      </c>
      <c r="E28" s="210"/>
      <c r="F28" s="19"/>
      <c r="G28" s="213" t="s">
        <v>60</v>
      </c>
      <c r="H28" s="213" t="n">
        <f aca="false">IF(A32=Y103,H29-H37,IF(A32=Y104,H29-H37,IF(A32=Y105,H29-1,IF(A32=Y106,H29-1,IF(A32=Y107,H29-1,IF(A32=Y108,H29-1,IF(A32=Y109,H29-H37,IF(A32=Y110,H29-H37,IF(A32=Y111,H29-H37,0)))))))))</f>
        <v>0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8.75" hidden="false" customHeight="true" outlineLevel="0" collapsed="false">
      <c r="A29" s="216" t="s">
        <v>213</v>
      </c>
      <c r="B29" s="217" t="n">
        <v>12345</v>
      </c>
      <c r="C29" s="217"/>
      <c r="D29" s="218" t="n">
        <f aca="true">TODAY()+1</f>
        <v>45008</v>
      </c>
      <c r="E29" s="218"/>
      <c r="F29" s="19"/>
      <c r="G29" s="212" t="s">
        <v>214</v>
      </c>
      <c r="H29" s="212" t="n">
        <f aca="false">B35</f>
        <v>12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8.75" hidden="false" customHeight="true" outlineLevel="0" collapsed="false">
      <c r="A30" s="209"/>
      <c r="B30" s="21"/>
      <c r="C30" s="21"/>
      <c r="D30" s="207"/>
      <c r="E30" s="210"/>
      <c r="F30" s="19"/>
      <c r="G30" s="212" t="s">
        <v>31</v>
      </c>
      <c r="H30" s="212" t="n">
        <f aca="false">D35</f>
        <v>5000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8.75" hidden="false" customHeight="true" outlineLevel="0" collapsed="false">
      <c r="A31" s="214" t="s">
        <v>23</v>
      </c>
      <c r="B31" s="215" t="s">
        <v>215</v>
      </c>
      <c r="C31" s="207"/>
      <c r="D31" s="215" t="s">
        <v>216</v>
      </c>
      <c r="E31" s="210"/>
      <c r="F31" s="19"/>
      <c r="G31" s="212" t="s">
        <v>217</v>
      </c>
      <c r="H31" s="219" t="str">
        <f aca="false">D38</f>
        <v>500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8.75" hidden="false" customHeight="true" outlineLevel="0" collapsed="false">
      <c r="A32" s="216" t="s">
        <v>100</v>
      </c>
      <c r="B32" s="220" t="str">
        <f aca="false">IF(A32=Z103,D38,IF(A32=Z104,D38,IF(A32=Z105,(D38*3),IF(A32=Z106,(D38*6),IF(A32=Z107,(D38*9),IF(A32=Z108,(D38*12),IF(A32=Z109,D38,IF(A32=Z110,D38,IF(A32=Z111,D38,0)))))))))</f>
        <v>500</v>
      </c>
      <c r="C32" s="220"/>
      <c r="D32" s="220" t="str">
        <f aca="false">IF(A32=Z103,A41,IF(A32=Z104,A41,IF(A32=Z105,(A41*3),IF(A32=Z106,(A41*6),IF(A32=Z107,(A41*9),IF(A32=Z108,(A41*12),IF(A32=Z109,A41,IF(A32=Z110,A41,IF(A32=Z111,A41,0)))))))))</f>
        <v>50</v>
      </c>
      <c r="E32" s="220"/>
      <c r="F32" s="19"/>
      <c r="G32" s="221" t="s">
        <v>218</v>
      </c>
      <c r="H32" s="219" t="str">
        <f aca="false">A41</f>
        <v>50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18.75" hidden="false" customHeight="true" outlineLevel="0" collapsed="false">
      <c r="A33" s="222"/>
      <c r="B33" s="174"/>
      <c r="C33" s="223"/>
      <c r="D33" s="176"/>
      <c r="E33" s="210"/>
      <c r="F33" s="19"/>
      <c r="G33" s="221" t="s">
        <v>219</v>
      </c>
      <c r="H33" s="219" t="str">
        <f aca="false">D41</f>
        <v>6000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8.75" hidden="false" customHeight="true" outlineLevel="0" collapsed="false">
      <c r="A34" s="222" t="s">
        <v>220</v>
      </c>
      <c r="B34" s="224" t="s">
        <v>221</v>
      </c>
      <c r="C34" s="223"/>
      <c r="D34" s="64" t="s">
        <v>175</v>
      </c>
      <c r="E34" s="210"/>
      <c r="F34" s="19"/>
      <c r="G34" s="221" t="s">
        <v>222</v>
      </c>
      <c r="H34" s="219" t="str">
        <f aca="false">A44</f>
        <v>12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8.75" hidden="false" customHeight="true" outlineLevel="0" collapsed="false">
      <c r="A35" s="220" t="n">
        <f aca="false">B32+D32</f>
        <v>550</v>
      </c>
      <c r="B35" s="217" t="n">
        <v>12</v>
      </c>
      <c r="C35" s="217"/>
      <c r="D35" s="217" t="n">
        <v>5000</v>
      </c>
      <c r="E35" s="217"/>
      <c r="F35" s="19"/>
      <c r="G35" s="225"/>
      <c r="H35" s="226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8.75" hidden="false" customHeight="true" outlineLevel="0" collapsed="false">
      <c r="A36" s="209"/>
      <c r="B36" s="207"/>
      <c r="C36" s="207"/>
      <c r="D36" s="207"/>
      <c r="E36" s="210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8.75" hidden="false" customHeight="true" outlineLevel="0" collapsed="false">
      <c r="A37" s="214" t="s">
        <v>223</v>
      </c>
      <c r="B37" s="215" t="s">
        <v>224</v>
      </c>
      <c r="C37" s="207"/>
      <c r="D37" s="215" t="s">
        <v>225</v>
      </c>
      <c r="E37" s="210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8.75" hidden="false" customHeight="true" outlineLevel="0" collapsed="false">
      <c r="A38" s="227" t="n">
        <f aca="false">(B35/12)*D35</f>
        <v>5000</v>
      </c>
      <c r="B38" s="217" t="s">
        <v>9</v>
      </c>
      <c r="C38" s="217"/>
      <c r="D38" s="60" t="s">
        <v>226</v>
      </c>
      <c r="E38" s="60"/>
      <c r="F38" s="19"/>
      <c r="G38" s="19"/>
      <c r="H38" s="19"/>
      <c r="I38" s="22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8.75" hidden="false" customHeight="true" outlineLevel="0" collapsed="false">
      <c r="A39" s="229"/>
      <c r="B39" s="223"/>
      <c r="C39" s="223"/>
      <c r="D39" s="207"/>
      <c r="E39" s="210"/>
      <c r="F39" s="19"/>
      <c r="G39" s="19"/>
      <c r="H39" s="228"/>
      <c r="I39" s="228"/>
      <c r="J39" s="22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8.75" hidden="false" customHeight="true" outlineLevel="0" collapsed="false">
      <c r="A40" s="230" t="s">
        <v>227</v>
      </c>
      <c r="B40" s="231" t="s">
        <v>93</v>
      </c>
      <c r="C40" s="223"/>
      <c r="D40" s="232" t="s">
        <v>228</v>
      </c>
      <c r="E40" s="210"/>
      <c r="F40" s="19"/>
      <c r="G40" s="19"/>
      <c r="H40" s="228"/>
      <c r="I40" s="228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8.75" hidden="false" customHeight="true" outlineLevel="0" collapsed="false">
      <c r="A41" s="60" t="s">
        <v>340</v>
      </c>
      <c r="B41" s="233" t="n">
        <f aca="false">IF(B38="YES", D38+A41, D38)</f>
        <v>550</v>
      </c>
      <c r="C41" s="233"/>
      <c r="D41" s="60" t="s">
        <v>336</v>
      </c>
      <c r="E41" s="60"/>
      <c r="F41" s="19"/>
      <c r="G41" s="19"/>
      <c r="H41" s="235"/>
      <c r="I41" s="22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8.75" hidden="false" customHeight="true" outlineLevel="0" collapsed="false">
      <c r="A42" s="229"/>
      <c r="B42" s="223"/>
      <c r="C42" s="223"/>
      <c r="D42" s="223"/>
      <c r="E42" s="236"/>
      <c r="F42" s="19"/>
      <c r="G42" s="237" t="s">
        <v>42</v>
      </c>
      <c r="H42" s="237"/>
      <c r="I42" s="22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8.75" hidden="false" customHeight="true" outlineLevel="0" collapsed="false">
      <c r="A43" s="230" t="s">
        <v>111</v>
      </c>
      <c r="B43" s="231" t="s">
        <v>229</v>
      </c>
      <c r="C43" s="223"/>
      <c r="D43" s="231" t="s">
        <v>230</v>
      </c>
      <c r="E43" s="236"/>
      <c r="F43" s="19"/>
      <c r="G43" s="19" t="s">
        <v>231</v>
      </c>
      <c r="H43" s="228" t="n">
        <f aca="false">((((D38*(B35-1))+B32)/B35) + (A44/B35))</f>
        <v>501</v>
      </c>
      <c r="I43" s="22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8.75" hidden="false" customHeight="true" outlineLevel="0" collapsed="false">
      <c r="A44" s="60" t="s">
        <v>232</v>
      </c>
      <c r="B44" s="60" t="s">
        <v>341</v>
      </c>
      <c r="C44" s="60"/>
      <c r="D44" s="60" t="s">
        <v>373</v>
      </c>
      <c r="E44" s="60"/>
      <c r="F44" s="19"/>
      <c r="G44" s="19" t="s">
        <v>233</v>
      </c>
      <c r="H44" s="228" t="str">
        <f aca="false">H32</f>
        <v>50</v>
      </c>
      <c r="I44" s="238" t="n">
        <f aca="false">((A41*(B35-1))+D32)/B35</f>
        <v>50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8.75" hidden="false" customHeight="true" outlineLevel="0" collapsed="false">
      <c r="A45" s="229"/>
      <c r="B45" s="223"/>
      <c r="C45" s="223"/>
      <c r="D45" s="223"/>
      <c r="E45" s="236"/>
      <c r="F45" s="19"/>
      <c r="G45" s="19" t="s">
        <v>234</v>
      </c>
      <c r="H45" s="239" t="n">
        <f aca="false">H43+H44</f>
        <v>551</v>
      </c>
      <c r="I45" s="22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8.75" hidden="false" customHeight="true" outlineLevel="0" collapsed="false">
      <c r="A46" s="230" t="s">
        <v>235</v>
      </c>
      <c r="B46" s="231" t="s">
        <v>236</v>
      </c>
      <c r="C46" s="223"/>
      <c r="D46" s="231" t="s">
        <v>237</v>
      </c>
      <c r="E46" s="236"/>
      <c r="F46" s="19"/>
      <c r="G46" s="19" t="s">
        <v>238</v>
      </c>
      <c r="H46" s="228" t="n">
        <f aca="false">H43</f>
        <v>501</v>
      </c>
      <c r="I46" s="22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8.75" hidden="false" customHeight="true" outlineLevel="0" collapsed="false">
      <c r="A47" s="240" t="n">
        <v>0</v>
      </c>
      <c r="B47" s="497" t="s">
        <v>373</v>
      </c>
      <c r="C47" s="497"/>
      <c r="D47" s="60" t="s">
        <v>373</v>
      </c>
      <c r="E47" s="60"/>
      <c r="F47" s="19"/>
      <c r="G47" s="19"/>
      <c r="H47" s="228"/>
      <c r="I47" s="22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8.75" hidden="false" customHeight="true" outlineLevel="0" collapsed="false">
      <c r="A48" s="229"/>
      <c r="B48" s="223"/>
      <c r="C48" s="223"/>
      <c r="D48" s="223"/>
      <c r="E48" s="236"/>
      <c r="F48" s="19"/>
      <c r="G48" s="19"/>
      <c r="H48" s="228"/>
      <c r="I48" s="22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8.75" hidden="false" customHeight="true" outlineLevel="0" collapsed="false">
      <c r="A49" s="229"/>
      <c r="B49" s="223"/>
      <c r="C49" s="223"/>
      <c r="D49" s="223"/>
      <c r="E49" s="236"/>
      <c r="F49" s="19"/>
      <c r="G49" s="19"/>
      <c r="H49" s="228"/>
      <c r="I49" s="22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8.75" hidden="false" customHeight="true" outlineLevel="0" collapsed="false">
      <c r="B50" s="223"/>
      <c r="C50" s="223"/>
      <c r="D50" s="223"/>
      <c r="E50" s="236"/>
      <c r="F50" s="19"/>
      <c r="G50" s="19"/>
      <c r="H50" s="228"/>
      <c r="I50" s="22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8.75" hidden="false" customHeight="true" outlineLevel="0" collapsed="false">
      <c r="A51" s="229"/>
      <c r="B51" s="223"/>
      <c r="C51" s="223"/>
      <c r="D51" s="223"/>
      <c r="E51" s="236"/>
      <c r="F51" s="19"/>
      <c r="G51" s="19"/>
      <c r="H51" s="228"/>
      <c r="I51" s="22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8.75" hidden="false" customHeight="true" outlineLevel="0" collapsed="false">
      <c r="A52" s="242" t="s">
        <v>239</v>
      </c>
      <c r="B52" s="223"/>
      <c r="C52" s="223"/>
      <c r="D52" s="223"/>
      <c r="E52" s="236"/>
      <c r="F52" s="19"/>
      <c r="G52" s="19"/>
      <c r="H52" s="228"/>
      <c r="I52" s="22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8.75" hidden="false" customHeight="true" outlineLevel="0" collapsed="false">
      <c r="A53" s="229"/>
      <c r="B53" s="223"/>
      <c r="C53" s="223"/>
      <c r="D53" s="223"/>
      <c r="E53" s="236"/>
      <c r="F53" s="19"/>
      <c r="G53" s="19"/>
      <c r="H53" s="228"/>
      <c r="I53" s="22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8.75" hidden="false" customHeight="true" outlineLevel="0" collapsed="false">
      <c r="A54" s="243" t="s">
        <v>239</v>
      </c>
      <c r="B54" s="207"/>
      <c r="C54" s="207"/>
      <c r="D54" s="244"/>
      <c r="E54" s="245"/>
      <c r="F54" s="19"/>
      <c r="G54" s="19"/>
      <c r="H54" s="228"/>
      <c r="I54" s="22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8.75" hidden="false" customHeight="true" outlineLevel="0" collapsed="false">
      <c r="A55" s="209"/>
      <c r="B55" s="246"/>
      <c r="C55" s="246"/>
      <c r="D55" s="207"/>
      <c r="E55" s="210"/>
      <c r="F55" s="19"/>
      <c r="G55" s="19"/>
      <c r="H55" s="247"/>
      <c r="I55" s="22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8.75" hidden="false" customHeight="true" outlineLevel="0" collapsed="false">
      <c r="A56" s="248" t="s">
        <v>28</v>
      </c>
      <c r="B56" s="249" t="s">
        <v>33</v>
      </c>
      <c r="C56" s="249"/>
      <c r="D56" s="207"/>
      <c r="E56" s="210"/>
      <c r="F56" s="19"/>
      <c r="G56" s="19"/>
      <c r="H56" s="19"/>
      <c r="I56" s="22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8.75" hidden="false" customHeight="true" outlineLevel="0" collapsed="false">
      <c r="A57" s="248"/>
      <c r="B57" s="250" t="n">
        <f aca="false">H30</f>
        <v>5000</v>
      </c>
      <c r="C57" s="250"/>
      <c r="D57" s="207"/>
      <c r="E57" s="210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8.75" hidden="false" customHeight="true" outlineLevel="0" collapsed="false">
      <c r="A58" s="251" t="n">
        <f aca="false">H29</f>
        <v>12</v>
      </c>
      <c r="B58" s="92" t="n">
        <f aca="false">H45</f>
        <v>551</v>
      </c>
      <c r="C58" s="92"/>
      <c r="D58" s="207"/>
      <c r="E58" s="210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8.75" hidden="false" customHeight="true" outlineLevel="0" collapsed="false">
      <c r="A59" s="209"/>
      <c r="B59" s="207"/>
      <c r="C59" s="207"/>
      <c r="D59" s="207"/>
      <c r="E59" s="210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8.75" hidden="false" customHeight="true" outlineLevel="0" collapsed="false">
      <c r="A60" s="252"/>
      <c r="B60" s="253"/>
      <c r="C60" s="253"/>
      <c r="D60" s="253"/>
      <c r="E60" s="254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8.75" hidden="false" customHeight="true" outlineLevel="0" collapsed="false">
      <c r="A61" s="207"/>
      <c r="B61" s="207"/>
      <c r="C61" s="207"/>
      <c r="D61" s="207"/>
      <c r="E61" s="207"/>
      <c r="F61" s="19"/>
      <c r="G61" s="207"/>
      <c r="H61" s="207"/>
      <c r="I61" s="207"/>
      <c r="J61" s="207"/>
      <c r="K61" s="207"/>
      <c r="L61" s="19"/>
      <c r="M61" s="207"/>
      <c r="N61" s="207"/>
      <c r="O61" s="207"/>
      <c r="P61" s="207"/>
      <c r="Q61" s="207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8.75" hidden="false" customHeight="true" outlineLevel="0" collapsed="false">
      <c r="A62" s="255"/>
      <c r="B62" s="256" t="s">
        <v>4</v>
      </c>
      <c r="C62" s="256"/>
      <c r="D62" s="256"/>
      <c r="E62" s="257"/>
      <c r="F62" s="19"/>
      <c r="G62" s="255"/>
      <c r="H62" s="256"/>
      <c r="I62" s="256"/>
      <c r="J62" s="256"/>
      <c r="K62" s="257"/>
      <c r="L62" s="19"/>
      <c r="M62" s="255"/>
      <c r="N62" s="256"/>
      <c r="O62" s="256"/>
      <c r="P62" s="256"/>
      <c r="Q62" s="257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8.75" hidden="false" customHeight="true" outlineLevel="0" collapsed="false">
      <c r="A63" s="209" t="s">
        <v>46</v>
      </c>
      <c r="B63" s="207" t="n">
        <f aca="false">IF(B105=Z103,1,IF(B105=Z104,1,IF(B105=Z105,3,IF(B105=Z106,6,IF(B105=Z107,9,IF(B105=Z108,12,IF(B105=Z109,3,IF(B105=Z110,6,IF(B105=Z111,9,0)))))))))</f>
        <v>9</v>
      </c>
      <c r="C63" s="207"/>
      <c r="D63" s="207"/>
      <c r="E63" s="210"/>
      <c r="F63" s="19"/>
      <c r="G63" s="209" t="s">
        <v>46</v>
      </c>
      <c r="H63" s="207" t="n">
        <f aca="false">IF(H105=Y103,1,IF(H105=Y104,1,IF(H105=Y105,3,IF(H105=Y106,6,IF(H105=Y107,9,IF(H105=Y108,12,IF(H105=Y109,3,IF(H105=Y110,6,IF(H105=Y111,9,0)))))))))</f>
        <v>0</v>
      </c>
      <c r="I63" s="207"/>
      <c r="J63" s="207"/>
      <c r="K63" s="210"/>
      <c r="L63" s="19"/>
      <c r="M63" s="209" t="s">
        <v>46</v>
      </c>
      <c r="N63" s="207" t="n">
        <f aca="false">IF(N105=Y103,1,IF(N105=Y104,1,IF(N105=Y105,3,IF(N105=Y106,6,IF(N105=Y107,9,IF(N105=Y108,12,IF(N105=Y109,3,IF(N105=Y110,6,IF(N105=Y111,9,0)))))))))</f>
        <v>0</v>
      </c>
      <c r="O63" s="207"/>
      <c r="P63" s="207"/>
      <c r="Q63" s="210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8.75" hidden="false" customHeight="true" outlineLevel="0" collapsed="false">
      <c r="A64" s="209" t="s">
        <v>60</v>
      </c>
      <c r="B64" s="207" t="n">
        <f aca="false">IF(B105=Z103,H29-B63,IF(B105=Z104,H29-B63,IF(B105=Z105,H29-1,IF(B105=Z106,H29-1,IF(B105=Z107,H29-1,IF(B105=Z108,H29-1,IF(B105=Z109,H29-B63,IF(B105=Z110,H29-B63,IF(B105=Z111,H29-B63,0)))))))))</f>
        <v>3</v>
      </c>
      <c r="C64" s="207"/>
      <c r="D64" s="207"/>
      <c r="E64" s="210"/>
      <c r="F64" s="19"/>
      <c r="G64" s="209" t="s">
        <v>60</v>
      </c>
      <c r="H64" s="207" t="n">
        <f aca="false">IF(H105=Y103,H29-H63,IF(H105=Y104,H29-H63,IF(H105=Y105,H29-1,IF(H105=Y106,H29-1,IF(H105=Y107,H29-1,IF(H105=Y108,H29-1,IF(H105=Y109,H29-H63,IF(H105=Y110,H29-H63,IF(H105=Y111,H29-H63,0)))))))))</f>
        <v>0</v>
      </c>
      <c r="I64" s="207"/>
      <c r="J64" s="207"/>
      <c r="K64" s="210"/>
      <c r="L64" s="19"/>
      <c r="M64" s="209" t="s">
        <v>60</v>
      </c>
      <c r="N64" s="207" t="n">
        <f aca="false">IF(N105=Y103,H29-N63,IF(N105=Y104,H29-N63,IF(N105=Y105,H29-1,IF(N105=Y106,H29-1,IF(N105=Y107,H29-1,IF(N105=Y108,H29-1,IF(N105=Y109,H29-N63,IF(N105=Y110,H29-N63,IF(N105=Y111,H29-N63,0)))))))))</f>
        <v>0</v>
      </c>
      <c r="O64" s="207"/>
      <c r="P64" s="207"/>
      <c r="Q64" s="210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8.75" hidden="false" customHeight="true" outlineLevel="0" collapsed="false">
      <c r="A65" s="209"/>
      <c r="B65" s="207"/>
      <c r="C65" s="207"/>
      <c r="D65" s="207"/>
      <c r="E65" s="210"/>
      <c r="F65" s="19"/>
      <c r="G65" s="209"/>
      <c r="H65" s="207"/>
      <c r="I65" s="207"/>
      <c r="J65" s="207"/>
      <c r="K65" s="210"/>
      <c r="L65" s="19"/>
      <c r="M65" s="209"/>
      <c r="N65" s="207"/>
      <c r="O65" s="207"/>
      <c r="P65" s="207"/>
      <c r="Q65" s="210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8.75" hidden="false" customHeight="true" outlineLevel="0" collapsed="false">
      <c r="A66" s="209"/>
      <c r="B66" s="207"/>
      <c r="C66" s="207"/>
      <c r="D66" s="207"/>
      <c r="E66" s="210"/>
      <c r="F66" s="19"/>
      <c r="G66" s="209"/>
      <c r="H66" s="207"/>
      <c r="I66" s="207"/>
      <c r="J66" s="207"/>
      <c r="K66" s="210"/>
      <c r="L66" s="19"/>
      <c r="M66" s="209"/>
      <c r="N66" s="207"/>
      <c r="O66" s="207"/>
      <c r="P66" s="207"/>
      <c r="Q66" s="210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8.75" hidden="false" customHeight="true" outlineLevel="0" collapsed="false">
      <c r="A67" s="209" t="s">
        <v>16</v>
      </c>
      <c r="B67" s="79" t="n">
        <f aca="false">G18</f>
        <v>57885</v>
      </c>
      <c r="C67" s="207"/>
      <c r="D67" s="207"/>
      <c r="E67" s="210"/>
      <c r="F67" s="19"/>
      <c r="G67" s="209" t="s">
        <v>16</v>
      </c>
      <c r="H67" s="79" t="n">
        <f aca="false">G18</f>
        <v>57885</v>
      </c>
      <c r="I67" s="207"/>
      <c r="J67" s="207"/>
      <c r="K67" s="210"/>
      <c r="L67" s="19"/>
      <c r="M67" s="209" t="s">
        <v>16</v>
      </c>
      <c r="N67" s="79" t="n">
        <f aca="false">G18</f>
        <v>57885</v>
      </c>
      <c r="O67" s="207"/>
      <c r="P67" s="207"/>
      <c r="Q67" s="210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8.75" hidden="false" customHeight="true" outlineLevel="0" collapsed="false">
      <c r="A68" s="258" t="s">
        <v>241</v>
      </c>
      <c r="B68" s="259" t="n">
        <v>0.07</v>
      </c>
      <c r="C68" s="207"/>
      <c r="D68" s="207"/>
      <c r="E68" s="210"/>
      <c r="F68" s="19"/>
      <c r="G68" s="258" t="s">
        <v>241</v>
      </c>
      <c r="H68" s="259" t="n">
        <v>0.07</v>
      </c>
      <c r="I68" s="207"/>
      <c r="J68" s="207"/>
      <c r="K68" s="210"/>
      <c r="L68" s="19"/>
      <c r="M68" s="258" t="s">
        <v>241</v>
      </c>
      <c r="N68" s="259" t="n">
        <v>0.07</v>
      </c>
      <c r="O68" s="207"/>
      <c r="P68" s="207"/>
      <c r="Q68" s="210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8.75" hidden="false" customHeight="true" outlineLevel="0" collapsed="false">
      <c r="A69" s="209" t="s">
        <v>242</v>
      </c>
      <c r="B69" s="260" t="n">
        <f aca="false">B68+(B68*0.25*(H29/12-1))</f>
        <v>0.07</v>
      </c>
      <c r="C69" s="207"/>
      <c r="D69" s="207"/>
      <c r="E69" s="210"/>
      <c r="F69" s="19"/>
      <c r="G69" s="209" t="s">
        <v>242</v>
      </c>
      <c r="H69" s="260" t="n">
        <f aca="false">H68+(H68*0.25*(H29/12-1))</f>
        <v>0.07</v>
      </c>
      <c r="I69" s="207"/>
      <c r="J69" s="207"/>
      <c r="K69" s="210"/>
      <c r="L69" s="19"/>
      <c r="M69" s="209" t="s">
        <v>242</v>
      </c>
      <c r="N69" s="260" t="n">
        <f aca="false">N68+(N68*0.25*(H29/12-1))</f>
        <v>0.07</v>
      </c>
      <c r="O69" s="207"/>
      <c r="P69" s="207"/>
      <c r="Q69" s="210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18.75" hidden="false" customHeight="true" outlineLevel="0" collapsed="false">
      <c r="A70" s="252" t="s">
        <v>65</v>
      </c>
      <c r="B70" s="139" t="n">
        <f aca="false">B67*B69</f>
        <v>4051.95</v>
      </c>
      <c r="C70" s="207" t="n">
        <v>10000</v>
      </c>
      <c r="D70" s="79" t="n">
        <f aca="false">B70-A149</f>
        <v>4051.95</v>
      </c>
      <c r="E70" s="210" t="n">
        <f aca="false">D70/12</f>
        <v>337.6625</v>
      </c>
      <c r="F70" s="19"/>
      <c r="G70" s="252" t="s">
        <v>65</v>
      </c>
      <c r="H70" s="139" t="n">
        <f aca="false">H67*H69</f>
        <v>4051.95</v>
      </c>
      <c r="I70" s="207"/>
      <c r="J70" s="79" t="n">
        <f aca="false">H70-G151</f>
        <v>4051.95</v>
      </c>
      <c r="K70" s="210"/>
      <c r="L70" s="19"/>
      <c r="M70" s="252" t="s">
        <v>65</v>
      </c>
      <c r="N70" s="139" t="n">
        <f aca="false">N67*N69</f>
        <v>4051.95</v>
      </c>
      <c r="O70" s="207"/>
      <c r="P70" s="79" t="n">
        <f aca="false">N70-M151</f>
        <v>4051.95</v>
      </c>
      <c r="Q70" s="210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18.75" hidden="false" customHeight="true" outlineLevel="0" collapsed="false">
      <c r="A71" s="258" t="s">
        <v>66</v>
      </c>
      <c r="B71" s="259" t="n">
        <v>0.01</v>
      </c>
      <c r="C71" s="207"/>
      <c r="D71" s="207"/>
      <c r="E71" s="210"/>
      <c r="F71" s="19"/>
      <c r="G71" s="258" t="s">
        <v>66</v>
      </c>
      <c r="H71" s="259" t="n">
        <v>0.005</v>
      </c>
      <c r="I71" s="207"/>
      <c r="J71" s="207"/>
      <c r="K71" s="210"/>
      <c r="L71" s="19"/>
      <c r="M71" s="258" t="s">
        <v>66</v>
      </c>
      <c r="N71" s="259" t="n">
        <v>0.005</v>
      </c>
      <c r="O71" s="207"/>
      <c r="P71" s="207"/>
      <c r="Q71" s="210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8.75" hidden="false" customHeight="true" outlineLevel="0" collapsed="false">
      <c r="A72" s="209" t="s">
        <v>67</v>
      </c>
      <c r="B72" s="260" t="n">
        <f aca="false">B71+(B71*0.5*(H29/12-1))</f>
        <v>0.01</v>
      </c>
      <c r="C72" s="207"/>
      <c r="D72" s="207"/>
      <c r="E72" s="210"/>
      <c r="F72" s="19"/>
      <c r="G72" s="209" t="s">
        <v>67</v>
      </c>
      <c r="H72" s="260" t="n">
        <f aca="false">H71+(H71*0.5*(H29/12-1))</f>
        <v>0.005</v>
      </c>
      <c r="I72" s="207"/>
      <c r="J72" s="207"/>
      <c r="K72" s="210"/>
      <c r="L72" s="19"/>
      <c r="M72" s="209" t="s">
        <v>67</v>
      </c>
      <c r="N72" s="260" t="n">
        <f aca="false">N71+(N71*0.5*(H29/12-1))</f>
        <v>0.005</v>
      </c>
      <c r="O72" s="207"/>
      <c r="P72" s="207"/>
      <c r="Q72" s="210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8.75" hidden="false" customHeight="true" outlineLevel="0" collapsed="false">
      <c r="A73" s="252" t="s">
        <v>68</v>
      </c>
      <c r="B73" s="139" t="n">
        <f aca="false">B67*B72</f>
        <v>578.85</v>
      </c>
      <c r="C73" s="207"/>
      <c r="D73" s="79"/>
      <c r="E73" s="210"/>
      <c r="F73" s="19"/>
      <c r="G73" s="252" t="s">
        <v>68</v>
      </c>
      <c r="H73" s="139" t="n">
        <f aca="false">H67*H72</f>
        <v>289.425</v>
      </c>
      <c r="I73" s="207"/>
      <c r="J73" s="79"/>
      <c r="K73" s="210"/>
      <c r="L73" s="19"/>
      <c r="M73" s="252" t="s">
        <v>68</v>
      </c>
      <c r="N73" s="139" t="n">
        <f aca="false">N67*N72</f>
        <v>289.425</v>
      </c>
      <c r="O73" s="207"/>
      <c r="P73" s="79"/>
      <c r="Q73" s="210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8.75" hidden="false" customHeight="true" outlineLevel="0" collapsed="false">
      <c r="A74" s="258" t="s">
        <v>69</v>
      </c>
      <c r="B74" s="259" t="n">
        <v>0.0075</v>
      </c>
      <c r="C74" s="207"/>
      <c r="D74" s="207"/>
      <c r="E74" s="210"/>
      <c r="F74" s="19"/>
      <c r="G74" s="258" t="s">
        <v>69</v>
      </c>
      <c r="H74" s="259" t="n">
        <v>0.0075</v>
      </c>
      <c r="I74" s="207"/>
      <c r="J74" s="207"/>
      <c r="K74" s="210"/>
      <c r="L74" s="19"/>
      <c r="M74" s="258" t="s">
        <v>69</v>
      </c>
      <c r="N74" s="259" t="n">
        <v>0.0075</v>
      </c>
      <c r="O74" s="207"/>
      <c r="P74" s="207"/>
      <c r="Q74" s="210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8.75" hidden="false" customHeight="true" outlineLevel="0" collapsed="false">
      <c r="A75" s="261" t="s">
        <v>70</v>
      </c>
      <c r="B75" s="262" t="n">
        <v>0.12</v>
      </c>
      <c r="C75" s="207"/>
      <c r="D75" s="207"/>
      <c r="E75" s="210"/>
      <c r="F75" s="19"/>
      <c r="G75" s="261" t="s">
        <v>70</v>
      </c>
      <c r="H75" s="262" t="n">
        <v>0.12</v>
      </c>
      <c r="I75" s="207"/>
      <c r="J75" s="207"/>
      <c r="K75" s="210"/>
      <c r="L75" s="19"/>
      <c r="M75" s="261" t="s">
        <v>70</v>
      </c>
      <c r="N75" s="262" t="n">
        <v>0.12</v>
      </c>
      <c r="O75" s="207"/>
      <c r="P75" s="207"/>
      <c r="Q75" s="210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8.75" hidden="false" customHeight="true" outlineLevel="0" collapsed="false">
      <c r="A76" s="252" t="s">
        <v>71</v>
      </c>
      <c r="B76" s="263" t="n">
        <f aca="false">B74*(1+B75)</f>
        <v>0.0084</v>
      </c>
      <c r="C76" s="207"/>
      <c r="D76" s="207"/>
      <c r="E76" s="210"/>
      <c r="F76" s="19"/>
      <c r="G76" s="252" t="s">
        <v>71</v>
      </c>
      <c r="H76" s="263" t="n">
        <f aca="false">H74*(1+H75)</f>
        <v>0.0084</v>
      </c>
      <c r="I76" s="207"/>
      <c r="J76" s="207"/>
      <c r="K76" s="210"/>
      <c r="L76" s="19"/>
      <c r="M76" s="252" t="s">
        <v>71</v>
      </c>
      <c r="N76" s="263" t="n">
        <f aca="false">N74*(1+N75)</f>
        <v>0.0084</v>
      </c>
      <c r="O76" s="207"/>
      <c r="P76" s="207"/>
      <c r="Q76" s="210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8.75" hidden="false" customHeight="true" outlineLevel="0" collapsed="false">
      <c r="A77" s="258" t="s">
        <v>72</v>
      </c>
      <c r="B77" s="264" t="n">
        <v>200</v>
      </c>
      <c r="C77" s="207"/>
      <c r="D77" s="207"/>
      <c r="E77" s="210"/>
      <c r="F77" s="19"/>
      <c r="G77" s="258" t="s">
        <v>72</v>
      </c>
      <c r="H77" s="264" t="n">
        <v>160</v>
      </c>
      <c r="I77" s="207"/>
      <c r="J77" s="207"/>
      <c r="K77" s="210"/>
      <c r="L77" s="19"/>
      <c r="M77" s="258" t="s">
        <v>72</v>
      </c>
      <c r="N77" s="264" t="n">
        <v>160</v>
      </c>
      <c r="O77" s="207"/>
      <c r="P77" s="207"/>
      <c r="Q77" s="210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8.75" hidden="false" customHeight="true" outlineLevel="0" collapsed="false">
      <c r="A78" s="261" t="s">
        <v>73</v>
      </c>
      <c r="B78" s="265" t="n">
        <v>5</v>
      </c>
      <c r="C78" s="207"/>
      <c r="D78" s="207"/>
      <c r="E78" s="210"/>
      <c r="F78" s="19"/>
      <c r="G78" s="261" t="s">
        <v>73</v>
      </c>
      <c r="H78" s="265" t="n">
        <v>4.5</v>
      </c>
      <c r="I78" s="207"/>
      <c r="J78" s="207"/>
      <c r="K78" s="210"/>
      <c r="L78" s="19"/>
      <c r="M78" s="261" t="s">
        <v>73</v>
      </c>
      <c r="N78" s="265" t="n">
        <v>4.5</v>
      </c>
      <c r="O78" s="207"/>
      <c r="P78" s="207"/>
      <c r="Q78" s="210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8.75" hidden="false" customHeight="true" outlineLevel="0" collapsed="false">
      <c r="A79" s="252" t="s">
        <v>74</v>
      </c>
      <c r="B79" s="139" t="n">
        <f aca="false">B78*H29</f>
        <v>60</v>
      </c>
      <c r="C79" s="207"/>
      <c r="D79" s="79" t="n">
        <f aca="false">B79+B77</f>
        <v>260</v>
      </c>
      <c r="E79" s="266" t="n">
        <f aca="false">D79+D85+D86</f>
        <v>660</v>
      </c>
      <c r="F79" s="19"/>
      <c r="G79" s="252" t="s">
        <v>74</v>
      </c>
      <c r="H79" s="139" t="n">
        <f aca="false">H78*H29</f>
        <v>54</v>
      </c>
      <c r="I79" s="207"/>
      <c r="J79" s="79" t="n">
        <f aca="false">H79+H77</f>
        <v>214</v>
      </c>
      <c r="K79" s="210"/>
      <c r="L79" s="19"/>
      <c r="M79" s="252" t="s">
        <v>74</v>
      </c>
      <c r="N79" s="139" t="n">
        <f aca="false">N78*H29</f>
        <v>54</v>
      </c>
      <c r="O79" s="207"/>
      <c r="P79" s="79" t="n">
        <f aca="false">N79+N77</f>
        <v>214</v>
      </c>
      <c r="Q79" s="210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8.75" hidden="false" customHeight="true" outlineLevel="0" collapsed="false">
      <c r="A80" s="258" t="s">
        <v>243</v>
      </c>
      <c r="B80" s="264" t="n">
        <v>165</v>
      </c>
      <c r="C80" s="207"/>
      <c r="D80" s="207"/>
      <c r="E80" s="266" t="n">
        <f aca="false">E79+D82</f>
        <v>703.333333333333</v>
      </c>
      <c r="F80" s="19"/>
      <c r="G80" s="258" t="s">
        <v>243</v>
      </c>
      <c r="H80" s="264" t="n">
        <v>150</v>
      </c>
      <c r="I80" s="207"/>
      <c r="J80" s="207"/>
      <c r="K80" s="210"/>
      <c r="L80" s="19"/>
      <c r="M80" s="267" t="s">
        <v>243</v>
      </c>
      <c r="N80" s="268" t="n">
        <v>0</v>
      </c>
      <c r="O80" s="207"/>
      <c r="P80" s="207"/>
      <c r="Q80" s="210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18.75" hidden="false" customHeight="true" outlineLevel="0" collapsed="false">
      <c r="A81" s="261" t="s">
        <v>244</v>
      </c>
      <c r="B81" s="265" t="n">
        <v>355</v>
      </c>
      <c r="C81" s="207"/>
      <c r="D81" s="207"/>
      <c r="E81" s="210" t="n">
        <f aca="false">E80/12</f>
        <v>58.6111111111111</v>
      </c>
      <c r="F81" s="19"/>
      <c r="G81" s="261" t="s">
        <v>244</v>
      </c>
      <c r="H81" s="265" t="n">
        <f aca="false">IF(G18&gt;40000, 325, 0)</f>
        <v>325</v>
      </c>
      <c r="I81" s="207"/>
      <c r="J81" s="207"/>
      <c r="K81" s="210"/>
      <c r="L81" s="19"/>
      <c r="M81" s="269" t="s">
        <v>244</v>
      </c>
      <c r="N81" s="270" t="n">
        <v>0</v>
      </c>
      <c r="O81" s="207"/>
      <c r="P81" s="207"/>
      <c r="Q81" s="210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18.75" hidden="false" customHeight="true" outlineLevel="0" collapsed="false">
      <c r="A82" s="252" t="s">
        <v>245</v>
      </c>
      <c r="B82" s="139" t="n">
        <f aca="false">((B80+B81)/12)*(H29-11)</f>
        <v>43.3333333333333</v>
      </c>
      <c r="C82" s="207"/>
      <c r="D82" s="79" t="n">
        <f aca="false">IF(A50="YES", 0, B82)</f>
        <v>43.3333333333333</v>
      </c>
      <c r="E82" s="210"/>
      <c r="F82" s="19"/>
      <c r="G82" s="252" t="s">
        <v>245</v>
      </c>
      <c r="H82" s="139" t="n">
        <f aca="false">((H80+H81)/12)*(H29-11)</f>
        <v>39.5833333333333</v>
      </c>
      <c r="I82" s="207"/>
      <c r="J82" s="79" t="n">
        <f aca="false">IF(A50="YES", 0, H82)</f>
        <v>39.5833333333333</v>
      </c>
      <c r="K82" s="210"/>
      <c r="L82" s="19"/>
      <c r="M82" s="271" t="s">
        <v>245</v>
      </c>
      <c r="N82" s="272" t="n">
        <f aca="false">((N80+N81)/12)*(H29-11)</f>
        <v>0</v>
      </c>
      <c r="O82" s="207"/>
      <c r="P82" s="79" t="n">
        <f aca="false">IF(A50="YES", 0, N82)</f>
        <v>0</v>
      </c>
      <c r="Q82" s="210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8.75" hidden="false" customHeight="true" outlineLevel="0" collapsed="false">
      <c r="A83" s="258" t="s">
        <v>246</v>
      </c>
      <c r="B83" s="264" t="n">
        <f aca="false">B108/(1-0.1)</f>
        <v>444.444444444444</v>
      </c>
      <c r="C83" s="207"/>
      <c r="D83" s="79" t="n">
        <f aca="false">B83</f>
        <v>444.444444444444</v>
      </c>
      <c r="E83" s="210" t="n">
        <f aca="false">D83/12</f>
        <v>37.037037037037</v>
      </c>
      <c r="F83" s="19"/>
      <c r="G83" s="258" t="s">
        <v>246</v>
      </c>
      <c r="H83" s="264" t="n">
        <f aca="false">H108</f>
        <v>1200</v>
      </c>
      <c r="I83" s="207"/>
      <c r="J83" s="79" t="n">
        <f aca="false">H83</f>
        <v>1200</v>
      </c>
      <c r="K83" s="210"/>
      <c r="L83" s="19"/>
      <c r="M83" s="258" t="s">
        <v>246</v>
      </c>
      <c r="N83" s="264" t="n">
        <f aca="false">N108</f>
        <v>1200</v>
      </c>
      <c r="O83" s="207"/>
      <c r="P83" s="79" t="n">
        <f aca="false">N83</f>
        <v>1200</v>
      </c>
      <c r="Q83" s="210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18.75" hidden="false" customHeight="true" outlineLevel="0" collapsed="false">
      <c r="A84" s="209" t="s">
        <v>247</v>
      </c>
      <c r="B84" s="273" t="n">
        <f aca="false">D108/(1-0.1)</f>
        <v>222.222222222222</v>
      </c>
      <c r="C84" s="207"/>
      <c r="D84" s="79" t="n">
        <f aca="false">B84</f>
        <v>222.222222222222</v>
      </c>
      <c r="E84" s="210"/>
      <c r="F84" s="19"/>
      <c r="G84" s="209" t="s">
        <v>248</v>
      </c>
      <c r="H84" s="273" t="n">
        <f aca="false">J108</f>
        <v>1500</v>
      </c>
      <c r="I84" s="207"/>
      <c r="J84" s="79" t="n">
        <f aca="false">H84</f>
        <v>1500</v>
      </c>
      <c r="K84" s="210"/>
      <c r="L84" s="19"/>
      <c r="M84" s="209" t="s">
        <v>248</v>
      </c>
      <c r="N84" s="273" t="n">
        <f aca="false">P108</f>
        <v>1500</v>
      </c>
      <c r="O84" s="207"/>
      <c r="P84" s="79" t="n">
        <f aca="false">N84</f>
        <v>1500</v>
      </c>
      <c r="Q84" s="210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8.75" hidden="false" customHeight="true" outlineLevel="0" collapsed="false">
      <c r="A85" s="261" t="s">
        <v>75</v>
      </c>
      <c r="B85" s="265" t="n">
        <v>200</v>
      </c>
      <c r="C85" s="207"/>
      <c r="D85" s="79" t="n">
        <f aca="false">B85</f>
        <v>200</v>
      </c>
      <c r="E85" s="210"/>
      <c r="F85" s="19"/>
      <c r="G85" s="261" t="s">
        <v>75</v>
      </c>
      <c r="H85" s="265" t="n">
        <v>100</v>
      </c>
      <c r="I85" s="207"/>
      <c r="J85" s="79" t="n">
        <f aca="false">H85</f>
        <v>100</v>
      </c>
      <c r="K85" s="210"/>
      <c r="L85" s="19"/>
      <c r="M85" s="261" t="s">
        <v>75</v>
      </c>
      <c r="N85" s="265" t="n">
        <v>100</v>
      </c>
      <c r="O85" s="207"/>
      <c r="P85" s="79" t="n">
        <f aca="false">N85</f>
        <v>100</v>
      </c>
      <c r="Q85" s="210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8.75" hidden="false" customHeight="true" outlineLevel="0" collapsed="false">
      <c r="A86" s="274" t="s">
        <v>76</v>
      </c>
      <c r="B86" s="275" t="n">
        <v>200</v>
      </c>
      <c r="C86" s="207"/>
      <c r="D86" s="79" t="n">
        <f aca="false">B86</f>
        <v>200</v>
      </c>
      <c r="E86" s="210"/>
      <c r="F86" s="19"/>
      <c r="G86" s="274" t="s">
        <v>76</v>
      </c>
      <c r="H86" s="275" t="n">
        <v>100</v>
      </c>
      <c r="I86" s="207"/>
      <c r="J86" s="79" t="n">
        <f aca="false">H86</f>
        <v>100</v>
      </c>
      <c r="K86" s="210"/>
      <c r="L86" s="19"/>
      <c r="M86" s="274" t="s">
        <v>76</v>
      </c>
      <c r="N86" s="275" t="n">
        <v>100</v>
      </c>
      <c r="O86" s="207"/>
      <c r="P86" s="79" t="n">
        <f aca="false">N86</f>
        <v>100</v>
      </c>
      <c r="Q86" s="210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8.75" hidden="false" customHeight="true" outlineLevel="0" collapsed="false">
      <c r="A87" s="276" t="s">
        <v>77</v>
      </c>
      <c r="B87" s="277" t="n">
        <f aca="false">SUM(D70:D86)</f>
        <v>5421.95</v>
      </c>
      <c r="C87" s="207"/>
      <c r="D87" s="207"/>
      <c r="E87" s="210"/>
      <c r="F87" s="19"/>
      <c r="G87" s="276" t="s">
        <v>77</v>
      </c>
      <c r="H87" s="277" t="n">
        <f aca="false">SUM(J70:J86)</f>
        <v>7205.53333333333</v>
      </c>
      <c r="I87" s="207"/>
      <c r="J87" s="207"/>
      <c r="K87" s="210"/>
      <c r="L87" s="19"/>
      <c r="M87" s="276" t="s">
        <v>77</v>
      </c>
      <c r="N87" s="277" t="n">
        <f aca="false">SUM(P70:P86)</f>
        <v>7165.95</v>
      </c>
      <c r="O87" s="207"/>
      <c r="P87" s="207"/>
      <c r="Q87" s="210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8.75" hidden="false" customHeight="true" outlineLevel="0" collapsed="false">
      <c r="A88" s="209" t="s">
        <v>78</v>
      </c>
      <c r="B88" s="273" t="n">
        <f aca="false">B87/H29</f>
        <v>451.829166666667</v>
      </c>
      <c r="C88" s="207"/>
      <c r="D88" s="207"/>
      <c r="E88" s="210"/>
      <c r="F88" s="19"/>
      <c r="G88" s="209" t="s">
        <v>78</v>
      </c>
      <c r="H88" s="273" t="n">
        <f aca="false">H87/H29</f>
        <v>600.461111111111</v>
      </c>
      <c r="I88" s="207"/>
      <c r="J88" s="207"/>
      <c r="K88" s="210"/>
      <c r="L88" s="19"/>
      <c r="M88" s="209" t="s">
        <v>78</v>
      </c>
      <c r="N88" s="273" t="n">
        <f aca="false">N87/H29</f>
        <v>597.1625</v>
      </c>
      <c r="O88" s="207"/>
      <c r="P88" s="207"/>
      <c r="Q88" s="210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8.75" hidden="false" customHeight="true" outlineLevel="0" collapsed="false">
      <c r="A89" s="278" t="s">
        <v>79</v>
      </c>
      <c r="B89" s="279" t="n">
        <f aca="false">H46</f>
        <v>501</v>
      </c>
      <c r="C89" s="207"/>
      <c r="D89" s="207"/>
      <c r="E89" s="210"/>
      <c r="F89" s="19"/>
      <c r="G89" s="278" t="s">
        <v>79</v>
      </c>
      <c r="H89" s="279" t="n">
        <f aca="false">H46</f>
        <v>501</v>
      </c>
      <c r="I89" s="207"/>
      <c r="J89" s="207"/>
      <c r="K89" s="210"/>
      <c r="L89" s="19"/>
      <c r="M89" s="278" t="s">
        <v>79</v>
      </c>
      <c r="N89" s="279" t="n">
        <f aca="false">H46</f>
        <v>501</v>
      </c>
      <c r="O89" s="207"/>
      <c r="P89" s="207"/>
      <c r="Q89" s="210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8.75" hidden="false" customHeight="true" outlineLevel="0" collapsed="false">
      <c r="A90" s="209"/>
      <c r="B90" s="79"/>
      <c r="C90" s="207"/>
      <c r="D90" s="207"/>
      <c r="E90" s="210"/>
      <c r="F90" s="19"/>
      <c r="G90" s="209"/>
      <c r="H90" s="79"/>
      <c r="I90" s="207"/>
      <c r="J90" s="207"/>
      <c r="K90" s="210"/>
      <c r="L90" s="19"/>
      <c r="M90" s="209"/>
      <c r="N90" s="79"/>
      <c r="O90" s="207"/>
      <c r="P90" s="207"/>
      <c r="Q90" s="210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8.75" hidden="false" customHeight="true" outlineLevel="0" collapsed="false">
      <c r="A91" s="255" t="s">
        <v>88</v>
      </c>
      <c r="B91" s="137" t="n">
        <f aca="false">((B89*H29)+B87)*1.2</f>
        <v>13720.74</v>
      </c>
      <c r="C91" s="207"/>
      <c r="D91" s="207"/>
      <c r="E91" s="210"/>
      <c r="F91" s="19"/>
      <c r="G91" s="255" t="s">
        <v>88</v>
      </c>
      <c r="H91" s="137" t="n">
        <f aca="false">((H89*H29)+H87)*1.2</f>
        <v>15861.04</v>
      </c>
      <c r="I91" s="207"/>
      <c r="J91" s="207"/>
      <c r="K91" s="210"/>
      <c r="L91" s="19"/>
      <c r="M91" s="255" t="s">
        <v>88</v>
      </c>
      <c r="N91" s="137" t="n">
        <f aca="false">((N89*H29)+N87)</f>
        <v>13177.95</v>
      </c>
      <c r="O91" s="207"/>
      <c r="P91" s="207"/>
      <c r="Q91" s="210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8.75" hidden="false" customHeight="true" outlineLevel="0" collapsed="false">
      <c r="A92" s="209" t="s">
        <v>89</v>
      </c>
      <c r="B92" s="273" t="n">
        <f aca="false">(((B89*H29)+B87)/(1-B76))*B76</f>
        <v>96.8587938684954</v>
      </c>
      <c r="C92" s="207"/>
      <c r="D92" s="207"/>
      <c r="E92" s="280"/>
      <c r="F92" s="19"/>
      <c r="G92" s="209" t="s">
        <v>89</v>
      </c>
      <c r="H92" s="273" t="n">
        <f aca="false">(((H89*H29)+H87)/(1-H76))*H76</f>
        <v>111.967809600645</v>
      </c>
      <c r="I92" s="207"/>
      <c r="J92" s="207"/>
      <c r="K92" s="210"/>
      <c r="L92" s="19"/>
      <c r="M92" s="209" t="s">
        <v>89</v>
      </c>
      <c r="N92" s="273" t="n">
        <f aca="false">(N91/(1-N76))*N76</f>
        <v>111.632492940702</v>
      </c>
      <c r="O92" s="207"/>
      <c r="P92" s="207"/>
      <c r="Q92" s="210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8.75" hidden="false" customHeight="true" outlineLevel="0" collapsed="false">
      <c r="A93" s="252" t="s">
        <v>90</v>
      </c>
      <c r="B93" s="139" t="n">
        <f aca="false">IF(B116="YES",((B91+B92)-E120),(B91+B92))</f>
        <v>9817.5987938685</v>
      </c>
      <c r="C93" s="207"/>
      <c r="D93" s="207"/>
      <c r="E93" s="210"/>
      <c r="F93" s="19"/>
      <c r="G93" s="252" t="s">
        <v>90</v>
      </c>
      <c r="H93" s="139" t="n">
        <f aca="false">IF(H116="YES",((H91+H92)-K120),(H91+H92))</f>
        <v>17973.0078096006</v>
      </c>
      <c r="I93" s="207"/>
      <c r="J93" s="207"/>
      <c r="K93" s="210"/>
      <c r="L93" s="19"/>
      <c r="M93" s="252" t="s">
        <v>90</v>
      </c>
      <c r="N93" s="139" t="n">
        <f aca="false">IF(N116="YES",((N91+N92)-K120),(N91+N92))</f>
        <v>15289.5824929407</v>
      </c>
      <c r="O93" s="207"/>
      <c r="P93" s="207"/>
      <c r="Q93" s="210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18.75" hidden="false" customHeight="true" outlineLevel="0" collapsed="false">
      <c r="A94" s="209"/>
      <c r="B94" s="79"/>
      <c r="C94" s="207"/>
      <c r="D94" s="207"/>
      <c r="E94" s="210"/>
      <c r="F94" s="19"/>
      <c r="G94" s="209"/>
      <c r="H94" s="79"/>
      <c r="I94" s="207"/>
      <c r="J94" s="207"/>
      <c r="K94" s="210"/>
      <c r="L94" s="19"/>
      <c r="M94" s="209"/>
      <c r="N94" s="79"/>
      <c r="O94" s="207"/>
      <c r="P94" s="207"/>
      <c r="Q94" s="210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8.75" hidden="false" customHeight="true" outlineLevel="0" collapsed="false">
      <c r="A95" s="276" t="s">
        <v>91</v>
      </c>
      <c r="B95" s="277" t="n">
        <f aca="false">IF(B105=Z104,(((H44*B35)+(H44*B35)*(B111/100))/(B64)),(((H44*B35)+(H44*B35)*(B111/100))/(B63+B64)))*1.2</f>
        <v>78</v>
      </c>
      <c r="C95" s="207"/>
      <c r="D95" s="207"/>
      <c r="E95" s="210"/>
      <c r="F95" s="19"/>
      <c r="G95" s="276" t="s">
        <v>91</v>
      </c>
      <c r="H95" s="277" t="e">
        <f aca="false">(((H44*B35)+((H44*B35)*H111))/(H63+H64))*1.2</f>
        <v>#DIV/0!</v>
      </c>
      <c r="I95" s="207"/>
      <c r="J95" s="207"/>
      <c r="K95" s="210"/>
      <c r="L95" s="19"/>
      <c r="M95" s="276" t="s">
        <v>91</v>
      </c>
      <c r="N95" s="277" t="e">
        <f aca="false">((H44*B35)+((H44*B35)*N111))/(N63+N64)</f>
        <v>#DIV/0!</v>
      </c>
      <c r="O95" s="207"/>
      <c r="P95" s="207"/>
      <c r="Q95" s="210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8.75" hidden="false" customHeight="true" outlineLevel="0" collapsed="false">
      <c r="A96" s="281" t="s">
        <v>92</v>
      </c>
      <c r="B96" s="282" t="n">
        <f aca="false">IF(B105=Z104, (B93-D111)/(B64), B93/(B63+B64))</f>
        <v>818.133232822375</v>
      </c>
      <c r="C96" s="207"/>
      <c r="D96" s="207"/>
      <c r="E96" s="210"/>
      <c r="F96" s="19"/>
      <c r="G96" s="281" t="s">
        <v>92</v>
      </c>
      <c r="H96" s="282" t="e">
        <f aca="false">IF(H105=Y104, (H93-J111)/(H64), H93/(H63+H64))</f>
        <v>#DIV/0!</v>
      </c>
      <c r="I96" s="207"/>
      <c r="J96" s="207"/>
      <c r="K96" s="210"/>
      <c r="L96" s="19"/>
      <c r="M96" s="281" t="s">
        <v>92</v>
      </c>
      <c r="N96" s="282" t="e">
        <f aca="false">IF(N105=Y104, (N93-P111)/(N64), N93/(N63+N64))</f>
        <v>#DIV/0!</v>
      </c>
      <c r="O96" s="207"/>
      <c r="P96" s="207"/>
      <c r="Q96" s="210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8.75" hidden="false" customHeight="true" outlineLevel="0" collapsed="false">
      <c r="A97" s="283" t="s">
        <v>93</v>
      </c>
      <c r="B97" s="284" t="n">
        <f aca="false">IF(A111="YES", B96+B95, B96)</f>
        <v>896.133232822375</v>
      </c>
      <c r="C97" s="207"/>
      <c r="D97" s="285"/>
      <c r="E97" s="210"/>
      <c r="F97" s="19"/>
      <c r="G97" s="283" t="s">
        <v>93</v>
      </c>
      <c r="H97" s="284" t="e">
        <f aca="false">IF(G111="YES", H96+H95, H96)</f>
        <v>#DIV/0!</v>
      </c>
      <c r="I97" s="207"/>
      <c r="J97" s="207"/>
      <c r="K97" s="210"/>
      <c r="L97" s="19"/>
      <c r="M97" s="283" t="s">
        <v>93</v>
      </c>
      <c r="N97" s="284" t="e">
        <f aca="false">IF(M111="YES", N96+N95, N96)</f>
        <v>#DIV/0!</v>
      </c>
      <c r="O97" s="207"/>
      <c r="P97" s="207"/>
      <c r="Q97" s="210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18.75" hidden="false" customHeight="true" outlineLevel="0" collapsed="false">
      <c r="A98" s="252"/>
      <c r="B98" s="253"/>
      <c r="C98" s="253"/>
      <c r="D98" s="253"/>
      <c r="E98" s="254"/>
      <c r="F98" s="19"/>
      <c r="G98" s="252"/>
      <c r="H98" s="253"/>
      <c r="I98" s="253"/>
      <c r="J98" s="253"/>
      <c r="K98" s="254"/>
      <c r="L98" s="19"/>
      <c r="M98" s="252"/>
      <c r="N98" s="253"/>
      <c r="O98" s="253"/>
      <c r="P98" s="253"/>
      <c r="Q98" s="254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18.75" hidden="false" customHeight="true" outlineLevel="0" collapsed="false">
      <c r="A99" s="207"/>
      <c r="B99" s="207"/>
      <c r="C99" s="207"/>
      <c r="D99" s="207"/>
      <c r="E99" s="207"/>
      <c r="F99" s="19"/>
      <c r="G99" s="207"/>
      <c r="H99" s="207"/>
      <c r="I99" s="207"/>
      <c r="J99" s="207"/>
      <c r="K99" s="207"/>
      <c r="L99" s="19"/>
      <c r="M99" s="207"/>
      <c r="N99" s="207"/>
      <c r="O99" s="207"/>
      <c r="P99" s="207"/>
      <c r="Q99" s="207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48.75" hidden="false" customHeight="true" outlineLevel="0" collapsed="false">
      <c r="A100" s="208" t="s">
        <v>250</v>
      </c>
      <c r="B100" s="208"/>
      <c r="C100" s="208"/>
      <c r="D100" s="208"/>
      <c r="E100" s="208"/>
      <c r="F100" s="19"/>
      <c r="G100" s="208" t="s">
        <v>250</v>
      </c>
      <c r="H100" s="208"/>
      <c r="I100" s="208"/>
      <c r="J100" s="208"/>
      <c r="K100" s="208"/>
      <c r="L100" s="19"/>
      <c r="M100" s="208" t="s">
        <v>251</v>
      </c>
      <c r="N100" s="208"/>
      <c r="O100" s="208"/>
      <c r="P100" s="208"/>
      <c r="Q100" s="208"/>
      <c r="R100" s="19"/>
      <c r="S100" s="19"/>
      <c r="T100" s="19"/>
      <c r="U100" s="19"/>
      <c r="V100" s="19"/>
      <c r="W100" s="19"/>
      <c r="X100" s="19"/>
      <c r="Y100" s="19"/>
      <c r="Z100" s="19"/>
    </row>
    <row r="101" customFormat="false" ht="18.75" hidden="false" customHeight="true" outlineLevel="0" collapsed="false">
      <c r="A101" s="209"/>
      <c r="B101" s="207"/>
      <c r="C101" s="207"/>
      <c r="D101" s="207"/>
      <c r="E101" s="210"/>
      <c r="F101" s="19"/>
      <c r="G101" s="209"/>
      <c r="H101" s="207"/>
      <c r="I101" s="207"/>
      <c r="J101" s="207"/>
      <c r="K101" s="210"/>
      <c r="L101" s="19"/>
      <c r="M101" s="209"/>
      <c r="N101" s="207"/>
      <c r="O101" s="207"/>
      <c r="P101" s="207"/>
      <c r="Q101" s="210"/>
      <c r="R101" s="19"/>
      <c r="S101" s="19"/>
      <c r="T101" s="19"/>
      <c r="U101" s="19"/>
      <c r="V101" s="19"/>
      <c r="W101" s="19"/>
      <c r="X101" s="19"/>
      <c r="Y101" s="19"/>
      <c r="Z101" s="19"/>
    </row>
    <row r="102" customFormat="false" ht="18.75" hidden="false" customHeight="true" outlineLevel="0" collapsed="false">
      <c r="A102" s="211" t="s">
        <v>26</v>
      </c>
      <c r="B102" s="211"/>
      <c r="C102" s="211"/>
      <c r="D102" s="211"/>
      <c r="E102" s="211"/>
      <c r="F102" s="19"/>
      <c r="G102" s="211" t="s">
        <v>26</v>
      </c>
      <c r="H102" s="211"/>
      <c r="I102" s="211"/>
      <c r="J102" s="211"/>
      <c r="K102" s="211"/>
      <c r="L102" s="19"/>
      <c r="M102" s="211" t="s">
        <v>26</v>
      </c>
      <c r="N102" s="211"/>
      <c r="O102" s="211"/>
      <c r="P102" s="211"/>
      <c r="Q102" s="211"/>
      <c r="R102" s="19"/>
      <c r="S102" s="19"/>
      <c r="T102" s="19"/>
      <c r="U102" s="19"/>
      <c r="V102" s="19"/>
      <c r="W102" s="19"/>
      <c r="X102" s="19"/>
      <c r="Y102" s="19"/>
      <c r="Z102" s="19"/>
    </row>
    <row r="103" customFormat="false" ht="18.75" hidden="false" customHeight="true" outlineLevel="0" collapsed="false">
      <c r="A103" s="209"/>
      <c r="B103" s="207"/>
      <c r="C103" s="207"/>
      <c r="D103" s="207"/>
      <c r="E103" s="210"/>
      <c r="F103" s="19"/>
      <c r="G103" s="209"/>
      <c r="H103" s="207"/>
      <c r="I103" s="207"/>
      <c r="J103" s="207"/>
      <c r="K103" s="210"/>
      <c r="L103" s="19"/>
      <c r="M103" s="209"/>
      <c r="N103" s="207"/>
      <c r="O103" s="207"/>
      <c r="P103" s="207"/>
      <c r="Q103" s="210"/>
      <c r="R103" s="19"/>
      <c r="S103" s="19"/>
      <c r="T103" s="19"/>
      <c r="U103" s="19"/>
      <c r="V103" s="19"/>
      <c r="W103" s="19"/>
      <c r="X103" s="19"/>
      <c r="Y103" s="19"/>
      <c r="Z103" s="19" t="s">
        <v>100</v>
      </c>
    </row>
    <row r="104" customFormat="false" ht="18.75" hidden="false" customHeight="true" outlineLevel="0" collapsed="false">
      <c r="A104" s="209" t="s">
        <v>98</v>
      </c>
      <c r="B104" s="207" t="s">
        <v>23</v>
      </c>
      <c r="C104" s="207"/>
      <c r="D104" s="207" t="s">
        <v>252</v>
      </c>
      <c r="E104" s="210"/>
      <c r="F104" s="19"/>
      <c r="G104" s="209" t="s">
        <v>98</v>
      </c>
      <c r="H104" s="207" t="s">
        <v>23</v>
      </c>
      <c r="I104" s="207"/>
      <c r="J104" s="207" t="s">
        <v>252</v>
      </c>
      <c r="K104" s="210"/>
      <c r="L104" s="19"/>
      <c r="M104" s="209" t="s">
        <v>98</v>
      </c>
      <c r="N104" s="207" t="s">
        <v>23</v>
      </c>
      <c r="O104" s="207"/>
      <c r="P104" s="207" t="s">
        <v>252</v>
      </c>
      <c r="Q104" s="210"/>
      <c r="R104" s="19"/>
      <c r="S104" s="19"/>
      <c r="T104" s="19"/>
      <c r="U104" s="19"/>
      <c r="V104" s="19"/>
      <c r="W104" s="19"/>
      <c r="X104" s="19"/>
      <c r="Y104" s="19"/>
      <c r="Z104" s="19" t="s">
        <v>253</v>
      </c>
    </row>
    <row r="105" customFormat="false" ht="18.75" hidden="false" customHeight="true" outlineLevel="0" collapsed="false">
      <c r="A105" s="214"/>
      <c r="B105" s="286" t="s">
        <v>315</v>
      </c>
      <c r="C105" s="286"/>
      <c r="D105" s="287" t="n">
        <v>1000</v>
      </c>
      <c r="E105" s="287"/>
      <c r="F105" s="19"/>
      <c r="G105" s="214" t="s">
        <v>254</v>
      </c>
      <c r="H105" s="286" t="s">
        <v>255</v>
      </c>
      <c r="I105" s="286"/>
      <c r="J105" s="287" t="n">
        <v>5000</v>
      </c>
      <c r="K105" s="287"/>
      <c r="L105" s="19"/>
      <c r="M105" s="214" t="s">
        <v>254</v>
      </c>
      <c r="N105" s="286" t="s">
        <v>256</v>
      </c>
      <c r="O105" s="286"/>
      <c r="P105" s="287" t="n">
        <v>0</v>
      </c>
      <c r="Q105" s="287"/>
      <c r="R105" s="19"/>
      <c r="S105" s="19"/>
      <c r="T105" s="19"/>
      <c r="U105" s="19"/>
      <c r="V105" s="19"/>
      <c r="W105" s="19"/>
      <c r="X105" s="19"/>
      <c r="Y105" s="19"/>
      <c r="Z105" s="19" t="s">
        <v>257</v>
      </c>
    </row>
    <row r="106" customFormat="false" ht="18.75" hidden="false" customHeight="true" outlineLevel="0" collapsed="false">
      <c r="A106" s="209"/>
      <c r="B106" s="207"/>
      <c r="C106" s="207"/>
      <c r="D106" s="207"/>
      <c r="E106" s="210"/>
      <c r="F106" s="19"/>
      <c r="G106" s="209"/>
      <c r="H106" s="207"/>
      <c r="I106" s="207"/>
      <c r="J106" s="207"/>
      <c r="K106" s="210"/>
      <c r="L106" s="19"/>
      <c r="M106" s="209"/>
      <c r="N106" s="207"/>
      <c r="O106" s="207"/>
      <c r="P106" s="207"/>
      <c r="Q106" s="210"/>
      <c r="R106" s="19"/>
      <c r="S106" s="19"/>
      <c r="T106" s="19"/>
      <c r="U106" s="19"/>
      <c r="V106" s="19"/>
      <c r="W106" s="19"/>
      <c r="X106" s="19"/>
      <c r="Y106" s="19"/>
      <c r="Z106" s="19" t="s">
        <v>258</v>
      </c>
    </row>
    <row r="107" customFormat="false" ht="18.75" hidden="false" customHeight="true" outlineLevel="0" collapsed="false">
      <c r="A107" s="209" t="s">
        <v>259</v>
      </c>
      <c r="B107" s="207" t="s">
        <v>260</v>
      </c>
      <c r="C107" s="207"/>
      <c r="D107" s="207" t="s">
        <v>261</v>
      </c>
      <c r="E107" s="210"/>
      <c r="F107" s="19"/>
      <c r="G107" s="209" t="s">
        <v>259</v>
      </c>
      <c r="H107" s="207" t="s">
        <v>260</v>
      </c>
      <c r="I107" s="207"/>
      <c r="J107" s="207" t="s">
        <v>261</v>
      </c>
      <c r="K107" s="210"/>
      <c r="L107" s="19"/>
      <c r="M107" s="209" t="s">
        <v>259</v>
      </c>
      <c r="N107" s="207" t="s">
        <v>260</v>
      </c>
      <c r="O107" s="207"/>
      <c r="P107" s="207" t="s">
        <v>261</v>
      </c>
      <c r="Q107" s="210"/>
      <c r="R107" s="19"/>
      <c r="S107" s="19"/>
      <c r="T107" s="19"/>
      <c r="U107" s="19"/>
      <c r="V107" s="19"/>
      <c r="W107" s="19"/>
      <c r="X107" s="19"/>
      <c r="Y107" s="19"/>
      <c r="Z107" s="19" t="s">
        <v>262</v>
      </c>
    </row>
    <row r="108" customFormat="false" ht="18.75" hidden="false" customHeight="true" outlineLevel="0" collapsed="false">
      <c r="A108" s="288" t="n">
        <v>239.99</v>
      </c>
      <c r="B108" s="72" t="n">
        <v>400</v>
      </c>
      <c r="C108" s="72"/>
      <c r="D108" s="72" t="n">
        <v>200</v>
      </c>
      <c r="E108" s="72"/>
      <c r="F108" s="19"/>
      <c r="G108" s="288" t="n">
        <f aca="false">199.99*1.2</f>
        <v>239.988</v>
      </c>
      <c r="H108" s="72" t="n">
        <v>1200</v>
      </c>
      <c r="I108" s="72"/>
      <c r="J108" s="72" t="n">
        <v>1500</v>
      </c>
      <c r="K108" s="72"/>
      <c r="L108" s="19"/>
      <c r="M108" s="288" t="n">
        <v>199.99</v>
      </c>
      <c r="N108" s="72" t="n">
        <v>1200</v>
      </c>
      <c r="O108" s="72"/>
      <c r="P108" s="72" t="n">
        <v>1500</v>
      </c>
      <c r="Q108" s="72"/>
      <c r="R108" s="19"/>
      <c r="S108" s="19"/>
      <c r="T108" s="19"/>
      <c r="U108" s="19"/>
      <c r="V108" s="19"/>
      <c r="W108" s="19"/>
      <c r="X108" s="19"/>
      <c r="Y108" s="19"/>
      <c r="Z108" s="19" t="s">
        <v>256</v>
      </c>
    </row>
    <row r="109" customFormat="false" ht="18.75" hidden="false" customHeight="true" outlineLevel="0" collapsed="false">
      <c r="A109" s="209"/>
      <c r="B109" s="207"/>
      <c r="C109" s="207"/>
      <c r="D109" s="207"/>
      <c r="E109" s="210"/>
      <c r="F109" s="19"/>
      <c r="G109" s="209"/>
      <c r="H109" s="207"/>
      <c r="I109" s="207"/>
      <c r="J109" s="207"/>
      <c r="K109" s="210"/>
      <c r="L109" s="19"/>
      <c r="M109" s="209"/>
      <c r="N109" s="207"/>
      <c r="O109" s="207"/>
      <c r="P109" s="207"/>
      <c r="Q109" s="210"/>
      <c r="R109" s="19"/>
      <c r="S109" s="19"/>
      <c r="T109" s="19"/>
      <c r="U109" s="19"/>
      <c r="V109" s="19"/>
      <c r="W109" s="19"/>
      <c r="X109" s="19"/>
      <c r="Y109" s="19"/>
      <c r="Z109" s="19" t="s">
        <v>255</v>
      </c>
    </row>
    <row r="110" customFormat="false" ht="18.75" hidden="false" customHeight="true" outlineLevel="0" collapsed="false">
      <c r="A110" s="214" t="s">
        <v>22</v>
      </c>
      <c r="B110" s="19" t="s">
        <v>101</v>
      </c>
      <c r="C110" s="207"/>
      <c r="D110" s="207" t="s">
        <v>112</v>
      </c>
      <c r="E110" s="210"/>
      <c r="F110" s="19"/>
      <c r="G110" s="214" t="s">
        <v>22</v>
      </c>
      <c r="H110" s="19" t="s">
        <v>101</v>
      </c>
      <c r="I110" s="207"/>
      <c r="J110" s="207" t="s">
        <v>112</v>
      </c>
      <c r="K110" s="210"/>
      <c r="L110" s="19"/>
      <c r="M110" s="214" t="s">
        <v>22</v>
      </c>
      <c r="N110" s="19" t="s">
        <v>101</v>
      </c>
      <c r="O110" s="207"/>
      <c r="P110" s="207" t="s">
        <v>112</v>
      </c>
      <c r="Q110" s="210"/>
      <c r="R110" s="19"/>
      <c r="S110" s="19"/>
      <c r="T110" s="19"/>
      <c r="U110" s="19"/>
      <c r="V110" s="19"/>
      <c r="W110" s="19"/>
      <c r="X110" s="19"/>
      <c r="Y110" s="19"/>
      <c r="Z110" s="19" t="s">
        <v>263</v>
      </c>
    </row>
    <row r="111" customFormat="false" ht="18.75" hidden="false" customHeight="true" outlineLevel="0" collapsed="false">
      <c r="A111" s="216" t="s">
        <v>9</v>
      </c>
      <c r="B111" s="286" t="n">
        <v>30</v>
      </c>
      <c r="C111" s="286"/>
      <c r="D111" s="72" t="s">
        <v>264</v>
      </c>
      <c r="E111" s="72"/>
      <c r="F111" s="19"/>
      <c r="G111" s="216" t="s">
        <v>9</v>
      </c>
      <c r="H111" s="289" t="n">
        <v>0.2</v>
      </c>
      <c r="I111" s="289"/>
      <c r="J111" s="72" t="n">
        <v>5000</v>
      </c>
      <c r="K111" s="72"/>
      <c r="L111" s="19"/>
      <c r="M111" s="216" t="s">
        <v>9</v>
      </c>
      <c r="N111" s="289" t="n">
        <v>0.2</v>
      </c>
      <c r="O111" s="289"/>
      <c r="P111" s="72" t="n">
        <v>5000</v>
      </c>
      <c r="Q111" s="72"/>
      <c r="R111" s="19"/>
      <c r="S111" s="19"/>
      <c r="T111" s="19"/>
      <c r="U111" s="19"/>
      <c r="V111" s="19"/>
      <c r="W111" s="19"/>
      <c r="X111" s="19"/>
      <c r="Y111" s="19"/>
      <c r="Z111" s="19" t="s">
        <v>265</v>
      </c>
    </row>
    <row r="112" customFormat="false" ht="18.75" hidden="false" customHeight="true" outlineLevel="0" collapsed="false">
      <c r="A112" s="209"/>
      <c r="B112" s="207"/>
      <c r="C112" s="207"/>
      <c r="D112" s="207" t="s">
        <v>4</v>
      </c>
      <c r="E112" s="210"/>
      <c r="F112" s="19"/>
      <c r="G112" s="209"/>
      <c r="H112" s="207"/>
      <c r="I112" s="207"/>
      <c r="J112" s="207"/>
      <c r="K112" s="210"/>
      <c r="L112" s="19"/>
      <c r="M112" s="209"/>
      <c r="N112" s="207"/>
      <c r="O112" s="207"/>
      <c r="P112" s="207"/>
      <c r="Q112" s="210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8.75" hidden="false" customHeight="true" outlineLevel="0" collapsed="false">
      <c r="A113" s="209"/>
      <c r="B113" s="207"/>
      <c r="C113" s="207"/>
      <c r="D113" s="207"/>
      <c r="E113" s="210"/>
      <c r="F113" s="19"/>
      <c r="G113" s="209"/>
      <c r="H113" s="207"/>
      <c r="I113" s="207"/>
      <c r="J113" s="207"/>
      <c r="K113" s="210"/>
      <c r="L113" s="19"/>
      <c r="M113" s="209"/>
      <c r="N113" s="207" t="s">
        <v>266</v>
      </c>
      <c r="O113" s="216" t="s">
        <v>9</v>
      </c>
      <c r="P113" s="207"/>
      <c r="Q113" s="210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8.75" hidden="false" customHeight="true" outlineLevel="0" collapsed="false">
      <c r="A114" s="211" t="s">
        <v>267</v>
      </c>
      <c r="B114" s="211"/>
      <c r="C114" s="211"/>
      <c r="D114" s="211"/>
      <c r="E114" s="211"/>
      <c r="F114" s="19"/>
      <c r="G114" s="211" t="s">
        <v>267</v>
      </c>
      <c r="H114" s="211"/>
      <c r="I114" s="211"/>
      <c r="J114" s="211"/>
      <c r="K114" s="211"/>
      <c r="L114" s="19"/>
      <c r="M114" s="211" t="s">
        <v>267</v>
      </c>
      <c r="N114" s="211"/>
      <c r="O114" s="211"/>
      <c r="P114" s="211"/>
      <c r="Q114" s="211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8.75" hidden="false" customHeight="true" outlineLevel="0" collapsed="false">
      <c r="A115" s="209"/>
      <c r="B115" s="207"/>
      <c r="C115" s="207"/>
      <c r="D115" s="207"/>
      <c r="E115" s="210"/>
      <c r="F115" s="19"/>
      <c r="G115" s="209"/>
      <c r="H115" s="207"/>
      <c r="I115" s="207"/>
      <c r="J115" s="207"/>
      <c r="K115" s="210"/>
      <c r="L115" s="19"/>
      <c r="M115" s="209"/>
      <c r="N115" s="207"/>
      <c r="O115" s="207"/>
      <c r="P115" s="207"/>
      <c r="Q115" s="210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8.75" hidden="false" customHeight="true" outlineLevel="0" collapsed="false">
      <c r="A116" s="209" t="s">
        <v>268</v>
      </c>
      <c r="B116" s="216" t="s">
        <v>9</v>
      </c>
      <c r="C116" s="207"/>
      <c r="D116" s="207"/>
      <c r="E116" s="210"/>
      <c r="F116" s="19"/>
      <c r="G116" s="209" t="s">
        <v>268</v>
      </c>
      <c r="H116" s="216" t="s">
        <v>9</v>
      </c>
      <c r="I116" s="207"/>
      <c r="J116" s="207"/>
      <c r="K116" s="210"/>
      <c r="L116" s="19"/>
      <c r="M116" s="209" t="s">
        <v>268</v>
      </c>
      <c r="N116" s="216" t="s">
        <v>9</v>
      </c>
      <c r="O116" s="207"/>
      <c r="P116" s="207"/>
      <c r="Q116" s="210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8.75" hidden="false" customHeight="true" outlineLevel="0" collapsed="false">
      <c r="A117" s="209"/>
      <c r="B117" s="207"/>
      <c r="C117" s="207"/>
      <c r="D117" s="207"/>
      <c r="E117" s="210"/>
      <c r="F117" s="19"/>
      <c r="G117" s="209"/>
      <c r="H117" s="207"/>
      <c r="I117" s="207"/>
      <c r="J117" s="207"/>
      <c r="K117" s="210"/>
      <c r="L117" s="19"/>
      <c r="M117" s="209"/>
      <c r="N117" s="207"/>
      <c r="O117" s="207"/>
      <c r="P117" s="207"/>
      <c r="Q117" s="210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8.75" hidden="false" customHeight="true" outlineLevel="0" collapsed="false">
      <c r="A118" s="209" t="s">
        <v>146</v>
      </c>
      <c r="B118" s="207"/>
      <c r="C118" s="207"/>
      <c r="D118" s="288" t="n">
        <v>10000</v>
      </c>
      <c r="E118" s="72" t="n">
        <v>6000</v>
      </c>
      <c r="F118" s="19"/>
      <c r="G118" s="209" t="s">
        <v>146</v>
      </c>
      <c r="H118" s="207"/>
      <c r="I118" s="207"/>
      <c r="J118" s="288" t="n">
        <v>10000</v>
      </c>
      <c r="K118" s="72" t="n">
        <v>5000</v>
      </c>
      <c r="L118" s="19"/>
      <c r="M118" s="209" t="s">
        <v>146</v>
      </c>
      <c r="N118" s="207"/>
      <c r="O118" s="207"/>
      <c r="P118" s="288" t="n">
        <v>10000</v>
      </c>
      <c r="Q118" s="72" t="n">
        <v>5000</v>
      </c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8.75" hidden="false" customHeight="true" outlineLevel="0" collapsed="false">
      <c r="A119" s="209" t="s">
        <v>147</v>
      </c>
      <c r="B119" s="207"/>
      <c r="C119" s="207"/>
      <c r="D119" s="38" t="n">
        <f aca="false">E119</f>
        <v>2000</v>
      </c>
      <c r="E119" s="72" t="n">
        <v>2000</v>
      </c>
      <c r="F119" s="19"/>
      <c r="G119" s="209" t="s">
        <v>147</v>
      </c>
      <c r="H119" s="207"/>
      <c r="I119" s="207"/>
      <c r="J119" s="38" t="n">
        <f aca="false">K119</f>
        <v>7000</v>
      </c>
      <c r="K119" s="72" t="n">
        <v>7000</v>
      </c>
      <c r="L119" s="19"/>
      <c r="M119" s="209" t="s">
        <v>147</v>
      </c>
      <c r="N119" s="207"/>
      <c r="O119" s="207"/>
      <c r="P119" s="38" t="n">
        <f aca="false">Q119</f>
        <v>7000</v>
      </c>
      <c r="Q119" s="72" t="n">
        <v>7000</v>
      </c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8.75" hidden="false" customHeight="true" outlineLevel="0" collapsed="false">
      <c r="A120" s="209" t="s">
        <v>148</v>
      </c>
      <c r="B120" s="207"/>
      <c r="C120" s="207"/>
      <c r="D120" s="38" t="n">
        <f aca="false">D118-D119</f>
        <v>8000</v>
      </c>
      <c r="E120" s="163" t="n">
        <f aca="false">E118-E119</f>
        <v>4000</v>
      </c>
      <c r="F120" s="19"/>
      <c r="G120" s="209" t="s">
        <v>148</v>
      </c>
      <c r="H120" s="207"/>
      <c r="I120" s="207"/>
      <c r="J120" s="38" t="n">
        <f aca="false">J118-J119</f>
        <v>3000</v>
      </c>
      <c r="K120" s="163" t="n">
        <f aca="false">K118-K119</f>
        <v>-2000</v>
      </c>
      <c r="L120" s="19"/>
      <c r="M120" s="209" t="s">
        <v>148</v>
      </c>
      <c r="N120" s="207"/>
      <c r="O120" s="207"/>
      <c r="P120" s="38" t="n">
        <f aca="false">P118-P119</f>
        <v>3000</v>
      </c>
      <c r="Q120" s="163" t="n">
        <f aca="false">Q118-Q119</f>
        <v>-2000</v>
      </c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8.75" hidden="false" customHeight="true" outlineLevel="0" collapsed="false">
      <c r="A121" s="209" t="s">
        <v>149</v>
      </c>
      <c r="B121" s="207"/>
      <c r="C121" s="207"/>
      <c r="D121" s="38" t="n">
        <f aca="false">D120-E120</f>
        <v>4000</v>
      </c>
      <c r="E121" s="210"/>
      <c r="F121" s="19"/>
      <c r="G121" s="209" t="s">
        <v>149</v>
      </c>
      <c r="H121" s="207"/>
      <c r="I121" s="207"/>
      <c r="J121" s="38" t="n">
        <f aca="false">J120-K120</f>
        <v>5000</v>
      </c>
      <c r="K121" s="210"/>
      <c r="L121" s="19"/>
      <c r="M121" s="209" t="s">
        <v>149</v>
      </c>
      <c r="N121" s="207"/>
      <c r="O121" s="207"/>
      <c r="P121" s="38" t="n">
        <f aca="false">P120-Q120</f>
        <v>5000</v>
      </c>
      <c r="Q121" s="210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8.75" hidden="false" customHeight="true" outlineLevel="0" collapsed="false">
      <c r="A122" s="209"/>
      <c r="B122" s="207"/>
      <c r="C122" s="207"/>
      <c r="D122" s="207"/>
      <c r="E122" s="210"/>
      <c r="F122" s="19"/>
      <c r="G122" s="209"/>
      <c r="H122" s="207"/>
      <c r="I122" s="207"/>
      <c r="J122" s="207"/>
      <c r="K122" s="210"/>
      <c r="L122" s="19"/>
      <c r="M122" s="209"/>
      <c r="N122" s="207"/>
      <c r="O122" s="207"/>
      <c r="P122" s="207"/>
      <c r="Q122" s="210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8.75" hidden="false" customHeight="true" outlineLevel="0" collapsed="false">
      <c r="A123" s="255" t="s">
        <v>108</v>
      </c>
      <c r="B123" s="256"/>
      <c r="C123" s="256"/>
      <c r="D123" s="256"/>
      <c r="E123" s="137" t="n">
        <f aca="false">D105</f>
        <v>1000</v>
      </c>
      <c r="F123" s="19"/>
      <c r="G123" s="255" t="s">
        <v>108</v>
      </c>
      <c r="H123" s="256"/>
      <c r="I123" s="256"/>
      <c r="J123" s="256"/>
      <c r="K123" s="137" t="n">
        <f aca="false">J105</f>
        <v>5000</v>
      </c>
      <c r="L123" s="19"/>
      <c r="M123" s="255" t="s">
        <v>108</v>
      </c>
      <c r="N123" s="256"/>
      <c r="O123" s="256"/>
      <c r="P123" s="256"/>
      <c r="Q123" s="137" t="n">
        <f aca="false">P105</f>
        <v>0</v>
      </c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8.75" hidden="false" customHeight="true" outlineLevel="0" collapsed="false">
      <c r="A124" s="209" t="s">
        <v>152</v>
      </c>
      <c r="B124" s="207"/>
      <c r="C124" s="207"/>
      <c r="D124" s="207"/>
      <c r="E124" s="273" t="n">
        <f aca="false">A108</f>
        <v>239.99</v>
      </c>
      <c r="F124" s="19"/>
      <c r="G124" s="209" t="s">
        <v>152</v>
      </c>
      <c r="H124" s="207"/>
      <c r="I124" s="207"/>
      <c r="J124" s="207"/>
      <c r="K124" s="273" t="n">
        <f aca="false">G108</f>
        <v>239.988</v>
      </c>
      <c r="L124" s="19"/>
      <c r="M124" s="209" t="s">
        <v>152</v>
      </c>
      <c r="N124" s="207"/>
      <c r="O124" s="207"/>
      <c r="P124" s="207"/>
      <c r="Q124" s="273" t="n">
        <f aca="false">M108</f>
        <v>199.99</v>
      </c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8.75" hidden="false" customHeight="true" outlineLevel="0" collapsed="false">
      <c r="A125" s="290" t="s">
        <v>269</v>
      </c>
      <c r="B125" s="253"/>
      <c r="C125" s="253"/>
      <c r="D125" s="253"/>
      <c r="E125" s="139" t="n">
        <f aca="false">(E124+E123)-E120</f>
        <v>-2760.01</v>
      </c>
      <c r="F125" s="19"/>
      <c r="G125" s="290" t="s">
        <v>269</v>
      </c>
      <c r="H125" s="253"/>
      <c r="I125" s="253"/>
      <c r="J125" s="253"/>
      <c r="K125" s="139" t="n">
        <f aca="false">(K124+K123)-K120</f>
        <v>7239.988</v>
      </c>
      <c r="L125" s="19"/>
      <c r="M125" s="290" t="s">
        <v>269</v>
      </c>
      <c r="N125" s="253"/>
      <c r="O125" s="253"/>
      <c r="P125" s="253"/>
      <c r="Q125" s="139" t="n">
        <f aca="false">(Q124+Q123)-Q120</f>
        <v>2199.99</v>
      </c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8.75" hidden="false" customHeight="true" outlineLevel="0" collapsed="false">
      <c r="A126" s="209"/>
      <c r="B126" s="207"/>
      <c r="C126" s="207"/>
      <c r="D126" s="207"/>
      <c r="E126" s="210"/>
      <c r="F126" s="19"/>
      <c r="G126" s="209"/>
      <c r="H126" s="207"/>
      <c r="I126" s="207"/>
      <c r="J126" s="207"/>
      <c r="K126" s="210"/>
      <c r="L126" s="19"/>
      <c r="M126" s="209"/>
      <c r="N126" s="207"/>
      <c r="O126" s="207"/>
      <c r="P126" s="207"/>
      <c r="Q126" s="210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8.75" hidden="false" customHeight="true" outlineLevel="0" collapsed="false">
      <c r="A127" s="209"/>
      <c r="B127" s="207"/>
      <c r="C127" s="207"/>
      <c r="D127" s="207"/>
      <c r="E127" s="210"/>
      <c r="F127" s="19"/>
      <c r="G127" s="209"/>
      <c r="H127" s="207"/>
      <c r="I127" s="207"/>
      <c r="J127" s="207"/>
      <c r="K127" s="210"/>
      <c r="L127" s="19"/>
      <c r="M127" s="209"/>
      <c r="N127" s="207"/>
      <c r="O127" s="207"/>
      <c r="P127" s="207"/>
      <c r="Q127" s="210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8.75" hidden="false" customHeight="true" outlineLevel="0" collapsed="false">
      <c r="A128" s="211" t="s">
        <v>270</v>
      </c>
      <c r="B128" s="211"/>
      <c r="C128" s="211"/>
      <c r="D128" s="211"/>
      <c r="E128" s="211"/>
      <c r="F128" s="19"/>
      <c r="G128" s="211" t="s">
        <v>270</v>
      </c>
      <c r="H128" s="211"/>
      <c r="I128" s="211"/>
      <c r="J128" s="211"/>
      <c r="K128" s="211"/>
      <c r="L128" s="19"/>
      <c r="M128" s="211" t="s">
        <v>270</v>
      </c>
      <c r="N128" s="211"/>
      <c r="O128" s="211"/>
      <c r="P128" s="211"/>
      <c r="Q128" s="211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8.75" hidden="false" customHeight="true" outlineLevel="0" collapsed="false">
      <c r="A129" s="291"/>
      <c r="B129" s="292"/>
      <c r="C129" s="292"/>
      <c r="D129" s="292"/>
      <c r="E129" s="293"/>
      <c r="F129" s="19"/>
      <c r="G129" s="209"/>
      <c r="H129" s="207"/>
      <c r="I129" s="207"/>
      <c r="J129" s="207"/>
      <c r="K129" s="210"/>
      <c r="L129" s="19"/>
      <c r="M129" s="209"/>
      <c r="N129" s="207"/>
      <c r="O129" s="207"/>
      <c r="P129" s="207"/>
      <c r="Q129" s="210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8.75" hidden="false" customHeight="true" outlineLevel="0" collapsed="false">
      <c r="A130" s="294" t="s">
        <v>98</v>
      </c>
      <c r="B130" s="295" t="n">
        <v>0</v>
      </c>
      <c r="C130" s="296"/>
      <c r="D130" s="295" t="s">
        <v>33</v>
      </c>
      <c r="E130" s="297"/>
      <c r="F130" s="19"/>
      <c r="G130" s="209" t="s">
        <v>29</v>
      </c>
      <c r="H130" s="168" t="n">
        <v>0</v>
      </c>
      <c r="I130" s="168"/>
      <c r="J130" s="207"/>
      <c r="K130" s="210"/>
      <c r="L130" s="19"/>
      <c r="M130" s="209" t="s">
        <v>29</v>
      </c>
      <c r="N130" s="168" t="n">
        <v>0</v>
      </c>
      <c r="O130" s="168"/>
      <c r="P130" s="207"/>
      <c r="Q130" s="210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8.75" hidden="false" customHeight="true" outlineLevel="0" collapsed="false">
      <c r="A131" s="298" t="s">
        <v>254</v>
      </c>
      <c r="B131" s="299" t="n">
        <f aca="false">A167</f>
        <v>12</v>
      </c>
      <c r="C131" s="300"/>
      <c r="D131" s="299" t="n">
        <f aca="false">B166</f>
        <v>5000</v>
      </c>
      <c r="E131" s="297"/>
      <c r="F131" s="19"/>
      <c r="G131" s="209"/>
      <c r="H131" s="207"/>
      <c r="I131" s="207"/>
      <c r="J131" s="207"/>
      <c r="K131" s="210"/>
      <c r="L131" s="19"/>
      <c r="M131" s="209"/>
      <c r="N131" s="207"/>
      <c r="O131" s="207"/>
      <c r="P131" s="207"/>
      <c r="Q131" s="210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8.75" hidden="false" customHeight="true" outlineLevel="0" collapsed="false">
      <c r="A132" s="294"/>
      <c r="B132" s="295"/>
      <c r="C132" s="295"/>
      <c r="D132" s="295"/>
      <c r="E132" s="297"/>
      <c r="F132" s="19"/>
      <c r="G132" s="209" t="s">
        <v>28</v>
      </c>
      <c r="H132" s="207" t="s">
        <v>33</v>
      </c>
      <c r="I132" s="207"/>
      <c r="J132" s="207" t="s">
        <v>60</v>
      </c>
      <c r="K132" s="210"/>
      <c r="L132" s="19"/>
      <c r="M132" s="209" t="s">
        <v>28</v>
      </c>
      <c r="N132" s="207" t="s">
        <v>33</v>
      </c>
      <c r="O132" s="207"/>
      <c r="P132" s="207" t="s">
        <v>60</v>
      </c>
      <c r="Q132" s="210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8.75" hidden="false" customHeight="true" outlineLevel="0" collapsed="false">
      <c r="A133" s="294" t="s">
        <v>92</v>
      </c>
      <c r="B133" s="295" t="s">
        <v>271</v>
      </c>
      <c r="C133" s="296"/>
      <c r="D133" s="295" t="s">
        <v>272</v>
      </c>
      <c r="E133" s="297"/>
      <c r="F133" s="19"/>
      <c r="G133" s="222" t="n">
        <f aca="false">G158</f>
        <v>12</v>
      </c>
      <c r="H133" s="174" t="n">
        <f aca="false">B157</f>
        <v>0</v>
      </c>
      <c r="I133" s="223"/>
      <c r="J133" s="174" t="n">
        <f aca="false">B64</f>
        <v>3</v>
      </c>
      <c r="K133" s="210"/>
      <c r="L133" s="19"/>
      <c r="M133" s="222" t="n">
        <f aca="false">M161</f>
        <v>12</v>
      </c>
      <c r="N133" s="174" t="n">
        <f aca="false">B157</f>
        <v>0</v>
      </c>
      <c r="O133" s="223"/>
      <c r="P133" s="174" t="n">
        <f aca="false">B64</f>
        <v>3</v>
      </c>
      <c r="Q133" s="210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8.75" hidden="false" customHeight="true" outlineLevel="0" collapsed="false">
      <c r="A134" s="298" t="n">
        <f aca="false">B96</f>
        <v>818.133232822375</v>
      </c>
      <c r="B134" s="296" t="n">
        <f aca="false">IF(A111="YES", B95, 0)</f>
        <v>78</v>
      </c>
      <c r="C134" s="301"/>
      <c r="D134" s="296" t="n">
        <f aca="false">B97</f>
        <v>896.133232822375</v>
      </c>
      <c r="E134" s="297"/>
      <c r="F134" s="19"/>
      <c r="G134" s="209"/>
      <c r="H134" s="207"/>
      <c r="I134" s="207"/>
      <c r="J134" s="207"/>
      <c r="K134" s="210"/>
      <c r="L134" s="19"/>
      <c r="M134" s="209"/>
      <c r="N134" s="207"/>
      <c r="O134" s="207"/>
      <c r="P134" s="207"/>
      <c r="Q134" s="210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8.75" hidden="false" customHeight="true" outlineLevel="0" collapsed="false">
      <c r="A135" s="291"/>
      <c r="B135" s="292"/>
      <c r="C135" s="292"/>
      <c r="D135" s="292"/>
      <c r="E135" s="293"/>
      <c r="F135" s="19"/>
      <c r="G135" s="302" t="s">
        <v>273</v>
      </c>
      <c r="H135" s="303" t="s">
        <v>274</v>
      </c>
      <c r="I135" s="303"/>
      <c r="J135" s="303" t="s">
        <v>275</v>
      </c>
      <c r="K135" s="210"/>
      <c r="L135" s="19"/>
      <c r="M135" s="302" t="s">
        <v>276</v>
      </c>
      <c r="N135" s="303" t="s">
        <v>227</v>
      </c>
      <c r="O135" s="303"/>
      <c r="P135" s="303" t="s">
        <v>93</v>
      </c>
      <c r="Q135" s="210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8.75" hidden="false" customHeight="true" outlineLevel="0" collapsed="false">
      <c r="A136" s="304" t="s">
        <v>23</v>
      </c>
      <c r="B136" s="305" t="s">
        <v>277</v>
      </c>
      <c r="C136" s="306"/>
      <c r="D136" s="305" t="s">
        <v>278</v>
      </c>
      <c r="E136" s="293"/>
      <c r="F136" s="19"/>
      <c r="G136" s="307" t="e">
        <f aca="false">H96</f>
        <v>#DIV/0!</v>
      </c>
      <c r="H136" s="172" t="e">
        <f aca="false">IF(G111="YES", H95*H63, 0)</f>
        <v>#DIV/0!</v>
      </c>
      <c r="I136" s="172"/>
      <c r="J136" s="308" t="e">
        <f aca="false">H97</f>
        <v>#DIV/0!</v>
      </c>
      <c r="K136" s="210"/>
      <c r="L136" s="19"/>
      <c r="M136" s="307" t="e">
        <f aca="false">N96</f>
        <v>#DIV/0!</v>
      </c>
      <c r="N136" s="172" t="e">
        <f aca="false">IF(M111="YES", N95*N63, 0)</f>
        <v>#DIV/0!</v>
      </c>
      <c r="O136" s="172"/>
      <c r="P136" s="172" t="e">
        <f aca="false">N97</f>
        <v>#DIV/0!</v>
      </c>
      <c r="Q136" s="210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8.75" hidden="false" customHeight="true" outlineLevel="0" collapsed="false">
      <c r="A137" s="309" t="str">
        <f aca="false">B105</f>
        <v>Terminal pause with 9 down</v>
      </c>
      <c r="B137" s="201" t="n">
        <f aca="false">B96*B63</f>
        <v>7363.19909540137</v>
      </c>
      <c r="C137" s="292"/>
      <c r="D137" s="201" t="n">
        <f aca="false">IF(A111="YES", B95*B63, 0)</f>
        <v>702</v>
      </c>
      <c r="E137" s="293"/>
      <c r="F137" s="19"/>
      <c r="G137" s="209"/>
      <c r="H137" s="207"/>
      <c r="I137" s="207"/>
      <c r="J137" s="207"/>
      <c r="K137" s="210"/>
      <c r="L137" s="19"/>
      <c r="M137" s="209"/>
      <c r="N137" s="207"/>
      <c r="O137" s="207"/>
      <c r="P137" s="207"/>
      <c r="Q137" s="210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8.75" hidden="false" customHeight="true" outlineLevel="0" collapsed="false">
      <c r="A138" s="291"/>
      <c r="B138" s="292"/>
      <c r="C138" s="292"/>
      <c r="D138" s="292"/>
      <c r="E138" s="293"/>
      <c r="F138" s="19"/>
      <c r="G138" s="209" t="s">
        <v>279</v>
      </c>
      <c r="H138" s="207" t="s">
        <v>280</v>
      </c>
      <c r="I138" s="207"/>
      <c r="J138" s="207" t="s">
        <v>281</v>
      </c>
      <c r="K138" s="210"/>
      <c r="L138" s="19"/>
      <c r="M138" s="209" t="s">
        <v>282</v>
      </c>
      <c r="N138" s="207" t="s">
        <v>216</v>
      </c>
      <c r="O138" s="207"/>
      <c r="P138" s="207" t="s">
        <v>220</v>
      </c>
      <c r="Q138" s="210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8.75" hidden="false" customHeight="true" outlineLevel="0" collapsed="false">
      <c r="A139" s="123" t="s">
        <v>283</v>
      </c>
      <c r="B139" s="200" t="s">
        <v>284</v>
      </c>
      <c r="C139" s="310"/>
      <c r="D139" s="240" t="s">
        <v>177</v>
      </c>
      <c r="E139" s="293"/>
      <c r="F139" s="19"/>
      <c r="G139" s="69" t="e">
        <f aca="false">H96*H63</f>
        <v>#DIV/0!</v>
      </c>
      <c r="H139" s="37" t="e">
        <f aca="false">IF(G111="YES", H95*H63, 0)</f>
        <v>#DIV/0!</v>
      </c>
      <c r="I139" s="215"/>
      <c r="J139" s="37" t="e">
        <f aca="false">H97*H63</f>
        <v>#DIV/0!</v>
      </c>
      <c r="K139" s="210"/>
      <c r="L139" s="19"/>
      <c r="M139" s="69" t="e">
        <f aca="false">N96*N63</f>
        <v>#DIV/0!</v>
      </c>
      <c r="N139" s="37" t="e">
        <f aca="false">IF(M111="YES", N95*N63, 0)</f>
        <v>#DIV/0!</v>
      </c>
      <c r="O139" s="215"/>
      <c r="P139" s="232" t="e">
        <f aca="false">N97*N63</f>
        <v>#DIV/0!</v>
      </c>
      <c r="Q139" s="210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8.75" hidden="false" customHeight="true" outlineLevel="0" collapsed="false">
      <c r="A140" s="70" t="n">
        <f aca="false">B97*B63</f>
        <v>8065.19909540137</v>
      </c>
      <c r="B140" s="201" t="n">
        <f aca="false">E120</f>
        <v>4000</v>
      </c>
      <c r="C140" s="292"/>
      <c r="D140" s="311" t="n">
        <f aca="false">B64</f>
        <v>3</v>
      </c>
      <c r="E140" s="293"/>
      <c r="F140" s="19"/>
      <c r="G140" s="209"/>
      <c r="H140" s="207"/>
      <c r="I140" s="207"/>
      <c r="J140" s="207"/>
      <c r="K140" s="210"/>
      <c r="L140" s="19"/>
      <c r="M140" s="209"/>
      <c r="N140" s="207"/>
      <c r="O140" s="207"/>
      <c r="P140" s="207"/>
      <c r="Q140" s="210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8.75" hidden="false" customHeight="true" outlineLevel="0" collapsed="false">
      <c r="A141" s="70"/>
      <c r="B141" s="312"/>
      <c r="C141" s="292"/>
      <c r="D141" s="292"/>
      <c r="E141" s="293"/>
      <c r="F141" s="19"/>
      <c r="G141" s="209" t="s">
        <v>285</v>
      </c>
      <c r="H141" s="207" t="s">
        <v>286</v>
      </c>
      <c r="I141" s="207"/>
      <c r="J141" s="207" t="s">
        <v>287</v>
      </c>
      <c r="K141" s="210"/>
      <c r="L141" s="19"/>
      <c r="M141" s="209" t="s">
        <v>229</v>
      </c>
      <c r="N141" s="207" t="s">
        <v>230</v>
      </c>
      <c r="O141" s="207"/>
      <c r="P141" s="207" t="s">
        <v>235</v>
      </c>
      <c r="Q141" s="210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8.75" hidden="false" customHeight="true" outlineLevel="0" collapsed="false">
      <c r="A142" s="78" t="s">
        <v>92</v>
      </c>
      <c r="B142" s="313" t="s">
        <v>271</v>
      </c>
      <c r="C142" s="292"/>
      <c r="D142" s="292" t="s">
        <v>272</v>
      </c>
      <c r="E142" s="293"/>
      <c r="F142" s="19"/>
      <c r="G142" s="70" t="n">
        <f aca="false">E15*0.000006</f>
        <v>0.35115</v>
      </c>
      <c r="H142" s="37" t="n">
        <f aca="false">IF(G111="YES", E15*0.000002, 0)</f>
        <v>0.11705</v>
      </c>
      <c r="I142" s="37"/>
      <c r="J142" s="37" t="n">
        <f aca="false">G142+H142</f>
        <v>0.4682</v>
      </c>
      <c r="K142" s="177"/>
      <c r="L142" s="19"/>
      <c r="M142" s="70" t="n">
        <f aca="false">E15*0.000006</f>
        <v>0.35115</v>
      </c>
      <c r="N142" s="37" t="n">
        <f aca="false">IF(M111="YES", E15*0.000002, 0)</f>
        <v>0.11705</v>
      </c>
      <c r="O142" s="37"/>
      <c r="P142" s="37" t="n">
        <f aca="false">M142+N142</f>
        <v>0.4682</v>
      </c>
      <c r="Q142" s="177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8.75" hidden="false" customHeight="true" outlineLevel="0" collapsed="false">
      <c r="A143" s="70" t="n">
        <f aca="false">B96</f>
        <v>818.133232822375</v>
      </c>
      <c r="B143" s="201" t="n">
        <f aca="false">IF(A111="YES", B95, 0)</f>
        <v>78</v>
      </c>
      <c r="C143" s="292"/>
      <c r="D143" s="201" t="n">
        <f aca="false">B97</f>
        <v>896.133232822375</v>
      </c>
      <c r="E143" s="293"/>
      <c r="F143" s="19"/>
      <c r="G143" s="209"/>
      <c r="H143" s="207"/>
      <c r="I143" s="207"/>
      <c r="J143" s="207"/>
      <c r="K143" s="210"/>
      <c r="L143" s="19"/>
      <c r="M143" s="209"/>
      <c r="N143" s="207"/>
      <c r="O143" s="207"/>
      <c r="P143" s="207"/>
      <c r="Q143" s="210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8.75" hidden="false" customHeight="true" outlineLevel="0" collapsed="false">
      <c r="A144" s="291"/>
      <c r="B144" s="292"/>
      <c r="C144" s="292"/>
      <c r="D144" s="292"/>
      <c r="E144" s="293"/>
      <c r="F144" s="19"/>
      <c r="G144" s="209" t="s">
        <v>288</v>
      </c>
      <c r="H144" s="207" t="s">
        <v>289</v>
      </c>
      <c r="I144" s="207"/>
      <c r="J144" s="207" t="s">
        <v>290</v>
      </c>
      <c r="K144" s="210"/>
      <c r="L144" s="19"/>
      <c r="M144" s="209" t="s">
        <v>111</v>
      </c>
      <c r="N144" s="207" t="s">
        <v>289</v>
      </c>
      <c r="O144" s="207"/>
      <c r="P144" s="207" t="s">
        <v>290</v>
      </c>
      <c r="Q144" s="210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8.75" hidden="false" customHeight="true" outlineLevel="0" collapsed="false">
      <c r="A145" s="314" t="s">
        <v>180</v>
      </c>
      <c r="B145" s="315" t="s">
        <v>291</v>
      </c>
      <c r="C145" s="201"/>
      <c r="D145" s="315" t="s">
        <v>182</v>
      </c>
      <c r="E145" s="177"/>
      <c r="F145" s="19"/>
      <c r="G145" s="70" t="n">
        <f aca="false">G108</f>
        <v>239.988</v>
      </c>
      <c r="H145" s="37" t="n">
        <f aca="false">H73/1.2</f>
        <v>241.1875</v>
      </c>
      <c r="I145" s="37"/>
      <c r="J145" s="37" t="n">
        <f aca="false">H108*0.9</f>
        <v>1080</v>
      </c>
      <c r="K145" s="177"/>
      <c r="L145" s="19"/>
      <c r="M145" s="70" t="n">
        <f aca="false">M108</f>
        <v>199.99</v>
      </c>
      <c r="N145" s="37" t="n">
        <f aca="false">N73/1.2</f>
        <v>241.1875</v>
      </c>
      <c r="O145" s="37"/>
      <c r="P145" s="37" t="n">
        <f aca="false">N108*0.9</f>
        <v>1080</v>
      </c>
      <c r="Q145" s="177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8.75" hidden="false" customHeight="true" outlineLevel="0" collapsed="false">
      <c r="A146" s="316" t="n">
        <f aca="false">(G18*0.000006)*1.2*100</f>
        <v>41.6772</v>
      </c>
      <c r="B146" s="317" t="n">
        <f aca="false">G18*0.000002 *1.2*100</f>
        <v>13.8924</v>
      </c>
      <c r="C146" s="292"/>
      <c r="D146" s="317" t="n">
        <f aca="false">A146+B146</f>
        <v>55.5696</v>
      </c>
      <c r="E146" s="293"/>
      <c r="F146" s="19"/>
      <c r="G146" s="209"/>
      <c r="H146" s="207"/>
      <c r="I146" s="207"/>
      <c r="J146" s="207"/>
      <c r="K146" s="210"/>
      <c r="L146" s="19"/>
      <c r="M146" s="209"/>
      <c r="N146" s="207"/>
      <c r="O146" s="207"/>
      <c r="P146" s="207"/>
      <c r="Q146" s="210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8.75" hidden="false" customHeight="true" outlineLevel="0" collapsed="false">
      <c r="A147" s="316"/>
      <c r="B147" s="317"/>
      <c r="C147" s="292"/>
      <c r="D147" s="317"/>
      <c r="E147" s="293"/>
      <c r="F147" s="19"/>
      <c r="G147" s="209" t="s">
        <v>292</v>
      </c>
      <c r="H147" s="207" t="s">
        <v>293</v>
      </c>
      <c r="I147" s="207"/>
      <c r="J147" s="207" t="s">
        <v>294</v>
      </c>
      <c r="K147" s="210"/>
      <c r="L147" s="19"/>
      <c r="M147" s="209" t="s">
        <v>292</v>
      </c>
      <c r="N147" s="207" t="s">
        <v>293</v>
      </c>
      <c r="O147" s="207"/>
      <c r="P147" s="207" t="s">
        <v>294</v>
      </c>
      <c r="Q147" s="210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8.75" hidden="false" customHeight="true" outlineLevel="0" collapsed="false">
      <c r="A148" s="314" t="s">
        <v>295</v>
      </c>
      <c r="B148" s="315" t="s">
        <v>152</v>
      </c>
      <c r="C148" s="201"/>
      <c r="D148" s="315" t="s">
        <v>246</v>
      </c>
      <c r="E148" s="293"/>
      <c r="F148" s="19"/>
      <c r="G148" s="70" t="n">
        <f aca="false">IF(G111="YES", ((A41*H111)*0.1)*(G133), 0)</f>
        <v>12</v>
      </c>
      <c r="H148" s="37" t="n">
        <f aca="false">G108-100</f>
        <v>139.988</v>
      </c>
      <c r="I148" s="37"/>
      <c r="J148" s="37" t="n">
        <f aca="false">(H145+J145+G148+H148)-H151</f>
        <v>1473.1755</v>
      </c>
      <c r="K148" s="177"/>
      <c r="L148" s="19"/>
      <c r="M148" s="70" t="n">
        <f aca="false">IF(M111="YES", ((A41*N111)*0.1)*(M133), 0)</f>
        <v>12</v>
      </c>
      <c r="N148" s="37" t="n">
        <f aca="false">M108-100</f>
        <v>99.99</v>
      </c>
      <c r="O148" s="37"/>
      <c r="P148" s="37" t="n">
        <f aca="false">(N145+P145+M148+N148)-N151</f>
        <v>1433.1775</v>
      </c>
      <c r="Q148" s="177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8.75" hidden="false" customHeight="true" outlineLevel="0" collapsed="false">
      <c r="A149" s="70" t="n">
        <v>0</v>
      </c>
      <c r="B149" s="201" t="n">
        <f aca="false">E124</f>
        <v>239.99</v>
      </c>
      <c r="C149" s="292"/>
      <c r="D149" s="152" t="n">
        <f aca="false">B108</f>
        <v>400</v>
      </c>
      <c r="E149" s="293"/>
      <c r="F149" s="19"/>
      <c r="G149" s="209"/>
      <c r="H149" s="207"/>
      <c r="I149" s="207"/>
      <c r="J149" s="207"/>
      <c r="K149" s="210"/>
      <c r="L149" s="19"/>
      <c r="M149" s="209"/>
      <c r="N149" s="207"/>
      <c r="O149" s="207"/>
      <c r="P149" s="207"/>
      <c r="Q149" s="210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8.75" hidden="false" customHeight="true" outlineLevel="0" collapsed="false">
      <c r="A150" s="70"/>
      <c r="B150" s="201"/>
      <c r="C150" s="292"/>
      <c r="D150" s="201"/>
      <c r="E150" s="293"/>
      <c r="F150" s="19"/>
      <c r="G150" s="209" t="s">
        <v>296</v>
      </c>
      <c r="H150" s="207" t="s">
        <v>297</v>
      </c>
      <c r="I150" s="207"/>
      <c r="J150" s="207"/>
      <c r="K150" s="210"/>
      <c r="L150" s="19"/>
      <c r="M150" s="209" t="s">
        <v>296</v>
      </c>
      <c r="N150" s="207" t="s">
        <v>297</v>
      </c>
      <c r="O150" s="207"/>
      <c r="P150" s="207"/>
      <c r="Q150" s="210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8.75" hidden="false" customHeight="true" outlineLevel="0" collapsed="false">
      <c r="A151" s="318" t="s">
        <v>298</v>
      </c>
      <c r="B151" s="319"/>
      <c r="C151" s="320"/>
      <c r="D151" s="319"/>
      <c r="E151" s="321"/>
      <c r="F151" s="19"/>
      <c r="G151" s="70" t="n">
        <f aca="false">IF((1200-H108) &lt;= 0, 0, (1200-H108))</f>
        <v>0</v>
      </c>
      <c r="H151" s="37" t="n">
        <f aca="false">(H145+J145+G148+H148)*(G151/H70)</f>
        <v>0</v>
      </c>
      <c r="I151" s="207"/>
      <c r="J151" s="207"/>
      <c r="K151" s="210"/>
      <c r="L151" s="19"/>
      <c r="M151" s="70" t="n">
        <f aca="false">IF((1200-N108) &lt;= 0, 0, (1200-N108))</f>
        <v>0</v>
      </c>
      <c r="N151" s="37" t="n">
        <f aca="false">(N145+P145+M148+N148)*(M151/N70)</f>
        <v>0</v>
      </c>
      <c r="O151" s="207"/>
      <c r="P151" s="207"/>
      <c r="Q151" s="210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8.75" hidden="false" customHeight="true" outlineLevel="0" collapsed="false">
      <c r="A152" s="316"/>
      <c r="B152" s="317"/>
      <c r="C152" s="292"/>
      <c r="D152" s="317"/>
      <c r="E152" s="293"/>
      <c r="F152" s="19"/>
      <c r="G152" s="209"/>
      <c r="H152" s="207"/>
      <c r="I152" s="207"/>
      <c r="J152" s="207"/>
      <c r="K152" s="210"/>
      <c r="L152" s="19"/>
      <c r="M152" s="70"/>
      <c r="N152" s="37"/>
      <c r="O152" s="207"/>
      <c r="P152" s="207"/>
      <c r="Q152" s="210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8.75" hidden="false" customHeight="true" outlineLevel="0" collapsed="false">
      <c r="A153" s="291" t="s">
        <v>299</v>
      </c>
      <c r="B153" s="292" t="s">
        <v>300</v>
      </c>
      <c r="C153" s="292"/>
      <c r="D153" s="292" t="s">
        <v>301</v>
      </c>
      <c r="E153" s="293"/>
      <c r="F153" s="19"/>
      <c r="G153" s="209"/>
      <c r="H153" s="207"/>
      <c r="I153" s="207"/>
      <c r="J153" s="207"/>
      <c r="K153" s="210"/>
      <c r="L153" s="19"/>
      <c r="M153" s="78" t="s">
        <v>302</v>
      </c>
      <c r="N153" s="38" t="s">
        <v>303</v>
      </c>
      <c r="O153" s="207"/>
      <c r="P153" s="207"/>
      <c r="Q153" s="210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8.75" hidden="false" customHeight="true" outlineLevel="0" collapsed="false">
      <c r="A154" s="70" t="n">
        <f aca="false">B73</f>
        <v>578.85</v>
      </c>
      <c r="B154" s="201" t="n">
        <f aca="false">B108</f>
        <v>400</v>
      </c>
      <c r="C154" s="201"/>
      <c r="D154" s="201" t="n">
        <f aca="false">IF(A111="YES", (A41/100*B111)*B131, 0)*0.1</f>
        <v>18</v>
      </c>
      <c r="E154" s="177"/>
      <c r="F154" s="19"/>
      <c r="G154" s="243" t="s">
        <v>304</v>
      </c>
      <c r="H154" s="207"/>
      <c r="I154" s="207"/>
      <c r="J154" s="244"/>
      <c r="K154" s="245"/>
      <c r="L154" s="19"/>
      <c r="M154" s="322" t="n">
        <f aca="false">H40</f>
        <v>0</v>
      </c>
      <c r="N154" s="323" t="n">
        <v>0.99</v>
      </c>
      <c r="O154" s="323"/>
      <c r="P154" s="207"/>
      <c r="Q154" s="210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8.75" hidden="false" customHeight="true" outlineLevel="0" collapsed="false">
      <c r="A155" s="291"/>
      <c r="B155" s="292"/>
      <c r="C155" s="292"/>
      <c r="D155" s="292"/>
      <c r="E155" s="293"/>
      <c r="F155" s="19"/>
      <c r="G155" s="209"/>
      <c r="H155" s="246"/>
      <c r="I155" s="246"/>
      <c r="J155" s="207"/>
      <c r="K155" s="210"/>
      <c r="L155" s="19"/>
      <c r="M155" s="209"/>
      <c r="N155" s="207"/>
      <c r="O155" s="207"/>
      <c r="P155" s="207"/>
      <c r="Q155" s="210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8.75" hidden="false" customHeight="true" outlineLevel="0" collapsed="false">
      <c r="A156" s="291" t="s">
        <v>305</v>
      </c>
      <c r="B156" s="292" t="s">
        <v>297</v>
      </c>
      <c r="C156" s="292"/>
      <c r="D156" s="292" t="s">
        <v>294</v>
      </c>
      <c r="E156" s="293"/>
      <c r="F156" s="19"/>
      <c r="G156" s="248" t="s">
        <v>28</v>
      </c>
      <c r="H156" s="249" t="s">
        <v>33</v>
      </c>
      <c r="I156" s="249"/>
      <c r="J156" s="207"/>
      <c r="K156" s="210"/>
      <c r="L156" s="19"/>
      <c r="M156" s="209"/>
      <c r="N156" s="207"/>
      <c r="O156" s="207"/>
      <c r="P156" s="207"/>
      <c r="Q156" s="210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8.75" hidden="false" customHeight="true" outlineLevel="0" collapsed="false">
      <c r="A157" s="70" t="n">
        <f aca="false">(E124/1.2)-100</f>
        <v>99.9916666666667</v>
      </c>
      <c r="B157" s="201" t="n">
        <f aca="false">(A154+B154+D154+A157)*(A149/B70)</f>
        <v>0</v>
      </c>
      <c r="C157" s="201"/>
      <c r="D157" s="201" t="n">
        <f aca="false">(A154+B154+D154+A157)-B157</f>
        <v>1096.84166666667</v>
      </c>
      <c r="E157" s="177"/>
      <c r="F157" s="19"/>
      <c r="G157" s="248"/>
      <c r="H157" s="250" t="n">
        <f aca="false">B57</f>
        <v>5000</v>
      </c>
      <c r="I157" s="250"/>
      <c r="J157" s="207"/>
      <c r="K157" s="210"/>
      <c r="L157" s="19"/>
      <c r="M157" s="243" t="s">
        <v>304</v>
      </c>
      <c r="N157" s="207"/>
      <c r="O157" s="207"/>
      <c r="P157" s="244"/>
      <c r="Q157" s="245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8.75" hidden="false" customHeight="true" outlineLevel="0" collapsed="false">
      <c r="A158" s="291"/>
      <c r="B158" s="292"/>
      <c r="C158" s="292"/>
      <c r="D158" s="292"/>
      <c r="E158" s="293"/>
      <c r="F158" s="19"/>
      <c r="G158" s="251" t="n">
        <f aca="false">A58</f>
        <v>12</v>
      </c>
      <c r="H158" s="92" t="e">
        <f aca="false">H97</f>
        <v>#DIV/0!</v>
      </c>
      <c r="I158" s="92"/>
      <c r="J158" s="207"/>
      <c r="K158" s="210"/>
      <c r="L158" s="19"/>
      <c r="M158" s="209"/>
      <c r="N158" s="246"/>
      <c r="O158" s="246"/>
      <c r="P158" s="207"/>
      <c r="Q158" s="210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8.75" hidden="false" customHeight="true" outlineLevel="0" collapsed="false">
      <c r="A159" s="291" t="s">
        <v>306</v>
      </c>
      <c r="B159" s="292"/>
      <c r="C159" s="292"/>
      <c r="D159" s="292"/>
      <c r="E159" s="293"/>
      <c r="F159" s="19"/>
      <c r="G159" s="209"/>
      <c r="H159" s="207"/>
      <c r="I159" s="207"/>
      <c r="J159" s="207"/>
      <c r="K159" s="210"/>
      <c r="L159" s="19"/>
      <c r="M159" s="248" t="s">
        <v>28</v>
      </c>
      <c r="N159" s="249" t="s">
        <v>33</v>
      </c>
      <c r="O159" s="249"/>
      <c r="P159" s="207"/>
      <c r="Q159" s="210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8.75" hidden="false" customHeight="true" outlineLevel="0" collapsed="false">
      <c r="A160" s="70" t="n">
        <f aca="false">D108</f>
        <v>200</v>
      </c>
      <c r="B160" s="201"/>
      <c r="C160" s="292"/>
      <c r="D160" s="292"/>
      <c r="E160" s="293"/>
      <c r="F160" s="19"/>
      <c r="G160" s="209"/>
      <c r="H160" s="207"/>
      <c r="I160" s="207"/>
      <c r="J160" s="207"/>
      <c r="K160" s="210"/>
      <c r="L160" s="19"/>
      <c r="M160" s="248"/>
      <c r="N160" s="250" t="n">
        <f aca="false">B57</f>
        <v>5000</v>
      </c>
      <c r="O160" s="250"/>
      <c r="P160" s="207"/>
      <c r="Q160" s="210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8.75" hidden="false" customHeight="true" outlineLevel="0" collapsed="false">
      <c r="A161" s="291"/>
      <c r="B161" s="292"/>
      <c r="C161" s="292"/>
      <c r="D161" s="292"/>
      <c r="E161" s="293"/>
      <c r="F161" s="19"/>
      <c r="G161" s="209"/>
      <c r="H161" s="207"/>
      <c r="I161" s="207"/>
      <c r="J161" s="207"/>
      <c r="K161" s="210"/>
      <c r="L161" s="19"/>
      <c r="M161" s="251" t="n">
        <f aca="false">A58</f>
        <v>12</v>
      </c>
      <c r="N161" s="92" t="e">
        <f aca="false">N97</f>
        <v>#DIV/0!</v>
      </c>
      <c r="O161" s="92"/>
      <c r="P161" s="207"/>
      <c r="Q161" s="210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8.75" hidden="false" customHeight="true" outlineLevel="0" collapsed="false">
      <c r="A162" s="291"/>
      <c r="B162" s="292"/>
      <c r="C162" s="292"/>
      <c r="D162" s="292"/>
      <c r="E162" s="293"/>
      <c r="F162" s="19"/>
      <c r="G162" s="209"/>
      <c r="H162" s="207"/>
      <c r="I162" s="207"/>
      <c r="J162" s="207"/>
      <c r="K162" s="210"/>
      <c r="L162" s="19"/>
      <c r="M162" s="209"/>
      <c r="N162" s="207"/>
      <c r="O162" s="207"/>
      <c r="P162" s="207"/>
      <c r="Q162" s="210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8.75" hidden="false" customHeight="true" outlineLevel="0" collapsed="false">
      <c r="A163" s="324" t="s">
        <v>304</v>
      </c>
      <c r="B163" s="292"/>
      <c r="C163" s="292"/>
      <c r="D163" s="325"/>
      <c r="E163" s="326"/>
      <c r="F163" s="19"/>
      <c r="G163" s="252"/>
      <c r="H163" s="253"/>
      <c r="I163" s="253"/>
      <c r="J163" s="253"/>
      <c r="K163" s="254"/>
      <c r="L163" s="19"/>
      <c r="M163" s="209"/>
      <c r="N163" s="207"/>
      <c r="O163" s="207"/>
      <c r="P163" s="207"/>
      <c r="Q163" s="210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8.75" hidden="false" customHeight="true" outlineLevel="0" collapsed="false">
      <c r="A164" s="291"/>
      <c r="B164" s="327"/>
      <c r="C164" s="327"/>
      <c r="D164" s="292"/>
      <c r="E164" s="293"/>
      <c r="F164" s="19"/>
      <c r="G164" s="19"/>
      <c r="H164" s="19"/>
      <c r="I164" s="19"/>
      <c r="J164" s="19"/>
      <c r="K164" s="19"/>
      <c r="L164" s="19"/>
      <c r="M164" s="209"/>
      <c r="N164" s="207"/>
      <c r="O164" s="207"/>
      <c r="P164" s="207"/>
      <c r="Q164" s="210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8.75" hidden="false" customHeight="true" outlineLevel="0" collapsed="false">
      <c r="A165" s="248" t="s">
        <v>28</v>
      </c>
      <c r="B165" s="249" t="s">
        <v>33</v>
      </c>
      <c r="C165" s="249"/>
      <c r="D165" s="292"/>
      <c r="E165" s="293"/>
      <c r="F165" s="19"/>
      <c r="G165" s="19"/>
      <c r="H165" s="19"/>
      <c r="I165" s="19"/>
      <c r="J165" s="19"/>
      <c r="K165" s="19"/>
      <c r="L165" s="19"/>
      <c r="M165" s="209"/>
      <c r="N165" s="207"/>
      <c r="O165" s="207"/>
      <c r="P165" s="207"/>
      <c r="Q165" s="210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8.75" hidden="false" customHeight="true" outlineLevel="0" collapsed="false">
      <c r="A166" s="248"/>
      <c r="B166" s="250" t="n">
        <f aca="false">B57</f>
        <v>5000</v>
      </c>
      <c r="C166" s="250"/>
      <c r="D166" s="292"/>
      <c r="E166" s="293"/>
      <c r="F166" s="19"/>
      <c r="G166" s="19"/>
      <c r="H166" s="19"/>
      <c r="I166" s="19"/>
      <c r="J166" s="19"/>
      <c r="K166" s="19"/>
      <c r="L166" s="19"/>
      <c r="M166" s="209"/>
      <c r="N166" s="207"/>
      <c r="O166" s="207"/>
      <c r="P166" s="207"/>
      <c r="Q166" s="210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8.75" hidden="false" customHeight="true" outlineLevel="0" collapsed="false">
      <c r="A167" s="251" t="n">
        <f aca="false">A58</f>
        <v>12</v>
      </c>
      <c r="B167" s="92" t="n">
        <f aca="false">B97</f>
        <v>896.133232822375</v>
      </c>
      <c r="C167" s="92"/>
      <c r="D167" s="292"/>
      <c r="E167" s="293"/>
      <c r="F167" s="19"/>
      <c r="G167" s="19"/>
      <c r="H167" s="19"/>
      <c r="I167" s="19"/>
      <c r="J167" s="19"/>
      <c r="K167" s="19"/>
      <c r="L167" s="19"/>
      <c r="M167" s="209"/>
      <c r="N167" s="207"/>
      <c r="O167" s="207"/>
      <c r="P167" s="207"/>
      <c r="Q167" s="210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8.75" hidden="false" customHeight="true" outlineLevel="0" collapsed="false">
      <c r="A168" s="291"/>
      <c r="B168" s="292"/>
      <c r="C168" s="292"/>
      <c r="D168" s="292"/>
      <c r="E168" s="293"/>
      <c r="F168" s="19"/>
      <c r="G168" s="19"/>
      <c r="H168" s="19"/>
      <c r="I168" s="19"/>
      <c r="J168" s="19"/>
      <c r="K168" s="19"/>
      <c r="L168" s="19"/>
      <c r="M168" s="252"/>
      <c r="N168" s="253"/>
      <c r="O168" s="253"/>
      <c r="P168" s="253"/>
      <c r="Q168" s="254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8.75" hidden="false" customHeight="true" outlineLevel="0" collapsed="false">
      <c r="A169" s="291"/>
      <c r="B169" s="292"/>
      <c r="C169" s="292"/>
      <c r="D169" s="292"/>
      <c r="E169" s="293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8.75" hidden="false" customHeight="true" outlineLevel="0" collapsed="false">
      <c r="A170" s="291"/>
      <c r="B170" s="292"/>
      <c r="C170" s="292"/>
      <c r="D170" s="292"/>
      <c r="E170" s="293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8.75" hidden="false" customHeight="true" outlineLevel="0" collapsed="false">
      <c r="A171" s="328" t="s">
        <v>270</v>
      </c>
      <c r="B171" s="328"/>
      <c r="C171" s="328"/>
      <c r="D171" s="328"/>
      <c r="E171" s="328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8.75" hidden="false" customHeight="true" outlineLevel="0" collapsed="false">
      <c r="A172" s="291"/>
      <c r="B172" s="329"/>
      <c r="C172" s="329"/>
      <c r="D172" s="329"/>
      <c r="E172" s="293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8.75" hidden="false" customHeight="true" outlineLevel="0" collapsed="false">
      <c r="A173" s="294" t="s">
        <v>98</v>
      </c>
      <c r="B173" s="330" t="s">
        <v>174</v>
      </c>
      <c r="C173" s="331"/>
      <c r="D173" s="330" t="s">
        <v>33</v>
      </c>
      <c r="E173" s="297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8.75" hidden="false" customHeight="true" outlineLevel="0" collapsed="false">
      <c r="A174" s="298" t="s">
        <v>254</v>
      </c>
      <c r="B174" s="332" t="n">
        <f aca="false">A167</f>
        <v>12</v>
      </c>
      <c r="C174" s="333"/>
      <c r="D174" s="331" t="n">
        <f aca="false">B166</f>
        <v>5000</v>
      </c>
      <c r="E174" s="297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8.75" hidden="false" customHeight="true" outlineLevel="0" collapsed="false">
      <c r="A175" s="294"/>
      <c r="B175" s="330"/>
      <c r="C175" s="330"/>
      <c r="D175" s="330"/>
      <c r="E175" s="297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8.75" hidden="false" customHeight="true" outlineLevel="0" collapsed="false">
      <c r="A176" s="294" t="s">
        <v>92</v>
      </c>
      <c r="B176" s="330" t="s">
        <v>271</v>
      </c>
      <c r="C176" s="331"/>
      <c r="D176" s="330" t="s">
        <v>272</v>
      </c>
      <c r="E176" s="297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8.75" hidden="false" customHeight="true" outlineLevel="0" collapsed="false">
      <c r="A177" s="298" t="n">
        <f aca="false">B96</f>
        <v>818.133232822375</v>
      </c>
      <c r="B177" s="331" t="n">
        <f aca="false">IF(A111="YES", B95, 0)</f>
        <v>78</v>
      </c>
      <c r="C177" s="334"/>
      <c r="D177" s="331" t="n">
        <f aca="false">B97</f>
        <v>896.133232822375</v>
      </c>
      <c r="E177" s="297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8.75" hidden="false" customHeight="true" outlineLevel="0" collapsed="false">
      <c r="A178" s="291"/>
      <c r="B178" s="329"/>
      <c r="C178" s="329"/>
      <c r="D178" s="329"/>
      <c r="E178" s="293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8.75" hidden="false" customHeight="true" outlineLevel="0" collapsed="false">
      <c r="A179" s="304" t="s">
        <v>23</v>
      </c>
      <c r="B179" s="335" t="s">
        <v>277</v>
      </c>
      <c r="C179" s="223"/>
      <c r="D179" s="335" t="s">
        <v>278</v>
      </c>
      <c r="E179" s="293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8.75" hidden="false" customHeight="true" outlineLevel="0" collapsed="false">
      <c r="A180" s="309" t="str">
        <f aca="false">B105</f>
        <v>Terminal pause with 9 down</v>
      </c>
      <c r="B180" s="37" t="n">
        <f aca="false">B96*B63</f>
        <v>7363.19909540137</v>
      </c>
      <c r="C180" s="329"/>
      <c r="D180" s="37" t="n">
        <f aca="false">IF(A111="YES", B95*B63, 0)</f>
        <v>702</v>
      </c>
      <c r="E180" s="293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8.75" hidden="false" customHeight="true" outlineLevel="0" collapsed="false">
      <c r="A181" s="291"/>
      <c r="B181" s="329"/>
      <c r="C181" s="329"/>
      <c r="D181" s="329"/>
      <c r="E181" s="293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8.75" hidden="false" customHeight="true" outlineLevel="0" collapsed="false">
      <c r="A182" s="123" t="s">
        <v>283</v>
      </c>
      <c r="B182" s="38" t="s">
        <v>284</v>
      </c>
      <c r="C182" s="336"/>
      <c r="D182" s="233" t="s">
        <v>177</v>
      </c>
      <c r="E182" s="293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8.75" hidden="false" customHeight="true" outlineLevel="0" collapsed="false">
      <c r="A183" s="70" t="n">
        <f aca="false">B97*B63</f>
        <v>8065.19909540137</v>
      </c>
      <c r="B183" s="37" t="n">
        <f aca="false">E120</f>
        <v>4000</v>
      </c>
      <c r="C183" s="329"/>
      <c r="D183" s="337" t="n">
        <f aca="false">B64</f>
        <v>3</v>
      </c>
      <c r="E183" s="293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8.75" hidden="false" customHeight="true" outlineLevel="0" collapsed="false">
      <c r="A184" s="70"/>
      <c r="B184" s="338"/>
      <c r="C184" s="329"/>
      <c r="D184" s="329"/>
      <c r="E184" s="293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8.75" hidden="false" customHeight="true" outlineLevel="0" collapsed="false">
      <c r="A185" s="78" t="s">
        <v>92</v>
      </c>
      <c r="B185" s="339" t="s">
        <v>271</v>
      </c>
      <c r="C185" s="329"/>
      <c r="D185" s="329" t="s">
        <v>272</v>
      </c>
      <c r="E185" s="293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8.75" hidden="false" customHeight="true" outlineLevel="0" collapsed="false">
      <c r="A186" s="70" t="n">
        <f aca="false">B96</f>
        <v>818.133232822375</v>
      </c>
      <c r="B186" s="37" t="n">
        <f aca="false">IF(A111="YES", B95, 0)</f>
        <v>78</v>
      </c>
      <c r="C186" s="329"/>
      <c r="D186" s="37" t="n">
        <f aca="false">B97</f>
        <v>896.133232822375</v>
      </c>
      <c r="E186" s="293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8.75" hidden="false" customHeight="true" outlineLevel="0" collapsed="false">
      <c r="A187" s="291"/>
      <c r="B187" s="329"/>
      <c r="C187" s="329"/>
      <c r="D187" s="329"/>
      <c r="E187" s="293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8.75" hidden="false" customHeight="true" outlineLevel="0" collapsed="false">
      <c r="A188" s="314" t="s">
        <v>180</v>
      </c>
      <c r="B188" s="340" t="s">
        <v>291</v>
      </c>
      <c r="C188" s="37"/>
      <c r="D188" s="340" t="s">
        <v>182</v>
      </c>
      <c r="E188" s="177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8.75" hidden="false" customHeight="true" outlineLevel="0" collapsed="false">
      <c r="A189" s="316" t="n">
        <f aca="false">(G18*0.000006)*1.2*100</f>
        <v>41.6772</v>
      </c>
      <c r="B189" s="341" t="n">
        <f aca="false">G18*0.000002 *1.2*100</f>
        <v>13.8924</v>
      </c>
      <c r="C189" s="329"/>
      <c r="D189" s="341" t="n">
        <f aca="false">A189+B189</f>
        <v>55.5696</v>
      </c>
      <c r="E189" s="293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8.75" hidden="false" customHeight="true" outlineLevel="0" collapsed="false">
      <c r="A190" s="316"/>
      <c r="B190" s="341"/>
      <c r="C190" s="329"/>
      <c r="D190" s="341"/>
      <c r="E190" s="293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8.75" hidden="false" customHeight="true" outlineLevel="0" collapsed="false">
      <c r="A191" s="314" t="s">
        <v>295</v>
      </c>
      <c r="B191" s="340" t="s">
        <v>152</v>
      </c>
      <c r="C191" s="37"/>
      <c r="D191" s="340" t="s">
        <v>246</v>
      </c>
      <c r="E191" s="293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8.75" hidden="false" customHeight="true" outlineLevel="0" collapsed="false">
      <c r="A192" s="70" t="n">
        <v>0</v>
      </c>
      <c r="B192" s="37" t="n">
        <f aca="false">E124</f>
        <v>239.99</v>
      </c>
      <c r="C192" s="329"/>
      <c r="D192" s="152" t="n">
        <f aca="false">B108</f>
        <v>400</v>
      </c>
      <c r="E192" s="293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8.75" hidden="false" customHeight="true" outlineLevel="0" collapsed="false">
      <c r="A193" s="70"/>
      <c r="B193" s="37"/>
      <c r="C193" s="329"/>
      <c r="D193" s="37"/>
      <c r="E193" s="293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8.75" hidden="false" customHeight="true" outlineLevel="0" collapsed="false">
      <c r="A194" s="318" t="s">
        <v>298</v>
      </c>
      <c r="B194" s="319"/>
      <c r="C194" s="320"/>
      <c r="D194" s="319"/>
      <c r="E194" s="321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8.75" hidden="false" customHeight="true" outlineLevel="0" collapsed="false">
      <c r="A195" s="316"/>
      <c r="B195" s="341"/>
      <c r="C195" s="329"/>
      <c r="D195" s="341"/>
      <c r="E195" s="293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8.75" hidden="false" customHeight="true" outlineLevel="0" collapsed="false">
      <c r="A196" s="291" t="s">
        <v>299</v>
      </c>
      <c r="B196" s="329" t="s">
        <v>300</v>
      </c>
      <c r="C196" s="329"/>
      <c r="D196" s="329" t="s">
        <v>301</v>
      </c>
      <c r="E196" s="293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8.75" hidden="false" customHeight="true" outlineLevel="0" collapsed="false">
      <c r="A197" s="70" t="n">
        <f aca="false">B73</f>
        <v>578.85</v>
      </c>
      <c r="B197" s="37" t="n">
        <f aca="false">B108</f>
        <v>400</v>
      </c>
      <c r="C197" s="37"/>
      <c r="D197" s="37" t="n">
        <f aca="false">IF(A111="YES", (A41/100*B111)*B131, 0)*0.1</f>
        <v>18</v>
      </c>
      <c r="E197" s="177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8.75" hidden="false" customHeight="true" outlineLevel="0" collapsed="false">
      <c r="A198" s="291"/>
      <c r="B198" s="329"/>
      <c r="C198" s="329"/>
      <c r="D198" s="329"/>
      <c r="E198" s="293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8.75" hidden="false" customHeight="true" outlineLevel="0" collapsed="false">
      <c r="A199" s="291" t="s">
        <v>305</v>
      </c>
      <c r="B199" s="329" t="s">
        <v>297</v>
      </c>
      <c r="C199" s="329"/>
      <c r="D199" s="329" t="s">
        <v>294</v>
      </c>
      <c r="E199" s="293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8.75" hidden="false" customHeight="true" outlineLevel="0" collapsed="false">
      <c r="A200" s="70" t="n">
        <f aca="false">(E124/1.2)-100</f>
        <v>99.9916666666667</v>
      </c>
      <c r="B200" s="37" t="n">
        <f aca="false">(A154+B154+D154+A157)*(A149/B70)</f>
        <v>0</v>
      </c>
      <c r="C200" s="37"/>
      <c r="D200" s="37" t="n">
        <f aca="false">(A154+B154+D154+A157)-B157</f>
        <v>1096.84166666667</v>
      </c>
      <c r="E200" s="177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8.75" hidden="false" customHeight="true" outlineLevel="0" collapsed="false">
      <c r="A201" s="291"/>
      <c r="B201" s="329"/>
      <c r="C201" s="329"/>
      <c r="D201" s="329"/>
      <c r="E201" s="293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8.75" hidden="false" customHeight="true" outlineLevel="0" collapsed="false">
      <c r="A202" s="291" t="s">
        <v>306</v>
      </c>
      <c r="B202" s="329"/>
      <c r="C202" s="329"/>
      <c r="D202" s="329"/>
      <c r="E202" s="293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8.75" hidden="false" customHeight="true" outlineLevel="0" collapsed="false">
      <c r="A203" s="70" t="n">
        <f aca="false">D108</f>
        <v>200</v>
      </c>
      <c r="B203" s="37"/>
      <c r="C203" s="329"/>
      <c r="D203" s="329"/>
      <c r="E203" s="293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8.75" hidden="false" customHeight="true" outlineLevel="0" collapsed="false">
      <c r="A204" s="342"/>
      <c r="B204" s="343"/>
      <c r="C204" s="343"/>
      <c r="D204" s="343"/>
      <c r="E204" s="344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8.75" hidden="false" customHeight="true" outlineLevel="0" collapsed="false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8.75" hidden="false" customHeight="true" outlineLevel="0" collapsed="false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8.75" hidden="false" customHeight="true" outlineLevel="0" collapsed="false">
      <c r="A207" s="328" t="s">
        <v>185</v>
      </c>
      <c r="B207" s="328"/>
      <c r="C207" s="328"/>
      <c r="D207" s="328"/>
      <c r="E207" s="328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8.75" hidden="false" customHeight="true" outlineLevel="0" collapsed="false">
      <c r="A208" s="291"/>
      <c r="B208" s="292"/>
      <c r="C208" s="292"/>
      <c r="D208" s="292"/>
      <c r="E208" s="293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8.75" hidden="false" customHeight="true" outlineLevel="0" collapsed="false">
      <c r="A209" s="294" t="s">
        <v>186</v>
      </c>
      <c r="B209" s="345" t="n">
        <f aca="false">H35</f>
        <v>0</v>
      </c>
      <c r="C209" s="296" t="s">
        <v>188</v>
      </c>
      <c r="D209" s="346" t="n">
        <f aca="false">D70</f>
        <v>4051.95</v>
      </c>
      <c r="E209" s="297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8.75" hidden="false" customHeight="true" outlineLevel="0" collapsed="false">
      <c r="A210" s="298"/>
      <c r="B210" s="299"/>
      <c r="C210" s="300"/>
      <c r="D210" s="299"/>
      <c r="E210" s="297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8.75" hidden="false" customHeight="true" outlineLevel="0" collapsed="false">
      <c r="A211" s="294" t="s">
        <v>189</v>
      </c>
      <c r="B211" s="296" t="n">
        <f aca="false">B219</f>
        <v>578.85</v>
      </c>
      <c r="C211" s="295" t="s">
        <v>190</v>
      </c>
      <c r="D211" s="346" t="n">
        <f aca="false">B225+E221+B221+B223</f>
        <v>519.991666666667</v>
      </c>
      <c r="E211" s="297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8.75" hidden="false" customHeight="true" outlineLevel="0" collapsed="false">
      <c r="A212" s="294"/>
      <c r="B212" s="347"/>
      <c r="C212" s="296"/>
      <c r="D212" s="295"/>
      <c r="E212" s="297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8.75" hidden="false" customHeight="true" outlineLevel="0" collapsed="false">
      <c r="A213" s="298" t="s">
        <v>191</v>
      </c>
      <c r="B213" s="296" t="n">
        <f aca="false">E223</f>
        <v>3993.09166666667</v>
      </c>
      <c r="C213" s="300"/>
      <c r="D213" s="296"/>
      <c r="E213" s="297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8.75" hidden="false" customHeight="true" outlineLevel="0" collapsed="false">
      <c r="A214" s="291"/>
      <c r="B214" s="313"/>
      <c r="C214" s="292"/>
      <c r="D214" s="292"/>
      <c r="E214" s="293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8.75" hidden="false" customHeight="true" outlineLevel="0" collapsed="false">
      <c r="A215" s="222" t="s">
        <v>186</v>
      </c>
      <c r="B215" s="348" t="n">
        <v>0.065</v>
      </c>
      <c r="C215" s="306"/>
      <c r="D215" s="305"/>
      <c r="E215" s="293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8.75" hidden="false" customHeight="true" outlineLevel="0" collapsed="false">
      <c r="A216" s="349"/>
      <c r="B216" s="200"/>
      <c r="C216" s="292"/>
      <c r="D216" s="201"/>
      <c r="E216" s="293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8.75" hidden="false" customHeight="true" outlineLevel="0" collapsed="false">
      <c r="A217" s="350" t="s">
        <v>188</v>
      </c>
      <c r="B217" s="60" t="n">
        <f aca="false">D70</f>
        <v>4051.95</v>
      </c>
      <c r="C217" s="351" t="s">
        <v>194</v>
      </c>
      <c r="D217" s="292"/>
      <c r="E217" s="352" t="n">
        <f aca="false">B72</f>
        <v>0.01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8.75" hidden="false" customHeight="true" outlineLevel="0" collapsed="false">
      <c r="A218" s="69"/>
      <c r="B218" s="200"/>
      <c r="C218" s="310"/>
      <c r="D218" s="240"/>
      <c r="E218" s="293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8.75" hidden="false" customHeight="true" outlineLevel="0" collapsed="false">
      <c r="A219" s="70" t="s">
        <v>194</v>
      </c>
      <c r="B219" s="60" t="n">
        <f aca="false">B73</f>
        <v>578.85</v>
      </c>
      <c r="C219" s="310" t="s">
        <v>307</v>
      </c>
      <c r="D219" s="353"/>
      <c r="E219" s="103" t="n">
        <v>0.001</v>
      </c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8.75" hidden="false" customHeight="true" outlineLevel="0" collapsed="false">
      <c r="A220" s="70"/>
      <c r="B220" s="313"/>
      <c r="C220" s="310"/>
      <c r="D220" s="292"/>
      <c r="E220" s="293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8.75" hidden="false" customHeight="true" outlineLevel="0" collapsed="false">
      <c r="A221" s="70" t="s">
        <v>307</v>
      </c>
      <c r="B221" s="233" t="n">
        <f aca="false">B197*E219*100</f>
        <v>40</v>
      </c>
      <c r="C221" s="310" t="s">
        <v>196</v>
      </c>
      <c r="D221" s="292"/>
      <c r="E221" s="20" t="n">
        <f aca="false">A200</f>
        <v>99.9916666666667</v>
      </c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18.75" hidden="false" customHeight="true" outlineLevel="0" collapsed="false">
      <c r="A222" s="70"/>
      <c r="B222" s="200"/>
      <c r="C222" s="310"/>
      <c r="D222" s="201"/>
      <c r="E222" s="293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18.75" hidden="false" customHeight="true" outlineLevel="0" collapsed="false">
      <c r="A223" s="350" t="s">
        <v>308</v>
      </c>
      <c r="B223" s="233" t="n">
        <f aca="false">B84-(B84*(E219*100))</f>
        <v>200</v>
      </c>
      <c r="C223" s="310" t="s">
        <v>191</v>
      </c>
      <c r="D223" s="292"/>
      <c r="E223" s="20" t="n">
        <f aca="false">(B217-B211+D211)</f>
        <v>3993.09166666667</v>
      </c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18.75" hidden="false" customHeight="true" outlineLevel="0" collapsed="false">
      <c r="A224" s="354"/>
      <c r="B224" s="315"/>
      <c r="C224" s="201"/>
      <c r="D224" s="315"/>
      <c r="E224" s="163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18.75" hidden="false" customHeight="true" outlineLevel="0" collapsed="false">
      <c r="A225" s="354" t="s">
        <v>309</v>
      </c>
      <c r="B225" s="315" t="n">
        <f aca="false">D197/0.1</f>
        <v>180</v>
      </c>
      <c r="C225" s="201"/>
      <c r="D225" s="315"/>
      <c r="E225" s="163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18.75" hidden="false" customHeight="true" outlineLevel="0" collapsed="false">
      <c r="A226" s="354"/>
      <c r="B226" s="315"/>
      <c r="C226" s="201"/>
      <c r="D226" s="315"/>
      <c r="E226" s="163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customFormat="false" ht="18.75" hidden="false" customHeight="true" outlineLevel="0" collapsed="false">
      <c r="A227" s="318" t="s">
        <v>310</v>
      </c>
      <c r="B227" s="355"/>
      <c r="C227" s="320"/>
      <c r="D227" s="319"/>
      <c r="E227" s="321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18.75" hidden="false" customHeight="true" outlineLevel="0" collapsed="false">
      <c r="A228" s="316"/>
      <c r="B228" s="356"/>
      <c r="C228" s="292"/>
      <c r="D228" s="317"/>
      <c r="E228" s="293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18.75" hidden="false" customHeight="true" outlineLevel="0" collapsed="false">
      <c r="A229" s="316" t="s">
        <v>198</v>
      </c>
      <c r="B229" s="60" t="n">
        <f aca="false">B77</f>
        <v>200</v>
      </c>
      <c r="C229" s="310" t="s">
        <v>199</v>
      </c>
      <c r="D229" s="317"/>
      <c r="E229" s="150" t="n">
        <f aca="false">B78</f>
        <v>5</v>
      </c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18.75" hidden="false" customHeight="true" outlineLevel="0" collapsed="false">
      <c r="A230" s="316"/>
      <c r="B230" s="356"/>
      <c r="C230" s="310" t="s">
        <v>200</v>
      </c>
      <c r="D230" s="317"/>
      <c r="E230" s="20" t="n">
        <f aca="false">D79</f>
        <v>260</v>
      </c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18.75" hidden="false" customHeight="true" outlineLevel="0" collapsed="false">
      <c r="A231" s="316" t="s">
        <v>201</v>
      </c>
      <c r="B231" s="357" t="n">
        <f aca="false">B74</f>
        <v>0.0075</v>
      </c>
      <c r="C231" s="310" t="s">
        <v>202</v>
      </c>
      <c r="D231" s="317"/>
      <c r="E231" s="352" t="n">
        <f aca="false">B75</f>
        <v>0.12</v>
      </c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8.75" hidden="false" customHeight="true" outlineLevel="0" collapsed="false">
      <c r="A232" s="316"/>
      <c r="B232" s="356"/>
      <c r="C232" s="310" t="s">
        <v>203</v>
      </c>
      <c r="D232" s="317"/>
      <c r="E232" s="20" t="n">
        <f aca="false">B92</f>
        <v>96.8587938684954</v>
      </c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18.75" hidden="false" customHeight="true" outlineLevel="0" collapsed="false">
      <c r="A233" s="316" t="s">
        <v>204</v>
      </c>
      <c r="B233" s="60" t="n">
        <f aca="false">B85</f>
        <v>200</v>
      </c>
      <c r="C233" s="358" t="s">
        <v>311</v>
      </c>
      <c r="D233" s="359"/>
      <c r="E233" s="150" t="n">
        <f aca="false">B80</f>
        <v>165</v>
      </c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18.75" hidden="false" customHeight="true" outlineLevel="0" collapsed="false">
      <c r="A234" s="350"/>
      <c r="B234" s="313"/>
      <c r="C234" s="358"/>
      <c r="D234" s="360"/>
      <c r="E234" s="361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18.75" hidden="false" customHeight="true" outlineLevel="0" collapsed="false">
      <c r="A235" s="70" t="s">
        <v>205</v>
      </c>
      <c r="B235" s="60" t="n">
        <f aca="false">B86</f>
        <v>200</v>
      </c>
      <c r="C235" s="362" t="s">
        <v>312</v>
      </c>
      <c r="D235" s="362"/>
      <c r="E235" s="150" t="n">
        <f aca="false">B81</f>
        <v>355</v>
      </c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18.75" hidden="false" customHeight="true" outlineLevel="0" collapsed="false">
      <c r="A236" s="291"/>
      <c r="B236" s="292"/>
      <c r="C236" s="292"/>
      <c r="D236" s="292"/>
      <c r="E236" s="293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18.75" hidden="false" customHeight="true" outlineLevel="0" collapsed="false">
      <c r="A237" s="291"/>
      <c r="B237" s="292"/>
      <c r="C237" s="292"/>
      <c r="D237" s="292"/>
      <c r="E237" s="293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18.75" hidden="false" customHeight="true" outlineLevel="0" collapsed="false">
      <c r="A238" s="70"/>
      <c r="B238" s="201"/>
      <c r="C238" s="201"/>
      <c r="D238" s="201"/>
      <c r="E238" s="177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18.75" hidden="false" customHeight="true" outlineLevel="0" collapsed="false">
      <c r="A239" s="291"/>
      <c r="B239" s="292"/>
      <c r="C239" s="292"/>
      <c r="D239" s="292"/>
      <c r="E239" s="293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18.75" hidden="false" customHeight="true" outlineLevel="0" collapsed="false">
      <c r="A240" s="291"/>
      <c r="B240" s="292"/>
      <c r="C240" s="292"/>
      <c r="D240" s="292"/>
      <c r="E240" s="293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18.75" hidden="false" customHeight="true" outlineLevel="0" collapsed="false">
      <c r="A241" s="70"/>
      <c r="B241" s="201"/>
      <c r="C241" s="292"/>
      <c r="D241" s="292"/>
      <c r="E241" s="293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18.75" hidden="false" customHeight="true" outlineLevel="0" collapsed="false">
      <c r="A242" s="342"/>
      <c r="B242" s="343"/>
      <c r="C242" s="343"/>
      <c r="D242" s="343"/>
      <c r="E242" s="344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18.75" hidden="false" customHeight="tru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18.75" hidden="false" customHeight="tru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18.75" hidden="false" customHeight="tru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18.75" hidden="false" customHeight="tru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18.75" hidden="false" customHeight="tru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18.75" hidden="false" customHeight="tru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18.75" hidden="false" customHeight="tru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18.75" hidden="false" customHeight="tru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18.75" hidden="false" customHeight="tru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18.75" hidden="false" customHeight="tru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18.75" hidden="false" customHeight="tru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18.75" hidden="false" customHeight="tru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18.75" hidden="false" customHeight="tru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18.75" hidden="false" customHeight="tru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18.75" hidden="false" customHeight="tru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18.75" hidden="false" customHeight="tru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18.75" hidden="false" customHeight="tru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18.75" hidden="false" customHeight="tru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18.75" hidden="false" customHeight="tru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18.75" hidden="false" customHeight="tru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18.75" hidden="false" customHeight="tru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18.75" hidden="false" customHeight="tru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18.75" hidden="false" customHeight="tru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18.75" hidden="false" customHeight="tru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18.75" hidden="false" customHeight="tru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18.75" hidden="false" customHeight="tru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18.75" hidden="false" customHeight="tru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18.75" hidden="false" customHeight="tru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18.75" hidden="false" customHeight="tru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18.75" hidden="false" customHeight="tru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18.75" hidden="false" customHeight="tru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18.75" hidden="false" customHeight="tru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18.75" hidden="false" customHeight="tru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18.75" hidden="false" customHeight="tru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18.75" hidden="false" customHeight="tru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18.75" hidden="false" customHeight="tru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18.75" hidden="false" customHeight="tru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18.75" hidden="false" customHeight="tru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18.75" hidden="false" customHeight="tru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18.75" hidden="false" customHeight="tru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18.75" hidden="false" customHeight="tru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18.75" hidden="false" customHeight="tru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18.75" hidden="false" customHeight="tru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18.75" hidden="false" customHeight="tru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18.75" hidden="false" customHeight="tru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18.75" hidden="false" customHeight="tru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18.75" hidden="false" customHeight="tru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18.75" hidden="false" customHeight="tru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18.75" hidden="false" customHeight="tru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18.75" hidden="false" customHeight="tru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18.75" hidden="false" customHeight="tru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18.75" hidden="false" customHeight="tru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18.75" hidden="false" customHeight="tru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18.75" hidden="false" customHeight="tru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18.75" hidden="false" customHeight="tru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18.75" hidden="false" customHeight="tru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18.75" hidden="false" customHeight="tru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18.75" hidden="false" customHeight="tru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18.75" hidden="false" customHeight="tru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18.75" hidden="false" customHeight="tru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18.75" hidden="false" customHeight="tru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18.75" hidden="false" customHeight="tru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18.75" hidden="false" customHeight="tru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18.75" hidden="false" customHeight="tru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18.75" hidden="false" customHeight="tru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18.75" hidden="false" customHeight="tru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18.75" hidden="false" customHeight="tru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18.75" hidden="false" customHeight="tru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18.75" hidden="false" customHeight="tru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18.75" hidden="false" customHeight="tru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18.75" hidden="false" customHeight="tru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18.75" hidden="false" customHeight="tru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18.75" hidden="false" customHeight="tru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18.75" hidden="false" customHeight="tru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18.75" hidden="false" customHeight="tru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18.75" hidden="false" customHeight="tru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18.75" hidden="false" customHeight="tru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18.75" hidden="false" customHeight="tru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18.75" hidden="false" customHeight="tru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18.75" hidden="false" customHeight="tru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18.75" hidden="false" customHeight="tru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18.75" hidden="false" customHeight="tru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18.75" hidden="false" customHeight="tru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18.75" hidden="false" customHeight="tru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18.75" hidden="false" customHeight="tru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18.75" hidden="false" customHeight="tru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18.75" hidden="false" customHeight="tru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18.75" hidden="false" customHeight="tru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18.75" hidden="false" customHeight="tru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18.75" hidden="false" customHeight="tru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18.75" hidden="false" customHeight="tru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18.75" hidden="false" customHeight="tru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18.75" hidden="false" customHeight="tru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18.75" hidden="false" customHeight="tru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18.75" hidden="false" customHeight="tru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18.75" hidden="false" customHeight="tru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18.75" hidden="false" customHeight="tru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18.75" hidden="false" customHeight="tru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18.75" hidden="false" customHeight="tru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18.75" hidden="false" customHeight="tru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18.75" hidden="false" customHeight="tru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18.75" hidden="false" customHeight="tru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18.75" hidden="false" customHeight="tru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18.75" hidden="false" customHeight="tru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18.75" hidden="false" customHeight="tru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18.75" hidden="false" customHeight="tru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18.75" hidden="false" customHeight="tru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18.75" hidden="false" customHeight="tru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18.75" hidden="false" customHeight="tru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18.75" hidden="false" customHeight="tru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18.75" hidden="false" customHeight="true" outlineLevel="0" collapsed="false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customFormat="false" ht="18.75" hidden="false" customHeight="true" outlineLevel="0" collapsed="false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customFormat="false" ht="18.75" hidden="false" customHeight="tru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customFormat="false" ht="18.75" hidden="false" customHeight="true" outlineLevel="0" collapsed="false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customFormat="false" ht="18.75" hidden="false" customHeight="true" outlineLevel="0" collapsed="false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customFormat="false" ht="18.75" hidden="false" customHeight="true" outlineLevel="0" collapsed="false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customFormat="false" ht="18.75" hidden="false" customHeight="true" outlineLevel="0" collapsed="false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customFormat="false" ht="18.75" hidden="false" customHeight="true" outlineLevel="0" collapsed="false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customFormat="false" ht="18.75" hidden="false" customHeight="true" outlineLevel="0" collapsed="false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  <dataValidation allowBlank="true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3" colorId="64" zoomScale="75" zoomScaleNormal="75" zoomScalePageLayoutView="100" workbookViewId="0">
      <selection pane="topLeft" activeCell="B198" activeCellId="0" sqref="B198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396" t="s">
        <v>324</v>
      </c>
      <c r="B1" s="396"/>
      <c r="C1" s="396"/>
      <c r="D1" s="396"/>
      <c r="E1" s="396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8.75" hidden="false" customHeight="true" outlineLevel="0" collapsed="false">
      <c r="A2" s="261"/>
      <c r="B2" s="474" t="s">
        <v>115</v>
      </c>
      <c r="C2" s="474" t="s">
        <v>116</v>
      </c>
      <c r="D2" s="474" t="s">
        <v>117</v>
      </c>
      <c r="E2" s="399" t="s">
        <v>118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8.75" hidden="false" customHeight="true" outlineLevel="0" collapsed="false">
      <c r="A3" s="209" t="s">
        <v>121</v>
      </c>
      <c r="B3" s="475" t="n">
        <v>46854.17</v>
      </c>
      <c r="C3" s="475" t="n">
        <v>0</v>
      </c>
      <c r="D3" s="475" t="n">
        <v>833.33</v>
      </c>
      <c r="E3" s="476" t="n">
        <v>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8.75" hidden="false" customHeight="true" outlineLevel="0" collapsed="false">
      <c r="A4" s="209" t="s">
        <v>122</v>
      </c>
      <c r="B4" s="493" t="n">
        <v>0</v>
      </c>
      <c r="C4" s="493" t="n">
        <v>0</v>
      </c>
      <c r="D4" s="493" t="n">
        <v>0</v>
      </c>
      <c r="E4" s="260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8.75" hidden="false" customHeight="true" outlineLevel="0" collapsed="false">
      <c r="A5" s="209" t="s">
        <v>123</v>
      </c>
      <c r="B5" s="475" t="n">
        <v>0</v>
      </c>
      <c r="C5" s="475" t="n">
        <v>0</v>
      </c>
      <c r="D5" s="475" t="n">
        <v>0</v>
      </c>
      <c r="E5" s="273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8.75" hidden="false" customHeight="true" outlineLevel="0" collapsed="false">
      <c r="A6" s="209" t="s">
        <v>124</v>
      </c>
      <c r="B6" s="79" t="n">
        <f aca="false">(B3*B4/100)+B5</f>
        <v>0</v>
      </c>
      <c r="C6" s="79" t="n">
        <f aca="false">(C3*C4/100)+C5</f>
        <v>0</v>
      </c>
      <c r="D6" s="79" t="n">
        <f aca="false">(D3*D4/100)+D5</f>
        <v>0</v>
      </c>
      <c r="E6" s="273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8.75" hidden="false" customHeight="true" outlineLevel="0" collapsed="false">
      <c r="A7" s="209" t="s">
        <v>125</v>
      </c>
      <c r="B7" s="79" t="n">
        <f aca="false">B3-B6</f>
        <v>46854.17</v>
      </c>
      <c r="C7" s="79" t="n">
        <f aca="false">C3-C6</f>
        <v>0</v>
      </c>
      <c r="D7" s="79" t="n">
        <f aca="false">D3-D6</f>
        <v>833.33</v>
      </c>
      <c r="E7" s="273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8.75" hidden="false" customHeight="true" outlineLevel="0" collapsed="false">
      <c r="A8" s="209"/>
      <c r="B8" s="207"/>
      <c r="C8" s="207"/>
      <c r="D8" s="207"/>
      <c r="E8" s="210"/>
      <c r="F8" s="19"/>
      <c r="G8" s="19"/>
      <c r="H8" s="19"/>
      <c r="I8" s="26" t="s">
        <v>3</v>
      </c>
      <c r="J8" s="27" t="n">
        <f aca="false">E13+E14</f>
        <v>640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8.75" hidden="false" customHeight="true" outlineLevel="0" collapsed="false">
      <c r="A9" s="402" t="s">
        <v>133</v>
      </c>
      <c r="B9" s="402"/>
      <c r="C9" s="402"/>
      <c r="D9" s="402"/>
      <c r="E9" s="494" t="n">
        <f aca="false">B7+C7+D7+E3</f>
        <v>47687.5</v>
      </c>
      <c r="F9" s="19"/>
      <c r="G9" s="19"/>
      <c r="H9" s="19"/>
      <c r="I9" s="27"/>
      <c r="J9" s="27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8.75" hidden="false" customHeight="true" outlineLevel="0" collapsed="false">
      <c r="A10" s="404" t="s">
        <v>134</v>
      </c>
      <c r="B10" s="404"/>
      <c r="C10" s="404"/>
      <c r="D10" s="404"/>
      <c r="E10" s="476" t="n">
        <v>550</v>
      </c>
      <c r="F10" s="19"/>
      <c r="G10" s="19"/>
      <c r="H10" s="19"/>
      <c r="I10" s="32" t="s">
        <v>1</v>
      </c>
      <c r="J10" s="27" t="n">
        <f aca="false">E15-E11-J8</f>
        <v>48237.5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8.75" hidden="false" customHeight="true" outlineLevel="0" collapsed="false">
      <c r="A11" s="404" t="s">
        <v>135</v>
      </c>
      <c r="B11" s="404"/>
      <c r="C11" s="404"/>
      <c r="D11" s="404"/>
      <c r="E11" s="273" t="n">
        <f aca="false">(E9+E10)*20%</f>
        <v>9647.5</v>
      </c>
      <c r="F11" s="19"/>
      <c r="G11" s="19"/>
      <c r="H11" s="19"/>
      <c r="I11" s="27"/>
      <c r="J11" s="27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8.75" hidden="false" customHeight="true" outlineLevel="0" collapsed="false">
      <c r="A12" s="404" t="s">
        <v>136</v>
      </c>
      <c r="B12" s="404"/>
      <c r="C12" s="404"/>
      <c r="D12" s="404"/>
      <c r="E12" s="476" t="n"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8.75" hidden="false" customHeight="true" outlineLevel="0" collapsed="false">
      <c r="A13" s="404" t="s">
        <v>137</v>
      </c>
      <c r="B13" s="404"/>
      <c r="C13" s="404"/>
      <c r="D13" s="404"/>
      <c r="E13" s="476" t="n">
        <v>585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8.75" hidden="false" customHeight="true" outlineLevel="0" collapsed="false">
      <c r="A14" s="404" t="s">
        <v>138</v>
      </c>
      <c r="B14" s="404"/>
      <c r="C14" s="404"/>
      <c r="D14" s="404"/>
      <c r="E14" s="476" t="n">
        <v>55</v>
      </c>
      <c r="F14" s="19"/>
      <c r="G14" s="19" t="s">
        <v>13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8.75" hidden="false" customHeight="true" outlineLevel="0" collapsed="false">
      <c r="A15" s="404" t="s">
        <v>139</v>
      </c>
      <c r="B15" s="404"/>
      <c r="C15" s="404"/>
      <c r="D15" s="404"/>
      <c r="E15" s="495" t="n">
        <f aca="false">(E9+E10+E13+E14+E11)-E12</f>
        <v>58525</v>
      </c>
      <c r="F15" s="19"/>
      <c r="G15" s="205" t="n">
        <f aca="false">E15</f>
        <v>58525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8.75" hidden="false" customHeight="true" outlineLevel="0" collapsed="false">
      <c r="A16" s="404" t="s">
        <v>140</v>
      </c>
      <c r="B16" s="404"/>
      <c r="C16" s="404"/>
      <c r="D16" s="404"/>
      <c r="E16" s="476" t="n">
        <v>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6" t="s">
        <v>15</v>
      </c>
      <c r="Z16" s="19"/>
    </row>
    <row r="17" customFormat="false" ht="18.75" hidden="false" customHeight="true" outlineLevel="0" collapsed="false">
      <c r="A17" s="349" t="s">
        <v>141</v>
      </c>
      <c r="B17" s="349"/>
      <c r="C17" s="349"/>
      <c r="D17" s="349"/>
      <c r="E17" s="210"/>
      <c r="F17" s="19"/>
      <c r="G17" s="19" t="s">
        <v>16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6" t="s">
        <v>17</v>
      </c>
      <c r="Z17" s="19"/>
    </row>
    <row r="18" customFormat="false" ht="18.75" hidden="false" customHeight="true" outlineLevel="0" collapsed="false">
      <c r="A18" s="405" t="s">
        <v>15</v>
      </c>
      <c r="B18" s="406" t="s">
        <v>142</v>
      </c>
      <c r="C18" s="406"/>
      <c r="D18" s="406"/>
      <c r="E18" s="479" t="n">
        <v>0</v>
      </c>
      <c r="F18" s="19"/>
      <c r="G18" s="205" t="n">
        <f aca="false">(B3+C3+D3+E3+E10)*1.2</f>
        <v>57885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6" t="s">
        <v>18</v>
      </c>
      <c r="Z18" s="19"/>
    </row>
    <row r="19" customFormat="false" ht="18.75" hidden="false" customHeight="true" outlineLevel="0" collapsed="false">
      <c r="A19" s="405" t="s">
        <v>17</v>
      </c>
      <c r="B19" s="406" t="s">
        <v>142</v>
      </c>
      <c r="C19" s="406"/>
      <c r="D19" s="406"/>
      <c r="E19" s="479" t="n"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 t="s">
        <v>9</v>
      </c>
    </row>
    <row r="20" customFormat="false" ht="18.75" hidden="false" customHeight="true" outlineLevel="0" collapsed="false">
      <c r="A20" s="405" t="s">
        <v>18</v>
      </c>
      <c r="B20" s="406" t="s">
        <v>142</v>
      </c>
      <c r="C20" s="406"/>
      <c r="D20" s="406"/>
      <c r="E20" s="479" t="n"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 t="s">
        <v>10</v>
      </c>
    </row>
    <row r="21" customFormat="false" ht="18.75" hidden="false" customHeight="true" outlineLevel="0" collapsed="false">
      <c r="A21" s="407" t="s">
        <v>143</v>
      </c>
      <c r="B21" s="407"/>
      <c r="C21" s="407"/>
      <c r="D21" s="407"/>
      <c r="E21" s="480" t="n">
        <f aca="false">E15-((E18*1.2)+(E19*1.2)+(E20*1.2)+(E16*1.2))</f>
        <v>58525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8.75" hidden="false" customHeight="true" outlineLevel="0" collapsed="false">
      <c r="A22" s="207"/>
      <c r="B22" s="207"/>
      <c r="C22" s="207"/>
      <c r="D22" s="207"/>
      <c r="E22" s="207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7.35" hidden="false" customHeight="false" outlineLevel="0" collapsed="false">
      <c r="A23" s="207"/>
      <c r="B23" s="207"/>
      <c r="C23" s="207"/>
      <c r="D23" s="207"/>
      <c r="E23" s="207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56.7" hidden="false" customHeight="true" outlineLevel="0" collapsed="false">
      <c r="A24" s="208" t="s">
        <v>208</v>
      </c>
      <c r="B24" s="208"/>
      <c r="C24" s="208"/>
      <c r="D24" s="208"/>
      <c r="E24" s="20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8.75" hidden="false" customHeight="true" outlineLevel="0" collapsed="false">
      <c r="A25" s="209"/>
      <c r="B25" s="207"/>
      <c r="C25" s="207"/>
      <c r="D25" s="207"/>
      <c r="E25" s="21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8.75" hidden="false" customHeight="true" outlineLevel="0" collapsed="false">
      <c r="A26" s="211" t="s">
        <v>209</v>
      </c>
      <c r="B26" s="211"/>
      <c r="C26" s="211"/>
      <c r="D26" s="211"/>
      <c r="E26" s="211"/>
      <c r="F26" s="19"/>
      <c r="G26" s="212"/>
      <c r="H26" s="212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8.75" hidden="false" customHeight="true" outlineLevel="0" collapsed="false">
      <c r="A27" s="209"/>
      <c r="B27" s="207"/>
      <c r="C27" s="207"/>
      <c r="D27" s="207"/>
      <c r="E27" s="210"/>
      <c r="F27" s="19"/>
      <c r="G27" s="213" t="s">
        <v>46</v>
      </c>
      <c r="H27" s="213" t="n">
        <f aca="false">IF(A32=Y103,1,IF(A32=Y104,1,IF(A32=Y105,3,IF(A32=Y106,6,IF(A32=Y107,9,IF(A32=Y108,12,IF(A32=Y109,3,IF(A32=Y110,6,IF(A32=Y111,9,0)))))))))</f>
        <v>0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8.75" hidden="false" customHeight="true" outlineLevel="0" collapsed="false">
      <c r="A28" s="214" t="s">
        <v>210</v>
      </c>
      <c r="B28" s="215" t="s">
        <v>211</v>
      </c>
      <c r="C28" s="207"/>
      <c r="D28" s="215" t="s">
        <v>212</v>
      </c>
      <c r="E28" s="210"/>
      <c r="F28" s="19"/>
      <c r="G28" s="213" t="s">
        <v>60</v>
      </c>
      <c r="H28" s="213" t="n">
        <f aca="false">IF(A32=Y103,H29-H37,IF(A32=Y104,H29-H37,IF(A32=Y105,H29-1,IF(A32=Y106,H29-1,IF(A32=Y107,H29-1,IF(A32=Y108,H29-1,IF(A32=Y109,H29-H37,IF(A32=Y110,H29-H37,IF(A32=Y111,H29-H37,0)))))))))</f>
        <v>0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8.75" hidden="false" customHeight="true" outlineLevel="0" collapsed="false">
      <c r="A29" s="216" t="s">
        <v>213</v>
      </c>
      <c r="B29" s="217" t="n">
        <v>12345</v>
      </c>
      <c r="C29" s="217"/>
      <c r="D29" s="218" t="n">
        <f aca="true">TODAY()+1</f>
        <v>45008</v>
      </c>
      <c r="E29" s="218"/>
      <c r="F29" s="19"/>
      <c r="G29" s="212" t="s">
        <v>214</v>
      </c>
      <c r="H29" s="212" t="n">
        <f aca="false">B35</f>
        <v>12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8.75" hidden="false" customHeight="true" outlineLevel="0" collapsed="false">
      <c r="A30" s="209"/>
      <c r="B30" s="21"/>
      <c r="C30" s="21"/>
      <c r="D30" s="207"/>
      <c r="E30" s="210"/>
      <c r="F30" s="19"/>
      <c r="G30" s="212" t="s">
        <v>31</v>
      </c>
      <c r="H30" s="212" t="n">
        <f aca="false">D35</f>
        <v>5000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8.75" hidden="false" customHeight="true" outlineLevel="0" collapsed="false">
      <c r="A31" s="214" t="s">
        <v>23</v>
      </c>
      <c r="B31" s="215" t="s">
        <v>215</v>
      </c>
      <c r="C31" s="207"/>
      <c r="D31" s="215" t="s">
        <v>216</v>
      </c>
      <c r="E31" s="210"/>
      <c r="F31" s="19"/>
      <c r="G31" s="212" t="s">
        <v>217</v>
      </c>
      <c r="H31" s="219" t="str">
        <f aca="false">D38</f>
        <v>500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8.75" hidden="false" customHeight="true" outlineLevel="0" collapsed="false">
      <c r="A32" s="216" t="s">
        <v>100</v>
      </c>
      <c r="B32" s="220" t="str">
        <f aca="false">IF(A32=Z103,D38,IF(A32=Z104,D38,IF(A32=Z105,(D38*3),IF(A32=Z106,(D38*6),IF(A32=Z107,(D38*9),IF(A32=Z108,(D38*12),IF(A32=Z109,D38,IF(A32=Z110,D38,IF(A32=Z111,D38,0)))))))))</f>
        <v>500</v>
      </c>
      <c r="C32" s="220"/>
      <c r="D32" s="220" t="str">
        <f aca="false">IF(A32=Z103,A41,IF(A32=Z104,A41,IF(A32=Z105,(A41*3),IF(A32=Z106,(A41*6),IF(A32=Z107,(A41*9),IF(A32=Z108,(A41*12),IF(A32=Z109,A41,IF(A32=Z110,A41,IF(A32=Z111,A41,0)))))))))</f>
        <v>50</v>
      </c>
      <c r="E32" s="220"/>
      <c r="F32" s="19"/>
      <c r="G32" s="221" t="s">
        <v>218</v>
      </c>
      <c r="H32" s="219" t="str">
        <f aca="false">A41</f>
        <v>50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18.75" hidden="false" customHeight="true" outlineLevel="0" collapsed="false">
      <c r="A33" s="222"/>
      <c r="B33" s="174"/>
      <c r="C33" s="223"/>
      <c r="D33" s="176"/>
      <c r="E33" s="210"/>
      <c r="F33" s="19"/>
      <c r="G33" s="221" t="s">
        <v>219</v>
      </c>
      <c r="H33" s="219" t="str">
        <f aca="false">D41</f>
        <v>6000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8.75" hidden="false" customHeight="true" outlineLevel="0" collapsed="false">
      <c r="A34" s="222" t="s">
        <v>220</v>
      </c>
      <c r="B34" s="224" t="s">
        <v>221</v>
      </c>
      <c r="C34" s="223"/>
      <c r="D34" s="64" t="s">
        <v>175</v>
      </c>
      <c r="E34" s="210"/>
      <c r="F34" s="19"/>
      <c r="G34" s="221" t="s">
        <v>222</v>
      </c>
      <c r="H34" s="219" t="str">
        <f aca="false">A44</f>
        <v>12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8.75" hidden="false" customHeight="true" outlineLevel="0" collapsed="false">
      <c r="A35" s="220" t="n">
        <f aca="false">B32+D32</f>
        <v>550</v>
      </c>
      <c r="B35" s="217" t="n">
        <v>12</v>
      </c>
      <c r="C35" s="217"/>
      <c r="D35" s="217" t="n">
        <v>5000</v>
      </c>
      <c r="E35" s="217"/>
      <c r="F35" s="19"/>
      <c r="G35" s="225"/>
      <c r="H35" s="226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8.75" hidden="false" customHeight="true" outlineLevel="0" collapsed="false">
      <c r="A36" s="209"/>
      <c r="B36" s="207"/>
      <c r="C36" s="207"/>
      <c r="D36" s="207"/>
      <c r="E36" s="210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8.75" hidden="false" customHeight="true" outlineLevel="0" collapsed="false">
      <c r="A37" s="214" t="s">
        <v>223</v>
      </c>
      <c r="B37" s="215" t="s">
        <v>224</v>
      </c>
      <c r="C37" s="207"/>
      <c r="D37" s="215" t="s">
        <v>225</v>
      </c>
      <c r="E37" s="210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8.75" hidden="false" customHeight="true" outlineLevel="0" collapsed="false">
      <c r="A38" s="227" t="n">
        <f aca="false">(B35/12)*D35</f>
        <v>5000</v>
      </c>
      <c r="B38" s="217" t="s">
        <v>9</v>
      </c>
      <c r="C38" s="217"/>
      <c r="D38" s="60" t="s">
        <v>226</v>
      </c>
      <c r="E38" s="60"/>
      <c r="F38" s="19"/>
      <c r="G38" s="19"/>
      <c r="H38" s="19"/>
      <c r="I38" s="22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8.75" hidden="false" customHeight="true" outlineLevel="0" collapsed="false">
      <c r="A39" s="229"/>
      <c r="B39" s="223"/>
      <c r="C39" s="223"/>
      <c r="D39" s="207"/>
      <c r="E39" s="210"/>
      <c r="F39" s="19"/>
      <c r="G39" s="19"/>
      <c r="H39" s="228"/>
      <c r="I39" s="228"/>
      <c r="J39" s="22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8.75" hidden="false" customHeight="true" outlineLevel="0" collapsed="false">
      <c r="A40" s="230" t="s">
        <v>227</v>
      </c>
      <c r="B40" s="231" t="s">
        <v>93</v>
      </c>
      <c r="C40" s="223"/>
      <c r="D40" s="232" t="s">
        <v>228</v>
      </c>
      <c r="E40" s="210"/>
      <c r="F40" s="19"/>
      <c r="G40" s="19"/>
      <c r="H40" s="228"/>
      <c r="I40" s="228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8.75" hidden="false" customHeight="true" outlineLevel="0" collapsed="false">
      <c r="A41" s="60" t="s">
        <v>340</v>
      </c>
      <c r="B41" s="233" t="n">
        <f aca="false">IF(B38="YES", D38+A41, D38)</f>
        <v>550</v>
      </c>
      <c r="C41" s="233"/>
      <c r="D41" s="60" t="s">
        <v>336</v>
      </c>
      <c r="E41" s="60"/>
      <c r="F41" s="19"/>
      <c r="G41" s="19"/>
      <c r="H41" s="235"/>
      <c r="I41" s="22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8.75" hidden="false" customHeight="true" outlineLevel="0" collapsed="false">
      <c r="A42" s="229"/>
      <c r="B42" s="223"/>
      <c r="C42" s="223"/>
      <c r="D42" s="223"/>
      <c r="E42" s="236"/>
      <c r="F42" s="19"/>
      <c r="G42" s="237" t="s">
        <v>42</v>
      </c>
      <c r="H42" s="237"/>
      <c r="I42" s="22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8.75" hidden="false" customHeight="true" outlineLevel="0" collapsed="false">
      <c r="A43" s="230" t="s">
        <v>111</v>
      </c>
      <c r="B43" s="231" t="s">
        <v>229</v>
      </c>
      <c r="C43" s="223"/>
      <c r="D43" s="231" t="s">
        <v>230</v>
      </c>
      <c r="E43" s="236"/>
      <c r="F43" s="19"/>
      <c r="G43" s="19" t="s">
        <v>231</v>
      </c>
      <c r="H43" s="228" t="n">
        <f aca="false">((((D38*(B35-1))+B32)/B35) + (A44/B35))</f>
        <v>501</v>
      </c>
      <c r="I43" s="22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8.75" hidden="false" customHeight="true" outlineLevel="0" collapsed="false">
      <c r="A44" s="60" t="s">
        <v>232</v>
      </c>
      <c r="B44" s="60" t="s">
        <v>341</v>
      </c>
      <c r="C44" s="60"/>
      <c r="D44" s="60" t="s">
        <v>373</v>
      </c>
      <c r="E44" s="60"/>
      <c r="F44" s="19"/>
      <c r="G44" s="19" t="s">
        <v>233</v>
      </c>
      <c r="H44" s="228" t="str">
        <f aca="false">H32</f>
        <v>50</v>
      </c>
      <c r="I44" s="238" t="n">
        <f aca="false">((A41*(B35-1))+D32)/B35</f>
        <v>50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8.75" hidden="false" customHeight="true" outlineLevel="0" collapsed="false">
      <c r="A45" s="229"/>
      <c r="B45" s="223"/>
      <c r="C45" s="223"/>
      <c r="D45" s="223"/>
      <c r="E45" s="236"/>
      <c r="F45" s="19"/>
      <c r="G45" s="19" t="s">
        <v>234</v>
      </c>
      <c r="H45" s="239" t="n">
        <f aca="false">H43+H44</f>
        <v>551</v>
      </c>
      <c r="I45" s="22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8.75" hidden="false" customHeight="true" outlineLevel="0" collapsed="false">
      <c r="A46" s="230" t="s">
        <v>235</v>
      </c>
      <c r="B46" s="231" t="s">
        <v>236</v>
      </c>
      <c r="C46" s="223"/>
      <c r="D46" s="231" t="s">
        <v>237</v>
      </c>
      <c r="E46" s="236"/>
      <c r="F46" s="19"/>
      <c r="G46" s="19" t="s">
        <v>238</v>
      </c>
      <c r="H46" s="228" t="n">
        <f aca="false">H43</f>
        <v>501</v>
      </c>
      <c r="I46" s="22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8.75" hidden="false" customHeight="true" outlineLevel="0" collapsed="false">
      <c r="A47" s="240" t="n">
        <v>0</v>
      </c>
      <c r="B47" s="497" t="s">
        <v>373</v>
      </c>
      <c r="C47" s="497"/>
      <c r="D47" s="60" t="s">
        <v>373</v>
      </c>
      <c r="E47" s="60"/>
      <c r="F47" s="19"/>
      <c r="G47" s="19"/>
      <c r="H47" s="228"/>
      <c r="I47" s="22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8.75" hidden="false" customHeight="true" outlineLevel="0" collapsed="false">
      <c r="A48" s="229"/>
      <c r="B48" s="223"/>
      <c r="C48" s="223"/>
      <c r="D48" s="223"/>
      <c r="E48" s="236"/>
      <c r="F48" s="19"/>
      <c r="G48" s="19"/>
      <c r="H48" s="228"/>
      <c r="I48" s="22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8.75" hidden="false" customHeight="true" outlineLevel="0" collapsed="false">
      <c r="A49" s="229"/>
      <c r="B49" s="223"/>
      <c r="C49" s="223"/>
      <c r="D49" s="223"/>
      <c r="E49" s="236"/>
      <c r="F49" s="19"/>
      <c r="G49" s="19"/>
      <c r="H49" s="228"/>
      <c r="I49" s="22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8.75" hidden="false" customHeight="true" outlineLevel="0" collapsed="false">
      <c r="B50" s="223"/>
      <c r="C50" s="223"/>
      <c r="D50" s="223"/>
      <c r="E50" s="236"/>
      <c r="F50" s="19"/>
      <c r="G50" s="19"/>
      <c r="H50" s="228"/>
      <c r="I50" s="22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8.75" hidden="false" customHeight="true" outlineLevel="0" collapsed="false">
      <c r="A51" s="229"/>
      <c r="B51" s="223"/>
      <c r="C51" s="223"/>
      <c r="D51" s="223"/>
      <c r="E51" s="236"/>
      <c r="F51" s="19"/>
      <c r="G51" s="19"/>
      <c r="H51" s="228"/>
      <c r="I51" s="22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8.75" hidden="false" customHeight="true" outlineLevel="0" collapsed="false">
      <c r="A52" s="242" t="s">
        <v>239</v>
      </c>
      <c r="B52" s="223"/>
      <c r="C52" s="223"/>
      <c r="D52" s="223"/>
      <c r="E52" s="236"/>
      <c r="F52" s="19"/>
      <c r="G52" s="19"/>
      <c r="H52" s="228"/>
      <c r="I52" s="22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8.75" hidden="false" customHeight="true" outlineLevel="0" collapsed="false">
      <c r="A53" s="229"/>
      <c r="B53" s="223"/>
      <c r="C53" s="223"/>
      <c r="D53" s="223"/>
      <c r="E53" s="236"/>
      <c r="F53" s="19"/>
      <c r="G53" s="19"/>
      <c r="H53" s="228"/>
      <c r="I53" s="22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8.75" hidden="false" customHeight="true" outlineLevel="0" collapsed="false">
      <c r="A54" s="243" t="s">
        <v>239</v>
      </c>
      <c r="B54" s="207"/>
      <c r="C54" s="207"/>
      <c r="D54" s="244"/>
      <c r="E54" s="245"/>
      <c r="F54" s="19"/>
      <c r="G54" s="19"/>
      <c r="H54" s="228"/>
      <c r="I54" s="22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8.75" hidden="false" customHeight="true" outlineLevel="0" collapsed="false">
      <c r="A55" s="209"/>
      <c r="B55" s="246"/>
      <c r="C55" s="246"/>
      <c r="D55" s="207"/>
      <c r="E55" s="210"/>
      <c r="F55" s="19"/>
      <c r="G55" s="19"/>
      <c r="H55" s="247"/>
      <c r="I55" s="22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8.75" hidden="false" customHeight="true" outlineLevel="0" collapsed="false">
      <c r="A56" s="248" t="s">
        <v>28</v>
      </c>
      <c r="B56" s="249" t="s">
        <v>33</v>
      </c>
      <c r="C56" s="249"/>
      <c r="D56" s="207"/>
      <c r="E56" s="210"/>
      <c r="F56" s="19"/>
      <c r="G56" s="19"/>
      <c r="H56" s="19"/>
      <c r="I56" s="22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8.75" hidden="false" customHeight="true" outlineLevel="0" collapsed="false">
      <c r="A57" s="248"/>
      <c r="B57" s="250" t="n">
        <f aca="false">H30</f>
        <v>5000</v>
      </c>
      <c r="C57" s="250"/>
      <c r="D57" s="207"/>
      <c r="E57" s="210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8.75" hidden="false" customHeight="true" outlineLevel="0" collapsed="false">
      <c r="A58" s="251" t="n">
        <f aca="false">H29</f>
        <v>12</v>
      </c>
      <c r="B58" s="92" t="n">
        <f aca="false">H45</f>
        <v>551</v>
      </c>
      <c r="C58" s="92"/>
      <c r="D58" s="207"/>
      <c r="E58" s="210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8.75" hidden="false" customHeight="true" outlineLevel="0" collapsed="false">
      <c r="A59" s="209"/>
      <c r="B59" s="207"/>
      <c r="C59" s="207"/>
      <c r="D59" s="207"/>
      <c r="E59" s="210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8.75" hidden="false" customHeight="true" outlineLevel="0" collapsed="false">
      <c r="A60" s="252"/>
      <c r="B60" s="253"/>
      <c r="C60" s="253"/>
      <c r="D60" s="253"/>
      <c r="E60" s="254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8.75" hidden="false" customHeight="true" outlineLevel="0" collapsed="false">
      <c r="A61" s="207"/>
      <c r="B61" s="207"/>
      <c r="C61" s="207"/>
      <c r="D61" s="207"/>
      <c r="E61" s="207"/>
      <c r="F61" s="19"/>
      <c r="G61" s="207"/>
      <c r="H61" s="207"/>
      <c r="I61" s="207"/>
      <c r="J61" s="207"/>
      <c r="K61" s="207"/>
      <c r="L61" s="19"/>
      <c r="M61" s="207"/>
      <c r="N61" s="207"/>
      <c r="O61" s="207"/>
      <c r="P61" s="207"/>
      <c r="Q61" s="207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8.75" hidden="false" customHeight="true" outlineLevel="0" collapsed="false">
      <c r="A62" s="255"/>
      <c r="B62" s="256"/>
      <c r="C62" s="256"/>
      <c r="D62" s="256"/>
      <c r="E62" s="257"/>
      <c r="F62" s="19"/>
      <c r="G62" s="255"/>
      <c r="H62" s="256"/>
      <c r="I62" s="256"/>
      <c r="J62" s="256"/>
      <c r="K62" s="257"/>
      <c r="L62" s="19"/>
      <c r="M62" s="255"/>
      <c r="N62" s="256"/>
      <c r="O62" s="256"/>
      <c r="P62" s="256"/>
      <c r="Q62" s="257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8.75" hidden="false" customHeight="true" outlineLevel="0" collapsed="false">
      <c r="A63" s="209" t="s">
        <v>46</v>
      </c>
      <c r="B63" s="207" t="n">
        <f aca="false">IF(B105=Z103,1,IF(B105=Z104,1,IF(B105=Z105,3,IF(B105=Z106,6,IF(B105=Z107,9,IF(B105=Z108,12,IF(B105=Z109,3,IF(B105=Z110,6,IF(B105=Z111,9,0)))))))))</f>
        <v>9</v>
      </c>
      <c r="C63" s="207"/>
      <c r="D63" s="207"/>
      <c r="E63" s="210"/>
      <c r="F63" s="19"/>
      <c r="G63" s="209" t="s">
        <v>46</v>
      </c>
      <c r="H63" s="207" t="n">
        <f aca="false">IF(H105=Y103,1,IF(H105=Y104,1,IF(H105=Y105,3,IF(H105=Y106,6,IF(H105=Y107,9,IF(H105=Y108,12,IF(H105=Y109,3,IF(H105=Y110,6,IF(H105=Y111,9,0)))))))))</f>
        <v>0</v>
      </c>
      <c r="I63" s="207"/>
      <c r="J63" s="207"/>
      <c r="K63" s="210"/>
      <c r="L63" s="19"/>
      <c r="M63" s="209" t="s">
        <v>46</v>
      </c>
      <c r="N63" s="207" t="n">
        <f aca="false">IF(N105=Y103,1,IF(N105=Y104,1,IF(N105=Y105,3,IF(N105=Y106,6,IF(N105=Y107,9,IF(N105=Y108,12,IF(N105=Y109,3,IF(N105=Y110,6,IF(N105=Y111,9,0)))))))))</f>
        <v>0</v>
      </c>
      <c r="O63" s="207"/>
      <c r="P63" s="207"/>
      <c r="Q63" s="210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8.75" hidden="false" customHeight="true" outlineLevel="0" collapsed="false">
      <c r="A64" s="209" t="s">
        <v>60</v>
      </c>
      <c r="B64" s="207" t="n">
        <f aca="false">IF(B105=Z103,H29-B63,IF(B105=Z104,H29-B63,IF(B105=Z105,H29-1,IF(B105=Z106,H29-1,IF(B105=Z107,H29-1,IF(B105=Z108,H29-1,IF(B105=Z109,H29-B63,IF(B105=Z110,H29-B63,IF(B105=Z111,H29-B63,0)))))))))</f>
        <v>3</v>
      </c>
      <c r="C64" s="207"/>
      <c r="D64" s="207"/>
      <c r="E64" s="210"/>
      <c r="F64" s="19"/>
      <c r="G64" s="209" t="s">
        <v>60</v>
      </c>
      <c r="H64" s="207" t="n">
        <f aca="false">IF(H105=Y103,H29-H63,IF(H105=Y104,H29-H63,IF(H105=Y105,H29-1,IF(H105=Y106,H29-1,IF(H105=Y107,H29-1,IF(H105=Y108,H29-1,IF(H105=Y109,H29-H63,IF(H105=Y110,H29-H63,IF(H105=Y111,H29-H63,0)))))))))</f>
        <v>0</v>
      </c>
      <c r="I64" s="207"/>
      <c r="J64" s="207"/>
      <c r="K64" s="210"/>
      <c r="L64" s="19"/>
      <c r="M64" s="209" t="s">
        <v>60</v>
      </c>
      <c r="N64" s="207" t="n">
        <f aca="false">IF(N105=Y103,H29-N63,IF(N105=Y104,H29-N63,IF(N105=Y105,H29-1,IF(N105=Y106,H29-1,IF(N105=Y107,H29-1,IF(N105=Y108,H29-1,IF(N105=Y109,H29-N63,IF(N105=Y110,H29-N63,IF(N105=Y111,H29-N63,0)))))))))</f>
        <v>0</v>
      </c>
      <c r="O64" s="207"/>
      <c r="P64" s="207"/>
      <c r="Q64" s="210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8.75" hidden="false" customHeight="true" outlineLevel="0" collapsed="false">
      <c r="A65" s="209"/>
      <c r="C65" s="207"/>
      <c r="D65" s="207"/>
      <c r="E65" s="210"/>
      <c r="F65" s="19"/>
      <c r="G65" s="209"/>
      <c r="H65" s="207"/>
      <c r="I65" s="207"/>
      <c r="J65" s="207"/>
      <c r="K65" s="210"/>
      <c r="L65" s="19"/>
      <c r="M65" s="209"/>
      <c r="N65" s="207"/>
      <c r="O65" s="207"/>
      <c r="P65" s="207"/>
      <c r="Q65" s="210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8.75" hidden="false" customHeight="true" outlineLevel="0" collapsed="false">
      <c r="A66" s="209"/>
      <c r="B66" s="207"/>
      <c r="C66" s="207"/>
      <c r="D66" s="207"/>
      <c r="E66" s="210"/>
      <c r="F66" s="19"/>
      <c r="G66" s="209"/>
      <c r="H66" s="207"/>
      <c r="I66" s="207"/>
      <c r="J66" s="207"/>
      <c r="K66" s="210"/>
      <c r="L66" s="19"/>
      <c r="M66" s="209"/>
      <c r="N66" s="207"/>
      <c r="O66" s="207"/>
      <c r="P66" s="207"/>
      <c r="Q66" s="210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8.75" hidden="false" customHeight="true" outlineLevel="0" collapsed="false">
      <c r="A67" s="209" t="s">
        <v>16</v>
      </c>
      <c r="B67" s="79" t="n">
        <f aca="false">G18</f>
        <v>57885</v>
      </c>
      <c r="C67" s="207"/>
      <c r="D67" s="207"/>
      <c r="E67" s="210"/>
      <c r="F67" s="19"/>
      <c r="G67" s="209" t="s">
        <v>16</v>
      </c>
      <c r="H67" s="79" t="n">
        <f aca="false">G18</f>
        <v>57885</v>
      </c>
      <c r="I67" s="207"/>
      <c r="J67" s="207"/>
      <c r="K67" s="210"/>
      <c r="L67" s="19"/>
      <c r="M67" s="209" t="s">
        <v>16</v>
      </c>
      <c r="N67" s="79" t="n">
        <f aca="false">G18</f>
        <v>57885</v>
      </c>
      <c r="O67" s="207"/>
      <c r="P67" s="207"/>
      <c r="Q67" s="210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8.75" hidden="false" customHeight="true" outlineLevel="0" collapsed="false">
      <c r="A68" s="258" t="s">
        <v>241</v>
      </c>
      <c r="B68" s="259" t="n">
        <v>0.07</v>
      </c>
      <c r="C68" s="207"/>
      <c r="D68" s="207"/>
      <c r="E68" s="210"/>
      <c r="F68" s="19"/>
      <c r="G68" s="258" t="s">
        <v>241</v>
      </c>
      <c r="H68" s="259" t="n">
        <v>0.07</v>
      </c>
      <c r="I68" s="207"/>
      <c r="J68" s="207"/>
      <c r="K68" s="210"/>
      <c r="L68" s="19"/>
      <c r="M68" s="258" t="s">
        <v>241</v>
      </c>
      <c r="N68" s="259" t="n">
        <v>0.07</v>
      </c>
      <c r="O68" s="207"/>
      <c r="P68" s="207"/>
      <c r="Q68" s="210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8.75" hidden="false" customHeight="true" outlineLevel="0" collapsed="false">
      <c r="A69" s="209" t="s">
        <v>242</v>
      </c>
      <c r="B69" s="260" t="n">
        <f aca="false">B68+(B68*0.25*(H29/12-1))</f>
        <v>0.07</v>
      </c>
      <c r="C69" s="207"/>
      <c r="D69" s="207"/>
      <c r="E69" s="210"/>
      <c r="F69" s="19"/>
      <c r="G69" s="209" t="s">
        <v>242</v>
      </c>
      <c r="H69" s="260" t="n">
        <f aca="false">H68+(H68*0.25*(H29/12-1))</f>
        <v>0.07</v>
      </c>
      <c r="I69" s="207"/>
      <c r="J69" s="207"/>
      <c r="K69" s="210"/>
      <c r="L69" s="19"/>
      <c r="M69" s="209" t="s">
        <v>242</v>
      </c>
      <c r="N69" s="260" t="n">
        <f aca="false">N68+(N68*0.25*(H29/12-1))</f>
        <v>0.07</v>
      </c>
      <c r="O69" s="207"/>
      <c r="P69" s="207"/>
      <c r="Q69" s="210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18.75" hidden="false" customHeight="true" outlineLevel="0" collapsed="false">
      <c r="A70" s="252" t="s">
        <v>65</v>
      </c>
      <c r="B70" s="139" t="n">
        <f aca="false">B67*B69</f>
        <v>4051.95</v>
      </c>
      <c r="C70" s="207" t="n">
        <v>10000</v>
      </c>
      <c r="D70" s="79" t="n">
        <f aca="false">B70-A149</f>
        <v>4051.95</v>
      </c>
      <c r="E70" s="210" t="n">
        <f aca="false">D70/12</f>
        <v>337.6625</v>
      </c>
      <c r="F70" s="19"/>
      <c r="G70" s="252" t="s">
        <v>65</v>
      </c>
      <c r="H70" s="139" t="n">
        <f aca="false">H67*H69</f>
        <v>4051.95</v>
      </c>
      <c r="I70" s="207"/>
      <c r="J70" s="79" t="n">
        <f aca="false">H70-G151</f>
        <v>4051.95</v>
      </c>
      <c r="K70" s="210"/>
      <c r="L70" s="19"/>
      <c r="M70" s="252" t="s">
        <v>65</v>
      </c>
      <c r="N70" s="139" t="n">
        <f aca="false">N67*N69</f>
        <v>4051.95</v>
      </c>
      <c r="O70" s="207"/>
      <c r="P70" s="79" t="n">
        <f aca="false">N70-M151</f>
        <v>4051.95</v>
      </c>
      <c r="Q70" s="210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18.75" hidden="false" customHeight="true" outlineLevel="0" collapsed="false">
      <c r="A71" s="258" t="s">
        <v>66</v>
      </c>
      <c r="B71" s="259" t="n">
        <v>0.01</v>
      </c>
      <c r="C71" s="207"/>
      <c r="D71" s="207"/>
      <c r="E71" s="210"/>
      <c r="F71" s="19"/>
      <c r="G71" s="258" t="s">
        <v>66</v>
      </c>
      <c r="H71" s="259" t="n">
        <v>0.005</v>
      </c>
      <c r="I71" s="207"/>
      <c r="J71" s="207"/>
      <c r="K71" s="210"/>
      <c r="L71" s="19"/>
      <c r="M71" s="258" t="s">
        <v>66</v>
      </c>
      <c r="N71" s="259" t="n">
        <v>0.005</v>
      </c>
      <c r="O71" s="207"/>
      <c r="P71" s="207"/>
      <c r="Q71" s="210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8.75" hidden="false" customHeight="true" outlineLevel="0" collapsed="false">
      <c r="A72" s="209" t="s">
        <v>67</v>
      </c>
      <c r="B72" s="260" t="n">
        <f aca="false">B71+(B71*0.5*(H29/12-1))</f>
        <v>0.01</v>
      </c>
      <c r="C72" s="207"/>
      <c r="D72" s="207"/>
      <c r="E72" s="210"/>
      <c r="F72" s="19"/>
      <c r="G72" s="209" t="s">
        <v>67</v>
      </c>
      <c r="H72" s="260" t="n">
        <f aca="false">H71+(H71*0.5*(H29/12-1))</f>
        <v>0.005</v>
      </c>
      <c r="I72" s="207"/>
      <c r="J72" s="207"/>
      <c r="K72" s="210"/>
      <c r="L72" s="19"/>
      <c r="M72" s="209" t="s">
        <v>67</v>
      </c>
      <c r="N72" s="260" t="n">
        <f aca="false">N71+(N71*0.5*(H29/12-1))</f>
        <v>0.005</v>
      </c>
      <c r="O72" s="207"/>
      <c r="P72" s="207"/>
      <c r="Q72" s="210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8.75" hidden="false" customHeight="true" outlineLevel="0" collapsed="false">
      <c r="A73" s="252" t="s">
        <v>68</v>
      </c>
      <c r="B73" s="139" t="n">
        <f aca="false">B67*B72</f>
        <v>578.85</v>
      </c>
      <c r="C73" s="207"/>
      <c r="D73" s="79"/>
      <c r="E73" s="210"/>
      <c r="F73" s="19"/>
      <c r="G73" s="252" t="s">
        <v>68</v>
      </c>
      <c r="H73" s="139" t="n">
        <f aca="false">H67*H72</f>
        <v>289.425</v>
      </c>
      <c r="I73" s="207"/>
      <c r="J73" s="79"/>
      <c r="K73" s="210"/>
      <c r="L73" s="19"/>
      <c r="M73" s="252" t="s">
        <v>68</v>
      </c>
      <c r="N73" s="139" t="n">
        <f aca="false">N67*N72</f>
        <v>289.425</v>
      </c>
      <c r="O73" s="207"/>
      <c r="P73" s="79"/>
      <c r="Q73" s="210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8.75" hidden="false" customHeight="true" outlineLevel="0" collapsed="false">
      <c r="A74" s="258" t="s">
        <v>69</v>
      </c>
      <c r="B74" s="259" t="n">
        <v>0.0075</v>
      </c>
      <c r="C74" s="207"/>
      <c r="D74" s="207"/>
      <c r="E74" s="210"/>
      <c r="F74" s="19"/>
      <c r="G74" s="258" t="s">
        <v>69</v>
      </c>
      <c r="H74" s="259" t="n">
        <v>0.0075</v>
      </c>
      <c r="I74" s="207"/>
      <c r="J74" s="207"/>
      <c r="K74" s="210"/>
      <c r="L74" s="19"/>
      <c r="M74" s="258" t="s">
        <v>69</v>
      </c>
      <c r="N74" s="259" t="n">
        <v>0.0075</v>
      </c>
      <c r="O74" s="207"/>
      <c r="P74" s="207"/>
      <c r="Q74" s="210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8.75" hidden="false" customHeight="true" outlineLevel="0" collapsed="false">
      <c r="A75" s="261" t="s">
        <v>70</v>
      </c>
      <c r="B75" s="262" t="n">
        <v>0.12</v>
      </c>
      <c r="C75" s="207"/>
      <c r="D75" s="207"/>
      <c r="E75" s="210"/>
      <c r="F75" s="19"/>
      <c r="G75" s="261" t="s">
        <v>70</v>
      </c>
      <c r="H75" s="262" t="n">
        <v>0.12</v>
      </c>
      <c r="I75" s="207"/>
      <c r="J75" s="207"/>
      <c r="K75" s="210"/>
      <c r="L75" s="19"/>
      <c r="M75" s="261" t="s">
        <v>70</v>
      </c>
      <c r="N75" s="262" t="n">
        <v>0.12</v>
      </c>
      <c r="O75" s="207"/>
      <c r="P75" s="207"/>
      <c r="Q75" s="210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8.75" hidden="false" customHeight="true" outlineLevel="0" collapsed="false">
      <c r="A76" s="252" t="s">
        <v>71</v>
      </c>
      <c r="B76" s="263" t="n">
        <f aca="false">B74*(1+B75)</f>
        <v>0.0084</v>
      </c>
      <c r="C76" s="207"/>
      <c r="D76" s="207"/>
      <c r="E76" s="210"/>
      <c r="F76" s="19"/>
      <c r="G76" s="252" t="s">
        <v>71</v>
      </c>
      <c r="H76" s="263" t="n">
        <f aca="false">H74*(1+H75)</f>
        <v>0.0084</v>
      </c>
      <c r="I76" s="207"/>
      <c r="J76" s="207"/>
      <c r="K76" s="210"/>
      <c r="L76" s="19"/>
      <c r="M76" s="252" t="s">
        <v>71</v>
      </c>
      <c r="N76" s="263" t="n">
        <f aca="false">N74*(1+N75)</f>
        <v>0.0084</v>
      </c>
      <c r="O76" s="207"/>
      <c r="P76" s="207"/>
      <c r="Q76" s="210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8.75" hidden="false" customHeight="true" outlineLevel="0" collapsed="false">
      <c r="A77" s="258" t="s">
        <v>72</v>
      </c>
      <c r="B77" s="264" t="n">
        <v>200</v>
      </c>
      <c r="C77" s="207"/>
      <c r="D77" s="207"/>
      <c r="E77" s="210"/>
      <c r="F77" s="19"/>
      <c r="G77" s="258" t="s">
        <v>72</v>
      </c>
      <c r="H77" s="264" t="n">
        <v>160</v>
      </c>
      <c r="I77" s="207"/>
      <c r="J77" s="207"/>
      <c r="K77" s="210"/>
      <c r="L77" s="19"/>
      <c r="M77" s="258" t="s">
        <v>72</v>
      </c>
      <c r="N77" s="264" t="n">
        <v>160</v>
      </c>
      <c r="O77" s="207"/>
      <c r="P77" s="207"/>
      <c r="Q77" s="210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8.75" hidden="false" customHeight="true" outlineLevel="0" collapsed="false">
      <c r="A78" s="261" t="s">
        <v>73</v>
      </c>
      <c r="B78" s="265" t="n">
        <v>5</v>
      </c>
      <c r="C78" s="207"/>
      <c r="D78" s="207"/>
      <c r="E78" s="210"/>
      <c r="F78" s="19"/>
      <c r="G78" s="261" t="s">
        <v>73</v>
      </c>
      <c r="H78" s="265" t="n">
        <v>4.5</v>
      </c>
      <c r="I78" s="207"/>
      <c r="J78" s="207"/>
      <c r="K78" s="210"/>
      <c r="L78" s="19"/>
      <c r="M78" s="261" t="s">
        <v>73</v>
      </c>
      <c r="N78" s="265" t="n">
        <v>4.5</v>
      </c>
      <c r="O78" s="207"/>
      <c r="P78" s="207"/>
      <c r="Q78" s="210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8.75" hidden="false" customHeight="true" outlineLevel="0" collapsed="false">
      <c r="A79" s="252" t="s">
        <v>74</v>
      </c>
      <c r="B79" s="139" t="n">
        <f aca="false">B78*H29</f>
        <v>60</v>
      </c>
      <c r="C79" s="207"/>
      <c r="D79" s="79" t="n">
        <f aca="false">B79+B77</f>
        <v>260</v>
      </c>
      <c r="E79" s="266" t="n">
        <f aca="false">D79+D85+D86</f>
        <v>660</v>
      </c>
      <c r="F79" s="19"/>
      <c r="G79" s="252" t="s">
        <v>74</v>
      </c>
      <c r="H79" s="139" t="n">
        <f aca="false">H78*H29</f>
        <v>54</v>
      </c>
      <c r="I79" s="207"/>
      <c r="J79" s="79" t="n">
        <f aca="false">H79+H77</f>
        <v>214</v>
      </c>
      <c r="K79" s="210"/>
      <c r="L79" s="19"/>
      <c r="M79" s="252" t="s">
        <v>74</v>
      </c>
      <c r="N79" s="139" t="n">
        <f aca="false">N78*H29</f>
        <v>54</v>
      </c>
      <c r="O79" s="207"/>
      <c r="P79" s="79" t="n">
        <f aca="false">N79+N77</f>
        <v>214</v>
      </c>
      <c r="Q79" s="210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8.75" hidden="false" customHeight="true" outlineLevel="0" collapsed="false">
      <c r="A80" s="258" t="s">
        <v>243</v>
      </c>
      <c r="B80" s="264" t="n">
        <v>165</v>
      </c>
      <c r="C80" s="207"/>
      <c r="D80" s="207"/>
      <c r="E80" s="266" t="n">
        <f aca="false">E79+D82</f>
        <v>703.333333333333</v>
      </c>
      <c r="F80" s="19"/>
      <c r="G80" s="258" t="s">
        <v>243</v>
      </c>
      <c r="H80" s="264" t="n">
        <v>150</v>
      </c>
      <c r="I80" s="207"/>
      <c r="J80" s="207"/>
      <c r="K80" s="210"/>
      <c r="L80" s="19"/>
      <c r="M80" s="267" t="s">
        <v>243</v>
      </c>
      <c r="N80" s="268" t="n">
        <v>0</v>
      </c>
      <c r="O80" s="207"/>
      <c r="P80" s="207"/>
      <c r="Q80" s="210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18.75" hidden="false" customHeight="true" outlineLevel="0" collapsed="false">
      <c r="A81" s="261" t="s">
        <v>244</v>
      </c>
      <c r="B81" s="265" t="n">
        <v>355</v>
      </c>
      <c r="C81" s="207"/>
      <c r="D81" s="207"/>
      <c r="E81" s="210" t="n">
        <f aca="false">E80/12</f>
        <v>58.6111111111111</v>
      </c>
      <c r="F81" s="19"/>
      <c r="G81" s="261" t="s">
        <v>244</v>
      </c>
      <c r="H81" s="265" t="n">
        <f aca="false">IF(G18&gt;40000, 325, 0)</f>
        <v>325</v>
      </c>
      <c r="I81" s="207"/>
      <c r="J81" s="207"/>
      <c r="K81" s="210"/>
      <c r="L81" s="19"/>
      <c r="M81" s="269" t="s">
        <v>244</v>
      </c>
      <c r="N81" s="270" t="n">
        <v>0</v>
      </c>
      <c r="O81" s="207"/>
      <c r="P81" s="207"/>
      <c r="Q81" s="210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18.75" hidden="false" customHeight="true" outlineLevel="0" collapsed="false">
      <c r="A82" s="252" t="s">
        <v>245</v>
      </c>
      <c r="B82" s="139" t="n">
        <f aca="false">((B80+B81)/12)*(H29-11)</f>
        <v>43.3333333333333</v>
      </c>
      <c r="C82" s="207"/>
      <c r="D82" s="79" t="n">
        <f aca="false">IF(A50="YES", 0, B82)</f>
        <v>43.3333333333333</v>
      </c>
      <c r="E82" s="210"/>
      <c r="F82" s="19"/>
      <c r="G82" s="252" t="s">
        <v>245</v>
      </c>
      <c r="H82" s="139" t="n">
        <f aca="false">((H80+H81)/12)*(H29-11)</f>
        <v>39.5833333333333</v>
      </c>
      <c r="I82" s="207"/>
      <c r="J82" s="79" t="n">
        <f aca="false">IF(A50="YES", 0, H82)</f>
        <v>39.5833333333333</v>
      </c>
      <c r="K82" s="210"/>
      <c r="L82" s="19"/>
      <c r="M82" s="271" t="s">
        <v>245</v>
      </c>
      <c r="N82" s="272" t="n">
        <f aca="false">((N80+N81)/12)*(H29-11)</f>
        <v>0</v>
      </c>
      <c r="O82" s="207"/>
      <c r="P82" s="79" t="n">
        <f aca="false">IF(A50="YES", 0, N82)</f>
        <v>0</v>
      </c>
      <c r="Q82" s="210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8.75" hidden="false" customHeight="true" outlineLevel="0" collapsed="false">
      <c r="A83" s="258" t="s">
        <v>246</v>
      </c>
      <c r="B83" s="264" t="n">
        <f aca="false">B108/(1-0.1)</f>
        <v>444.444444444444</v>
      </c>
      <c r="C83" s="207"/>
      <c r="D83" s="79" t="n">
        <f aca="false">B83</f>
        <v>444.444444444444</v>
      </c>
      <c r="E83" s="210" t="n">
        <f aca="false">D83/12</f>
        <v>37.037037037037</v>
      </c>
      <c r="F83" s="19"/>
      <c r="G83" s="258" t="s">
        <v>246</v>
      </c>
      <c r="H83" s="264" t="n">
        <f aca="false">H108</f>
        <v>1200</v>
      </c>
      <c r="I83" s="207"/>
      <c r="J83" s="79" t="n">
        <f aca="false">H83</f>
        <v>1200</v>
      </c>
      <c r="K83" s="210"/>
      <c r="L83" s="19"/>
      <c r="M83" s="258" t="s">
        <v>246</v>
      </c>
      <c r="N83" s="264" t="n">
        <f aca="false">N108</f>
        <v>1200</v>
      </c>
      <c r="O83" s="207"/>
      <c r="P83" s="79" t="n">
        <f aca="false">N83</f>
        <v>1200</v>
      </c>
      <c r="Q83" s="210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18.75" hidden="false" customHeight="true" outlineLevel="0" collapsed="false">
      <c r="A84" s="209" t="s">
        <v>247</v>
      </c>
      <c r="B84" s="273" t="n">
        <f aca="false">D108/(1-0.1)</f>
        <v>222.222222222222</v>
      </c>
      <c r="C84" s="207"/>
      <c r="D84" s="79" t="n">
        <f aca="false">B84</f>
        <v>222.222222222222</v>
      </c>
      <c r="E84" s="210"/>
      <c r="F84" s="19"/>
      <c r="G84" s="209" t="s">
        <v>248</v>
      </c>
      <c r="H84" s="273" t="n">
        <f aca="false">J108</f>
        <v>1500</v>
      </c>
      <c r="I84" s="207"/>
      <c r="J84" s="79" t="n">
        <f aca="false">H84</f>
        <v>1500</v>
      </c>
      <c r="K84" s="210"/>
      <c r="L84" s="19"/>
      <c r="M84" s="209" t="s">
        <v>248</v>
      </c>
      <c r="N84" s="273" t="n">
        <f aca="false">P108</f>
        <v>1500</v>
      </c>
      <c r="O84" s="207"/>
      <c r="P84" s="79" t="n">
        <f aca="false">N84</f>
        <v>1500</v>
      </c>
      <c r="Q84" s="210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8.75" hidden="false" customHeight="true" outlineLevel="0" collapsed="false">
      <c r="A85" s="261" t="s">
        <v>75</v>
      </c>
      <c r="B85" s="265" t="n">
        <v>200</v>
      </c>
      <c r="C85" s="207"/>
      <c r="D85" s="79" t="n">
        <f aca="false">B85</f>
        <v>200</v>
      </c>
      <c r="E85" s="210"/>
      <c r="F85" s="19"/>
      <c r="G85" s="261" t="s">
        <v>75</v>
      </c>
      <c r="H85" s="265" t="n">
        <v>100</v>
      </c>
      <c r="I85" s="207"/>
      <c r="J85" s="79" t="n">
        <f aca="false">H85</f>
        <v>100</v>
      </c>
      <c r="K85" s="210"/>
      <c r="L85" s="19"/>
      <c r="M85" s="261" t="s">
        <v>75</v>
      </c>
      <c r="N85" s="265" t="n">
        <v>100</v>
      </c>
      <c r="O85" s="207"/>
      <c r="P85" s="79" t="n">
        <f aca="false">N85</f>
        <v>100</v>
      </c>
      <c r="Q85" s="210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8.75" hidden="false" customHeight="true" outlineLevel="0" collapsed="false">
      <c r="A86" s="274" t="s">
        <v>76</v>
      </c>
      <c r="B86" s="275" t="n">
        <v>200</v>
      </c>
      <c r="C86" s="207"/>
      <c r="D86" s="79" t="n">
        <f aca="false">B86</f>
        <v>200</v>
      </c>
      <c r="E86" s="210"/>
      <c r="F86" s="19"/>
      <c r="G86" s="274" t="s">
        <v>76</v>
      </c>
      <c r="H86" s="275" t="n">
        <v>100</v>
      </c>
      <c r="I86" s="207"/>
      <c r="J86" s="79" t="n">
        <f aca="false">H86</f>
        <v>100</v>
      </c>
      <c r="K86" s="210"/>
      <c r="L86" s="19"/>
      <c r="M86" s="274" t="s">
        <v>76</v>
      </c>
      <c r="N86" s="275" t="n">
        <v>100</v>
      </c>
      <c r="O86" s="207"/>
      <c r="P86" s="79" t="n">
        <f aca="false">N86</f>
        <v>100</v>
      </c>
      <c r="Q86" s="210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8.75" hidden="false" customHeight="true" outlineLevel="0" collapsed="false">
      <c r="A87" s="276" t="s">
        <v>77</v>
      </c>
      <c r="B87" s="277" t="n">
        <f aca="false">SUM(D70:D86)</f>
        <v>5421.95</v>
      </c>
      <c r="C87" s="207"/>
      <c r="D87" s="207"/>
      <c r="E87" s="210"/>
      <c r="F87" s="19"/>
      <c r="G87" s="276" t="s">
        <v>77</v>
      </c>
      <c r="H87" s="277" t="n">
        <f aca="false">SUM(J70:J86)</f>
        <v>7205.53333333333</v>
      </c>
      <c r="I87" s="207"/>
      <c r="J87" s="207"/>
      <c r="K87" s="210"/>
      <c r="L87" s="19"/>
      <c r="M87" s="276" t="s">
        <v>77</v>
      </c>
      <c r="N87" s="277" t="n">
        <f aca="false">SUM(P70:P86)</f>
        <v>7165.95</v>
      </c>
      <c r="O87" s="207"/>
      <c r="P87" s="207"/>
      <c r="Q87" s="210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8.75" hidden="false" customHeight="true" outlineLevel="0" collapsed="false">
      <c r="A88" s="209" t="s">
        <v>78</v>
      </c>
      <c r="B88" s="273" t="n">
        <f aca="false">B87/H29</f>
        <v>451.829166666667</v>
      </c>
      <c r="C88" s="207"/>
      <c r="D88" s="207"/>
      <c r="E88" s="210"/>
      <c r="F88" s="19"/>
      <c r="G88" s="209" t="s">
        <v>78</v>
      </c>
      <c r="H88" s="273" t="n">
        <f aca="false">H87/H29</f>
        <v>600.461111111111</v>
      </c>
      <c r="I88" s="207"/>
      <c r="J88" s="207"/>
      <c r="K88" s="210"/>
      <c r="L88" s="19"/>
      <c r="M88" s="209" t="s">
        <v>78</v>
      </c>
      <c r="N88" s="273" t="n">
        <f aca="false">N87/H29</f>
        <v>597.1625</v>
      </c>
      <c r="O88" s="207"/>
      <c r="P88" s="207"/>
      <c r="Q88" s="210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8.75" hidden="false" customHeight="true" outlineLevel="0" collapsed="false">
      <c r="A89" s="278" t="s">
        <v>79</v>
      </c>
      <c r="B89" s="279" t="n">
        <f aca="false">H46</f>
        <v>501</v>
      </c>
      <c r="C89" s="207"/>
      <c r="D89" s="207"/>
      <c r="E89" s="210"/>
      <c r="F89" s="19"/>
      <c r="G89" s="278" t="s">
        <v>79</v>
      </c>
      <c r="H89" s="279" t="n">
        <f aca="false">H46</f>
        <v>501</v>
      </c>
      <c r="I89" s="207"/>
      <c r="J89" s="207"/>
      <c r="K89" s="210"/>
      <c r="L89" s="19"/>
      <c r="M89" s="278" t="s">
        <v>79</v>
      </c>
      <c r="N89" s="279" t="n">
        <f aca="false">H46</f>
        <v>501</v>
      </c>
      <c r="O89" s="207"/>
      <c r="P89" s="207"/>
      <c r="Q89" s="210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8.75" hidden="false" customHeight="true" outlineLevel="0" collapsed="false">
      <c r="A90" s="209"/>
      <c r="B90" s="79"/>
      <c r="C90" s="207"/>
      <c r="D90" s="207"/>
      <c r="E90" s="210"/>
      <c r="F90" s="19"/>
      <c r="G90" s="209"/>
      <c r="H90" s="79"/>
      <c r="I90" s="207"/>
      <c r="J90" s="207"/>
      <c r="K90" s="210"/>
      <c r="L90" s="19"/>
      <c r="M90" s="209"/>
      <c r="N90" s="79"/>
      <c r="O90" s="207"/>
      <c r="P90" s="207"/>
      <c r="Q90" s="210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8.75" hidden="false" customHeight="true" outlineLevel="0" collapsed="false">
      <c r="A91" s="255" t="s">
        <v>88</v>
      </c>
      <c r="B91" s="137" t="n">
        <f aca="false">((B89*H29)+B87)</f>
        <v>11433.95</v>
      </c>
      <c r="C91" s="207"/>
      <c r="D91" s="207"/>
      <c r="E91" s="210"/>
      <c r="F91" s="19"/>
      <c r="G91" s="255" t="s">
        <v>88</v>
      </c>
      <c r="H91" s="137" t="n">
        <f aca="false">((H89*H29)+H87)*1.2</f>
        <v>15861.04</v>
      </c>
      <c r="I91" s="207"/>
      <c r="J91" s="207"/>
      <c r="K91" s="210"/>
      <c r="L91" s="19"/>
      <c r="M91" s="255" t="s">
        <v>88</v>
      </c>
      <c r="N91" s="137" t="n">
        <f aca="false">((N89*H29)+N87)</f>
        <v>13177.95</v>
      </c>
      <c r="O91" s="207"/>
      <c r="P91" s="207"/>
      <c r="Q91" s="210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8.75" hidden="false" customHeight="true" outlineLevel="0" collapsed="false">
      <c r="A92" s="209" t="s">
        <v>89</v>
      </c>
      <c r="B92" s="273" t="n">
        <f aca="false">(((B89*H29)+B87)/(1-B76))*B76</f>
        <v>96.8587938684954</v>
      </c>
      <c r="C92" s="207"/>
      <c r="D92" s="207"/>
      <c r="E92" s="280"/>
      <c r="F92" s="19"/>
      <c r="G92" s="209" t="s">
        <v>89</v>
      </c>
      <c r="H92" s="273" t="n">
        <f aca="false">(((H89*H29)+H87)/(1-H76))*H76</f>
        <v>111.967809600645</v>
      </c>
      <c r="I92" s="207"/>
      <c r="J92" s="207"/>
      <c r="K92" s="210"/>
      <c r="L92" s="19"/>
      <c r="M92" s="209" t="s">
        <v>89</v>
      </c>
      <c r="N92" s="273" t="n">
        <f aca="false">(N91/(1-N76))*N76</f>
        <v>111.632492940702</v>
      </c>
      <c r="O92" s="207"/>
      <c r="P92" s="207"/>
      <c r="Q92" s="210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8.75" hidden="false" customHeight="true" outlineLevel="0" collapsed="false">
      <c r="A93" s="252" t="s">
        <v>90</v>
      </c>
      <c r="B93" s="139" t="n">
        <f aca="false">IF(B116="YES",((B91+B92)-E120),(B91+B92))</f>
        <v>7530.8087938685</v>
      </c>
      <c r="C93" s="207"/>
      <c r="D93" s="207"/>
      <c r="E93" s="210"/>
      <c r="F93" s="19"/>
      <c r="G93" s="252" t="s">
        <v>90</v>
      </c>
      <c r="H93" s="139" t="n">
        <f aca="false">IF(H116="YES",((H91+H92)-K120),(H91+H92))</f>
        <v>17973.0078096006</v>
      </c>
      <c r="I93" s="207"/>
      <c r="J93" s="207"/>
      <c r="K93" s="210"/>
      <c r="L93" s="19"/>
      <c r="M93" s="252" t="s">
        <v>90</v>
      </c>
      <c r="N93" s="139" t="n">
        <f aca="false">IF(N116="YES",((N91+N92)-K120),(N91+N92))</f>
        <v>15289.5824929407</v>
      </c>
      <c r="O93" s="207"/>
      <c r="P93" s="207"/>
      <c r="Q93" s="210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18.75" hidden="false" customHeight="true" outlineLevel="0" collapsed="false">
      <c r="A94" s="209"/>
      <c r="B94" s="79"/>
      <c r="C94" s="207"/>
      <c r="D94" s="207"/>
      <c r="E94" s="210"/>
      <c r="F94" s="19"/>
      <c r="G94" s="209"/>
      <c r="H94" s="79"/>
      <c r="I94" s="207"/>
      <c r="J94" s="207"/>
      <c r="K94" s="210"/>
      <c r="L94" s="19"/>
      <c r="M94" s="209"/>
      <c r="N94" s="79"/>
      <c r="O94" s="207"/>
      <c r="P94" s="207"/>
      <c r="Q94" s="210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8.75" hidden="false" customHeight="true" outlineLevel="0" collapsed="false">
      <c r="A95" s="276" t="s">
        <v>91</v>
      </c>
      <c r="B95" s="277" t="n">
        <f aca="false">IF(B105=Z104,(((H44*B35)+(H44*B35)*(B111/100))/(B64)),(((H44*B35)+(H44*B35)*(B111/100))/(B63+B64)))</f>
        <v>65</v>
      </c>
      <c r="C95" s="207"/>
      <c r="D95" s="207"/>
      <c r="E95" s="210"/>
      <c r="F95" s="19"/>
      <c r="G95" s="276" t="s">
        <v>91</v>
      </c>
      <c r="H95" s="277" t="e">
        <f aca="false">(((H44*B35)+((H44*B35)*H111))/(H63+H64))*1.2</f>
        <v>#DIV/0!</v>
      </c>
      <c r="I95" s="207"/>
      <c r="J95" s="207"/>
      <c r="K95" s="210"/>
      <c r="L95" s="19"/>
      <c r="M95" s="276" t="s">
        <v>91</v>
      </c>
      <c r="N95" s="277" t="e">
        <f aca="false">((H44*B35)+((H44*B35)*N111))/(N63+N64)</f>
        <v>#DIV/0!</v>
      </c>
      <c r="O95" s="207"/>
      <c r="P95" s="207"/>
      <c r="Q95" s="210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8.75" hidden="false" customHeight="true" outlineLevel="0" collapsed="false">
      <c r="A96" s="281" t="s">
        <v>92</v>
      </c>
      <c r="B96" s="282" t="n">
        <f aca="false">IF(B105=Z104, (B93-D111)/(B64), B93/(B63+B64))</f>
        <v>627.567399489041</v>
      </c>
      <c r="C96" s="207"/>
      <c r="D96" s="207"/>
      <c r="E96" s="210"/>
      <c r="F96" s="19"/>
      <c r="G96" s="281" t="s">
        <v>92</v>
      </c>
      <c r="H96" s="282" t="e">
        <f aca="false">IF(H105=Y104, (H93-J111)/(H64), H93/(H63+H64))</f>
        <v>#DIV/0!</v>
      </c>
      <c r="I96" s="207"/>
      <c r="J96" s="207"/>
      <c r="K96" s="210"/>
      <c r="L96" s="19"/>
      <c r="M96" s="281" t="s">
        <v>92</v>
      </c>
      <c r="N96" s="282" t="e">
        <f aca="false">IF(N105=Y104, (N93-P111)/(N64), N93/(N63+N64))</f>
        <v>#DIV/0!</v>
      </c>
      <c r="O96" s="207"/>
      <c r="P96" s="207"/>
      <c r="Q96" s="210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8.75" hidden="false" customHeight="true" outlineLevel="0" collapsed="false">
      <c r="A97" s="283" t="s">
        <v>93</v>
      </c>
      <c r="B97" s="284" t="n">
        <f aca="false">IF(A111="YES", B96+B95, B96)</f>
        <v>692.567399489041</v>
      </c>
      <c r="C97" s="207"/>
      <c r="D97" s="285"/>
      <c r="E97" s="210"/>
      <c r="F97" s="19"/>
      <c r="G97" s="283" t="s">
        <v>93</v>
      </c>
      <c r="H97" s="284" t="e">
        <f aca="false">IF(G111="YES", H96+H95, H96)</f>
        <v>#DIV/0!</v>
      </c>
      <c r="I97" s="207"/>
      <c r="J97" s="207"/>
      <c r="K97" s="210"/>
      <c r="L97" s="19"/>
      <c r="M97" s="283" t="s">
        <v>93</v>
      </c>
      <c r="N97" s="284" t="e">
        <f aca="false">IF(M111="YES", N96+N95, N96)</f>
        <v>#DIV/0!</v>
      </c>
      <c r="O97" s="207"/>
      <c r="P97" s="207"/>
      <c r="Q97" s="210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18.75" hidden="false" customHeight="true" outlineLevel="0" collapsed="false">
      <c r="A98" s="252"/>
      <c r="B98" s="253"/>
      <c r="C98" s="253"/>
      <c r="D98" s="253"/>
      <c r="E98" s="254"/>
      <c r="F98" s="19"/>
      <c r="G98" s="252"/>
      <c r="H98" s="253"/>
      <c r="I98" s="253"/>
      <c r="J98" s="253"/>
      <c r="K98" s="254"/>
      <c r="L98" s="19"/>
      <c r="M98" s="252"/>
      <c r="N98" s="253"/>
      <c r="O98" s="253"/>
      <c r="P98" s="253"/>
      <c r="Q98" s="254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18.75" hidden="false" customHeight="true" outlineLevel="0" collapsed="false">
      <c r="A99" s="207"/>
      <c r="B99" s="207"/>
      <c r="C99" s="207"/>
      <c r="D99" s="207"/>
      <c r="E99" s="207"/>
      <c r="F99" s="19"/>
      <c r="G99" s="207"/>
      <c r="H99" s="207"/>
      <c r="I99" s="207"/>
      <c r="J99" s="207"/>
      <c r="K99" s="207"/>
      <c r="L99" s="19"/>
      <c r="M99" s="207"/>
      <c r="N99" s="207"/>
      <c r="O99" s="207"/>
      <c r="P99" s="207"/>
      <c r="Q99" s="207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48.75" hidden="false" customHeight="true" outlineLevel="0" collapsed="false">
      <c r="A100" s="208" t="s">
        <v>249</v>
      </c>
      <c r="B100" s="208"/>
      <c r="C100" s="208"/>
      <c r="D100" s="208"/>
      <c r="E100" s="208"/>
      <c r="F100" s="19"/>
      <c r="G100" s="208" t="s">
        <v>250</v>
      </c>
      <c r="H100" s="208"/>
      <c r="I100" s="208"/>
      <c r="J100" s="208"/>
      <c r="K100" s="208"/>
      <c r="L100" s="19"/>
      <c r="M100" s="208" t="s">
        <v>251</v>
      </c>
      <c r="N100" s="208"/>
      <c r="O100" s="208"/>
      <c r="P100" s="208"/>
      <c r="Q100" s="208"/>
      <c r="R100" s="19"/>
      <c r="S100" s="19"/>
      <c r="T100" s="19"/>
      <c r="U100" s="19"/>
      <c r="V100" s="19"/>
      <c r="W100" s="19"/>
      <c r="X100" s="19"/>
      <c r="Y100" s="19"/>
      <c r="Z100" s="19"/>
    </row>
    <row r="101" customFormat="false" ht="18.75" hidden="false" customHeight="true" outlineLevel="0" collapsed="false">
      <c r="A101" s="209"/>
      <c r="B101" s="207"/>
      <c r="C101" s="207"/>
      <c r="D101" s="207"/>
      <c r="E101" s="210"/>
      <c r="F101" s="19"/>
      <c r="G101" s="209"/>
      <c r="H101" s="207"/>
      <c r="I101" s="207"/>
      <c r="J101" s="207"/>
      <c r="K101" s="210"/>
      <c r="L101" s="19"/>
      <c r="M101" s="209"/>
      <c r="N101" s="207"/>
      <c r="O101" s="207"/>
      <c r="P101" s="207"/>
      <c r="Q101" s="210"/>
      <c r="R101" s="19"/>
      <c r="S101" s="19"/>
      <c r="T101" s="19"/>
      <c r="U101" s="19"/>
      <c r="V101" s="19"/>
      <c r="W101" s="19"/>
      <c r="X101" s="19"/>
      <c r="Y101" s="19"/>
      <c r="Z101" s="19"/>
    </row>
    <row r="102" customFormat="false" ht="18.75" hidden="false" customHeight="true" outlineLevel="0" collapsed="false">
      <c r="A102" s="211" t="s">
        <v>26</v>
      </c>
      <c r="B102" s="211"/>
      <c r="C102" s="211"/>
      <c r="D102" s="211"/>
      <c r="E102" s="211"/>
      <c r="F102" s="19"/>
      <c r="G102" s="211" t="s">
        <v>26</v>
      </c>
      <c r="H102" s="211"/>
      <c r="I102" s="211"/>
      <c r="J102" s="211"/>
      <c r="K102" s="211"/>
      <c r="L102" s="19"/>
      <c r="M102" s="211" t="s">
        <v>26</v>
      </c>
      <c r="N102" s="211"/>
      <c r="O102" s="211"/>
      <c r="P102" s="211"/>
      <c r="Q102" s="211"/>
      <c r="R102" s="19"/>
      <c r="S102" s="19"/>
      <c r="T102" s="19"/>
      <c r="U102" s="19"/>
      <c r="V102" s="19"/>
      <c r="W102" s="19"/>
      <c r="X102" s="19"/>
      <c r="Y102" s="19"/>
      <c r="Z102" s="19"/>
    </row>
    <row r="103" customFormat="false" ht="18.75" hidden="false" customHeight="true" outlineLevel="0" collapsed="false">
      <c r="A103" s="209"/>
      <c r="B103" s="207"/>
      <c r="C103" s="207"/>
      <c r="D103" s="207"/>
      <c r="E103" s="210"/>
      <c r="F103" s="19"/>
      <c r="G103" s="209"/>
      <c r="H103" s="207"/>
      <c r="I103" s="207"/>
      <c r="J103" s="207"/>
      <c r="K103" s="210"/>
      <c r="L103" s="19"/>
      <c r="M103" s="209"/>
      <c r="N103" s="207"/>
      <c r="O103" s="207"/>
      <c r="P103" s="207"/>
      <c r="Q103" s="210"/>
      <c r="R103" s="19"/>
      <c r="S103" s="19"/>
      <c r="T103" s="19"/>
      <c r="U103" s="19"/>
      <c r="V103" s="19"/>
      <c r="W103" s="19"/>
      <c r="X103" s="19"/>
      <c r="Y103" s="19"/>
      <c r="Z103" s="19" t="s">
        <v>100</v>
      </c>
    </row>
    <row r="104" customFormat="false" ht="18.75" hidden="false" customHeight="true" outlineLevel="0" collapsed="false">
      <c r="A104" s="209" t="s">
        <v>98</v>
      </c>
      <c r="B104" s="207" t="s">
        <v>23</v>
      </c>
      <c r="C104" s="207"/>
      <c r="D104" s="207" t="s">
        <v>252</v>
      </c>
      <c r="E104" s="210"/>
      <c r="F104" s="19"/>
      <c r="G104" s="209" t="s">
        <v>98</v>
      </c>
      <c r="H104" s="207" t="s">
        <v>23</v>
      </c>
      <c r="I104" s="207"/>
      <c r="J104" s="207" t="s">
        <v>252</v>
      </c>
      <c r="K104" s="210"/>
      <c r="L104" s="19"/>
      <c r="M104" s="209" t="s">
        <v>98</v>
      </c>
      <c r="N104" s="207" t="s">
        <v>23</v>
      </c>
      <c r="O104" s="207"/>
      <c r="P104" s="207" t="s">
        <v>252</v>
      </c>
      <c r="Q104" s="210"/>
      <c r="R104" s="19"/>
      <c r="S104" s="19"/>
      <c r="T104" s="19"/>
      <c r="U104" s="19"/>
      <c r="V104" s="19"/>
      <c r="W104" s="19"/>
      <c r="X104" s="19"/>
      <c r="Y104" s="19"/>
      <c r="Z104" s="19" t="s">
        <v>253</v>
      </c>
    </row>
    <row r="105" customFormat="false" ht="18.75" hidden="false" customHeight="true" outlineLevel="0" collapsed="false">
      <c r="A105" s="214"/>
      <c r="B105" s="286" t="s">
        <v>315</v>
      </c>
      <c r="C105" s="286"/>
      <c r="D105" s="287" t="n">
        <v>1000</v>
      </c>
      <c r="E105" s="287"/>
      <c r="F105" s="19"/>
      <c r="G105" s="214" t="s">
        <v>254</v>
      </c>
      <c r="H105" s="286" t="s">
        <v>255</v>
      </c>
      <c r="I105" s="286"/>
      <c r="J105" s="287" t="n">
        <v>5000</v>
      </c>
      <c r="K105" s="287"/>
      <c r="L105" s="19"/>
      <c r="M105" s="214" t="s">
        <v>254</v>
      </c>
      <c r="N105" s="286" t="s">
        <v>256</v>
      </c>
      <c r="O105" s="286"/>
      <c r="P105" s="287" t="n">
        <v>0</v>
      </c>
      <c r="Q105" s="287"/>
      <c r="R105" s="19"/>
      <c r="S105" s="19"/>
      <c r="T105" s="19"/>
      <c r="U105" s="19"/>
      <c r="V105" s="19"/>
      <c r="W105" s="19"/>
      <c r="X105" s="19"/>
      <c r="Y105" s="19"/>
      <c r="Z105" s="19" t="s">
        <v>257</v>
      </c>
    </row>
    <row r="106" customFormat="false" ht="18.75" hidden="false" customHeight="true" outlineLevel="0" collapsed="false">
      <c r="A106" s="209"/>
      <c r="B106" s="207"/>
      <c r="C106" s="207"/>
      <c r="D106" s="207"/>
      <c r="E106" s="210"/>
      <c r="F106" s="19"/>
      <c r="G106" s="209"/>
      <c r="H106" s="207"/>
      <c r="I106" s="207"/>
      <c r="J106" s="207"/>
      <c r="K106" s="210"/>
      <c r="L106" s="19"/>
      <c r="M106" s="209"/>
      <c r="N106" s="207"/>
      <c r="O106" s="207"/>
      <c r="P106" s="207"/>
      <c r="Q106" s="210"/>
      <c r="R106" s="19"/>
      <c r="S106" s="19"/>
      <c r="T106" s="19"/>
      <c r="U106" s="19"/>
      <c r="V106" s="19"/>
      <c r="W106" s="19"/>
      <c r="X106" s="19"/>
      <c r="Y106" s="19"/>
      <c r="Z106" s="19" t="s">
        <v>258</v>
      </c>
    </row>
    <row r="107" customFormat="false" ht="18.75" hidden="false" customHeight="true" outlineLevel="0" collapsed="false">
      <c r="A107" s="209" t="s">
        <v>259</v>
      </c>
      <c r="B107" s="207" t="s">
        <v>260</v>
      </c>
      <c r="C107" s="207"/>
      <c r="D107" s="207" t="s">
        <v>261</v>
      </c>
      <c r="E107" s="210"/>
      <c r="F107" s="19"/>
      <c r="G107" s="209" t="s">
        <v>259</v>
      </c>
      <c r="H107" s="207" t="s">
        <v>260</v>
      </c>
      <c r="I107" s="207"/>
      <c r="J107" s="207" t="s">
        <v>261</v>
      </c>
      <c r="K107" s="210"/>
      <c r="L107" s="19"/>
      <c r="M107" s="209" t="s">
        <v>259</v>
      </c>
      <c r="N107" s="207" t="s">
        <v>260</v>
      </c>
      <c r="O107" s="207"/>
      <c r="P107" s="207" t="s">
        <v>261</v>
      </c>
      <c r="Q107" s="210"/>
      <c r="R107" s="19"/>
      <c r="S107" s="19"/>
      <c r="T107" s="19"/>
      <c r="U107" s="19"/>
      <c r="V107" s="19"/>
      <c r="W107" s="19"/>
      <c r="X107" s="19"/>
      <c r="Y107" s="19"/>
      <c r="Z107" s="19" t="s">
        <v>262</v>
      </c>
    </row>
    <row r="108" customFormat="false" ht="18.75" hidden="false" customHeight="true" outlineLevel="0" collapsed="false">
      <c r="A108" s="288" t="n">
        <v>199.99</v>
      </c>
      <c r="B108" s="72" t="n">
        <v>400</v>
      </c>
      <c r="C108" s="72"/>
      <c r="D108" s="72" t="n">
        <v>200</v>
      </c>
      <c r="E108" s="72"/>
      <c r="F108" s="19"/>
      <c r="G108" s="288" t="n">
        <f aca="false">199.99*1.2</f>
        <v>239.988</v>
      </c>
      <c r="H108" s="72" t="n">
        <v>1200</v>
      </c>
      <c r="I108" s="72"/>
      <c r="J108" s="72" t="n">
        <v>1500</v>
      </c>
      <c r="K108" s="72"/>
      <c r="L108" s="19"/>
      <c r="M108" s="288" t="n">
        <v>199.99</v>
      </c>
      <c r="N108" s="72" t="n">
        <v>1200</v>
      </c>
      <c r="O108" s="72"/>
      <c r="P108" s="72" t="n">
        <v>1500</v>
      </c>
      <c r="Q108" s="72"/>
      <c r="R108" s="19"/>
      <c r="S108" s="19"/>
      <c r="T108" s="19"/>
      <c r="U108" s="19"/>
      <c r="V108" s="19"/>
      <c r="W108" s="19"/>
      <c r="X108" s="19"/>
      <c r="Y108" s="19"/>
      <c r="Z108" s="19" t="s">
        <v>256</v>
      </c>
    </row>
    <row r="109" customFormat="false" ht="18.75" hidden="false" customHeight="true" outlineLevel="0" collapsed="false">
      <c r="A109" s="209"/>
      <c r="B109" s="207"/>
      <c r="C109" s="207"/>
      <c r="D109" s="207"/>
      <c r="E109" s="210"/>
      <c r="F109" s="19"/>
      <c r="G109" s="209"/>
      <c r="H109" s="207"/>
      <c r="I109" s="207"/>
      <c r="J109" s="207"/>
      <c r="K109" s="210"/>
      <c r="L109" s="19"/>
      <c r="M109" s="209"/>
      <c r="N109" s="207"/>
      <c r="O109" s="207"/>
      <c r="P109" s="207"/>
      <c r="Q109" s="210"/>
      <c r="R109" s="19"/>
      <c r="S109" s="19"/>
      <c r="T109" s="19"/>
      <c r="U109" s="19"/>
      <c r="V109" s="19"/>
      <c r="W109" s="19"/>
      <c r="X109" s="19"/>
      <c r="Y109" s="19"/>
      <c r="Z109" s="19" t="s">
        <v>255</v>
      </c>
    </row>
    <row r="110" customFormat="false" ht="18.75" hidden="false" customHeight="true" outlineLevel="0" collapsed="false">
      <c r="A110" s="214" t="s">
        <v>22</v>
      </c>
      <c r="B110" s="19" t="s">
        <v>101</v>
      </c>
      <c r="C110" s="207"/>
      <c r="D110" s="207" t="s">
        <v>112</v>
      </c>
      <c r="E110" s="210"/>
      <c r="F110" s="19"/>
      <c r="G110" s="214" t="s">
        <v>22</v>
      </c>
      <c r="H110" s="19" t="s">
        <v>101</v>
      </c>
      <c r="I110" s="207"/>
      <c r="J110" s="207" t="s">
        <v>112</v>
      </c>
      <c r="K110" s="210"/>
      <c r="L110" s="19"/>
      <c r="M110" s="214" t="s">
        <v>22</v>
      </c>
      <c r="N110" s="19" t="s">
        <v>101</v>
      </c>
      <c r="O110" s="207"/>
      <c r="P110" s="207" t="s">
        <v>112</v>
      </c>
      <c r="Q110" s="210"/>
      <c r="R110" s="19"/>
      <c r="S110" s="19"/>
      <c r="T110" s="19"/>
      <c r="U110" s="19"/>
      <c r="V110" s="19"/>
      <c r="W110" s="19"/>
      <c r="X110" s="19"/>
      <c r="Y110" s="19"/>
      <c r="Z110" s="19" t="s">
        <v>263</v>
      </c>
    </row>
    <row r="111" customFormat="false" ht="18.75" hidden="false" customHeight="true" outlineLevel="0" collapsed="false">
      <c r="A111" s="216" t="s">
        <v>9</v>
      </c>
      <c r="B111" s="286" t="n">
        <v>30</v>
      </c>
      <c r="C111" s="286"/>
      <c r="D111" s="72" t="s">
        <v>264</v>
      </c>
      <c r="E111" s="72"/>
      <c r="F111" s="19"/>
      <c r="G111" s="216" t="s">
        <v>9</v>
      </c>
      <c r="H111" s="289" t="n">
        <v>0.2</v>
      </c>
      <c r="I111" s="289"/>
      <c r="J111" s="72" t="n">
        <v>5000</v>
      </c>
      <c r="K111" s="72"/>
      <c r="L111" s="19"/>
      <c r="M111" s="216" t="s">
        <v>9</v>
      </c>
      <c r="N111" s="289" t="n">
        <v>0.2</v>
      </c>
      <c r="O111" s="289"/>
      <c r="P111" s="72" t="n">
        <v>5000</v>
      </c>
      <c r="Q111" s="72"/>
      <c r="R111" s="19"/>
      <c r="S111" s="19"/>
      <c r="T111" s="19"/>
      <c r="U111" s="19"/>
      <c r="V111" s="19"/>
      <c r="W111" s="19"/>
      <c r="X111" s="19"/>
      <c r="Y111" s="19"/>
      <c r="Z111" s="19" t="s">
        <v>265</v>
      </c>
    </row>
    <row r="112" customFormat="false" ht="18.75" hidden="false" customHeight="true" outlineLevel="0" collapsed="false">
      <c r="A112" s="209"/>
      <c r="B112" s="207"/>
      <c r="C112" s="207"/>
      <c r="D112" s="207" t="s">
        <v>4</v>
      </c>
      <c r="E112" s="210"/>
      <c r="F112" s="19"/>
      <c r="G112" s="209"/>
      <c r="H112" s="207"/>
      <c r="I112" s="207"/>
      <c r="J112" s="207"/>
      <c r="K112" s="210"/>
      <c r="L112" s="19"/>
      <c r="M112" s="209"/>
      <c r="N112" s="207"/>
      <c r="O112" s="207"/>
      <c r="P112" s="207"/>
      <c r="Q112" s="210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8.75" hidden="false" customHeight="true" outlineLevel="0" collapsed="false">
      <c r="A113" s="209"/>
      <c r="B113" s="207"/>
      <c r="C113" s="207"/>
      <c r="D113" s="207"/>
      <c r="E113" s="210"/>
      <c r="F113" s="19"/>
      <c r="G113" s="209"/>
      <c r="H113" s="207"/>
      <c r="I113" s="207"/>
      <c r="J113" s="207"/>
      <c r="K113" s="210"/>
      <c r="L113" s="19"/>
      <c r="M113" s="209"/>
      <c r="N113" s="207" t="s">
        <v>266</v>
      </c>
      <c r="O113" s="216" t="s">
        <v>9</v>
      </c>
      <c r="P113" s="207"/>
      <c r="Q113" s="210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8.75" hidden="false" customHeight="true" outlineLevel="0" collapsed="false">
      <c r="A114" s="211" t="s">
        <v>267</v>
      </c>
      <c r="B114" s="211"/>
      <c r="C114" s="211"/>
      <c r="D114" s="211"/>
      <c r="E114" s="211"/>
      <c r="F114" s="19"/>
      <c r="G114" s="211" t="s">
        <v>267</v>
      </c>
      <c r="H114" s="211"/>
      <c r="I114" s="211"/>
      <c r="J114" s="211"/>
      <c r="K114" s="211"/>
      <c r="L114" s="19"/>
      <c r="M114" s="211" t="s">
        <v>267</v>
      </c>
      <c r="N114" s="211"/>
      <c r="O114" s="211"/>
      <c r="P114" s="211"/>
      <c r="Q114" s="211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8.75" hidden="false" customHeight="true" outlineLevel="0" collapsed="false">
      <c r="A115" s="209"/>
      <c r="B115" s="207"/>
      <c r="C115" s="207"/>
      <c r="D115" s="207"/>
      <c r="E115" s="210"/>
      <c r="F115" s="19"/>
      <c r="G115" s="209"/>
      <c r="H115" s="207"/>
      <c r="I115" s="207"/>
      <c r="J115" s="207"/>
      <c r="K115" s="210"/>
      <c r="L115" s="19"/>
      <c r="M115" s="209"/>
      <c r="N115" s="207"/>
      <c r="O115" s="207"/>
      <c r="P115" s="207"/>
      <c r="Q115" s="210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8.75" hidden="false" customHeight="true" outlineLevel="0" collapsed="false">
      <c r="A116" s="209" t="s">
        <v>268</v>
      </c>
      <c r="B116" s="216" t="s">
        <v>9</v>
      </c>
      <c r="C116" s="207"/>
      <c r="D116" s="207"/>
      <c r="E116" s="210"/>
      <c r="F116" s="19"/>
      <c r="G116" s="209" t="s">
        <v>268</v>
      </c>
      <c r="H116" s="216" t="s">
        <v>9</v>
      </c>
      <c r="I116" s="207"/>
      <c r="J116" s="207"/>
      <c r="K116" s="210"/>
      <c r="L116" s="19"/>
      <c r="M116" s="209" t="s">
        <v>268</v>
      </c>
      <c r="N116" s="216" t="s">
        <v>9</v>
      </c>
      <c r="O116" s="207"/>
      <c r="P116" s="207"/>
      <c r="Q116" s="210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8.75" hidden="false" customHeight="true" outlineLevel="0" collapsed="false">
      <c r="A117" s="209"/>
      <c r="B117" s="207"/>
      <c r="C117" s="207"/>
      <c r="D117" s="207"/>
      <c r="E117" s="210"/>
      <c r="F117" s="19"/>
      <c r="G117" s="209"/>
      <c r="H117" s="207"/>
      <c r="I117" s="207"/>
      <c r="J117" s="207"/>
      <c r="K117" s="210"/>
      <c r="L117" s="19"/>
      <c r="M117" s="209"/>
      <c r="N117" s="207"/>
      <c r="O117" s="207"/>
      <c r="P117" s="207"/>
      <c r="Q117" s="210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8.75" hidden="false" customHeight="true" outlineLevel="0" collapsed="false">
      <c r="A118" s="209" t="s">
        <v>146</v>
      </c>
      <c r="B118" s="207"/>
      <c r="C118" s="207"/>
      <c r="D118" s="288" t="n">
        <v>10000</v>
      </c>
      <c r="E118" s="72" t="n">
        <v>6000</v>
      </c>
      <c r="F118" s="19"/>
      <c r="G118" s="209" t="s">
        <v>146</v>
      </c>
      <c r="H118" s="207"/>
      <c r="I118" s="207"/>
      <c r="J118" s="288" t="n">
        <v>10000</v>
      </c>
      <c r="K118" s="72" t="n">
        <v>5000</v>
      </c>
      <c r="L118" s="19"/>
      <c r="M118" s="209" t="s">
        <v>146</v>
      </c>
      <c r="N118" s="207"/>
      <c r="O118" s="207"/>
      <c r="P118" s="288" t="n">
        <v>10000</v>
      </c>
      <c r="Q118" s="72" t="n">
        <v>5000</v>
      </c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8.75" hidden="false" customHeight="true" outlineLevel="0" collapsed="false">
      <c r="A119" s="209" t="s">
        <v>147</v>
      </c>
      <c r="B119" s="207"/>
      <c r="C119" s="207"/>
      <c r="D119" s="38" t="n">
        <f aca="false">E119</f>
        <v>2000</v>
      </c>
      <c r="E119" s="72" t="n">
        <v>2000</v>
      </c>
      <c r="F119" s="19"/>
      <c r="G119" s="209" t="s">
        <v>147</v>
      </c>
      <c r="H119" s="207"/>
      <c r="I119" s="207"/>
      <c r="J119" s="38" t="n">
        <f aca="false">K119</f>
        <v>7000</v>
      </c>
      <c r="K119" s="72" t="n">
        <v>7000</v>
      </c>
      <c r="L119" s="19"/>
      <c r="M119" s="209" t="s">
        <v>147</v>
      </c>
      <c r="N119" s="207"/>
      <c r="O119" s="207"/>
      <c r="P119" s="38" t="n">
        <f aca="false">Q119</f>
        <v>7000</v>
      </c>
      <c r="Q119" s="72" t="n">
        <v>7000</v>
      </c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8.75" hidden="false" customHeight="true" outlineLevel="0" collapsed="false">
      <c r="A120" s="209" t="s">
        <v>148</v>
      </c>
      <c r="B120" s="207"/>
      <c r="C120" s="207"/>
      <c r="D120" s="38" t="n">
        <f aca="false">D118-D119</f>
        <v>8000</v>
      </c>
      <c r="E120" s="163" t="n">
        <f aca="false">E118-E119</f>
        <v>4000</v>
      </c>
      <c r="F120" s="19"/>
      <c r="G120" s="209" t="s">
        <v>148</v>
      </c>
      <c r="H120" s="207"/>
      <c r="I120" s="207"/>
      <c r="J120" s="38" t="n">
        <f aca="false">J118-J119</f>
        <v>3000</v>
      </c>
      <c r="K120" s="163" t="n">
        <f aca="false">K118-K119</f>
        <v>-2000</v>
      </c>
      <c r="L120" s="19"/>
      <c r="M120" s="209" t="s">
        <v>148</v>
      </c>
      <c r="N120" s="207"/>
      <c r="O120" s="207"/>
      <c r="P120" s="38" t="n">
        <f aca="false">P118-P119</f>
        <v>3000</v>
      </c>
      <c r="Q120" s="163" t="n">
        <f aca="false">Q118-Q119</f>
        <v>-2000</v>
      </c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8.75" hidden="false" customHeight="true" outlineLevel="0" collapsed="false">
      <c r="A121" s="209" t="s">
        <v>149</v>
      </c>
      <c r="B121" s="207"/>
      <c r="C121" s="207"/>
      <c r="D121" s="38" t="n">
        <f aca="false">D120-E120</f>
        <v>4000</v>
      </c>
      <c r="E121" s="210"/>
      <c r="F121" s="19"/>
      <c r="G121" s="209" t="s">
        <v>149</v>
      </c>
      <c r="H121" s="207"/>
      <c r="I121" s="207"/>
      <c r="J121" s="38" t="n">
        <f aca="false">J120-K120</f>
        <v>5000</v>
      </c>
      <c r="K121" s="210"/>
      <c r="L121" s="19"/>
      <c r="M121" s="209" t="s">
        <v>149</v>
      </c>
      <c r="N121" s="207"/>
      <c r="O121" s="207"/>
      <c r="P121" s="38" t="n">
        <f aca="false">P120-Q120</f>
        <v>5000</v>
      </c>
      <c r="Q121" s="210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8.75" hidden="false" customHeight="true" outlineLevel="0" collapsed="false">
      <c r="A122" s="209"/>
      <c r="B122" s="207"/>
      <c r="C122" s="207"/>
      <c r="D122" s="207"/>
      <c r="E122" s="210"/>
      <c r="F122" s="19"/>
      <c r="G122" s="209"/>
      <c r="H122" s="207"/>
      <c r="I122" s="207"/>
      <c r="J122" s="207"/>
      <c r="K122" s="210"/>
      <c r="L122" s="19"/>
      <c r="M122" s="209"/>
      <c r="N122" s="207"/>
      <c r="O122" s="207"/>
      <c r="P122" s="207"/>
      <c r="Q122" s="210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8.75" hidden="false" customHeight="true" outlineLevel="0" collapsed="false">
      <c r="A123" s="255" t="s">
        <v>108</v>
      </c>
      <c r="B123" s="256"/>
      <c r="C123" s="256"/>
      <c r="D123" s="256"/>
      <c r="E123" s="137" t="n">
        <f aca="false">D105</f>
        <v>1000</v>
      </c>
      <c r="F123" s="19"/>
      <c r="G123" s="255" t="s">
        <v>108</v>
      </c>
      <c r="H123" s="256"/>
      <c r="I123" s="256"/>
      <c r="J123" s="256"/>
      <c r="K123" s="137" t="n">
        <f aca="false">J105</f>
        <v>5000</v>
      </c>
      <c r="L123" s="19"/>
      <c r="M123" s="255" t="s">
        <v>108</v>
      </c>
      <c r="N123" s="256"/>
      <c r="O123" s="256"/>
      <c r="P123" s="256"/>
      <c r="Q123" s="137" t="n">
        <f aca="false">P105</f>
        <v>0</v>
      </c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8.75" hidden="false" customHeight="true" outlineLevel="0" collapsed="false">
      <c r="A124" s="209" t="s">
        <v>152</v>
      </c>
      <c r="B124" s="207"/>
      <c r="C124" s="207"/>
      <c r="D124" s="207"/>
      <c r="E124" s="273" t="n">
        <f aca="false">A108</f>
        <v>199.99</v>
      </c>
      <c r="F124" s="19"/>
      <c r="G124" s="209" t="s">
        <v>152</v>
      </c>
      <c r="H124" s="207"/>
      <c r="I124" s="207"/>
      <c r="J124" s="207"/>
      <c r="K124" s="273" t="n">
        <f aca="false">G108</f>
        <v>239.988</v>
      </c>
      <c r="L124" s="19"/>
      <c r="M124" s="209" t="s">
        <v>152</v>
      </c>
      <c r="N124" s="207"/>
      <c r="O124" s="207"/>
      <c r="P124" s="207"/>
      <c r="Q124" s="273" t="n">
        <f aca="false">M108</f>
        <v>199.99</v>
      </c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8.75" hidden="false" customHeight="true" outlineLevel="0" collapsed="false">
      <c r="A125" s="290" t="s">
        <v>269</v>
      </c>
      <c r="B125" s="253"/>
      <c r="C125" s="253"/>
      <c r="D125" s="253"/>
      <c r="E125" s="139" t="n">
        <f aca="false">(E124+E123)-E120</f>
        <v>-2800.01</v>
      </c>
      <c r="F125" s="19"/>
      <c r="G125" s="290" t="s">
        <v>269</v>
      </c>
      <c r="H125" s="253"/>
      <c r="I125" s="253"/>
      <c r="J125" s="253"/>
      <c r="K125" s="139" t="n">
        <f aca="false">(K124+K123)-K120</f>
        <v>7239.988</v>
      </c>
      <c r="L125" s="19"/>
      <c r="M125" s="290" t="s">
        <v>269</v>
      </c>
      <c r="N125" s="253"/>
      <c r="O125" s="253"/>
      <c r="P125" s="253"/>
      <c r="Q125" s="139" t="n">
        <f aca="false">(Q124+Q123)-Q120</f>
        <v>2199.99</v>
      </c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8.75" hidden="false" customHeight="true" outlineLevel="0" collapsed="false">
      <c r="A126" s="209"/>
      <c r="B126" s="207"/>
      <c r="C126" s="207"/>
      <c r="D126" s="207"/>
      <c r="E126" s="210"/>
      <c r="F126" s="19"/>
      <c r="G126" s="209"/>
      <c r="H126" s="207"/>
      <c r="I126" s="207"/>
      <c r="J126" s="207"/>
      <c r="K126" s="210"/>
      <c r="L126" s="19"/>
      <c r="M126" s="209"/>
      <c r="N126" s="207"/>
      <c r="O126" s="207"/>
      <c r="P126" s="207"/>
      <c r="Q126" s="210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8.75" hidden="false" customHeight="true" outlineLevel="0" collapsed="false">
      <c r="A127" s="209"/>
      <c r="B127" s="207"/>
      <c r="C127" s="207"/>
      <c r="D127" s="207"/>
      <c r="E127" s="210"/>
      <c r="F127" s="19"/>
      <c r="G127" s="209"/>
      <c r="H127" s="207"/>
      <c r="I127" s="207"/>
      <c r="J127" s="207"/>
      <c r="K127" s="210"/>
      <c r="L127" s="19"/>
      <c r="M127" s="209"/>
      <c r="N127" s="207"/>
      <c r="O127" s="207"/>
      <c r="P127" s="207"/>
      <c r="Q127" s="210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8.75" hidden="false" customHeight="true" outlineLevel="0" collapsed="false">
      <c r="A128" s="211" t="s">
        <v>270</v>
      </c>
      <c r="B128" s="211"/>
      <c r="C128" s="211"/>
      <c r="D128" s="211"/>
      <c r="E128" s="211"/>
      <c r="F128" s="19"/>
      <c r="G128" s="211" t="s">
        <v>270</v>
      </c>
      <c r="H128" s="211"/>
      <c r="I128" s="211"/>
      <c r="J128" s="211"/>
      <c r="K128" s="211"/>
      <c r="L128" s="19"/>
      <c r="M128" s="211" t="s">
        <v>270</v>
      </c>
      <c r="N128" s="211"/>
      <c r="O128" s="211"/>
      <c r="P128" s="211"/>
      <c r="Q128" s="211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8.75" hidden="false" customHeight="true" outlineLevel="0" collapsed="false">
      <c r="A129" s="291"/>
      <c r="B129" s="292"/>
      <c r="C129" s="292"/>
      <c r="D129" s="292"/>
      <c r="E129" s="293"/>
      <c r="F129" s="19"/>
      <c r="G129" s="209"/>
      <c r="H129" s="207"/>
      <c r="I129" s="207"/>
      <c r="J129" s="207"/>
      <c r="K129" s="210"/>
      <c r="L129" s="19"/>
      <c r="M129" s="209"/>
      <c r="N129" s="207"/>
      <c r="O129" s="207"/>
      <c r="P129" s="207"/>
      <c r="Q129" s="210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8.75" hidden="false" customHeight="true" outlineLevel="0" collapsed="false">
      <c r="A130" s="294" t="s">
        <v>98</v>
      </c>
      <c r="B130" s="295" t="n">
        <v>0</v>
      </c>
      <c r="C130" s="296"/>
      <c r="D130" s="295" t="s">
        <v>33</v>
      </c>
      <c r="E130" s="297"/>
      <c r="F130" s="19"/>
      <c r="G130" s="209" t="s">
        <v>29</v>
      </c>
      <c r="H130" s="168" t="n">
        <v>0</v>
      </c>
      <c r="I130" s="168"/>
      <c r="J130" s="207"/>
      <c r="K130" s="210"/>
      <c r="L130" s="19"/>
      <c r="M130" s="209" t="s">
        <v>29</v>
      </c>
      <c r="N130" s="168" t="n">
        <v>0</v>
      </c>
      <c r="O130" s="168"/>
      <c r="P130" s="207"/>
      <c r="Q130" s="210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8.75" hidden="false" customHeight="true" outlineLevel="0" collapsed="false">
      <c r="A131" s="298" t="s">
        <v>254</v>
      </c>
      <c r="B131" s="299" t="n">
        <f aca="false">A167</f>
        <v>12</v>
      </c>
      <c r="C131" s="300"/>
      <c r="D131" s="299" t="n">
        <f aca="false">B166</f>
        <v>5000</v>
      </c>
      <c r="E131" s="297"/>
      <c r="F131" s="19"/>
      <c r="G131" s="209"/>
      <c r="H131" s="207"/>
      <c r="I131" s="207"/>
      <c r="J131" s="207"/>
      <c r="K131" s="210"/>
      <c r="L131" s="19"/>
      <c r="M131" s="209"/>
      <c r="N131" s="207"/>
      <c r="O131" s="207"/>
      <c r="P131" s="207"/>
      <c r="Q131" s="210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8.75" hidden="false" customHeight="true" outlineLevel="0" collapsed="false">
      <c r="A132" s="294"/>
      <c r="B132" s="295"/>
      <c r="C132" s="295"/>
      <c r="D132" s="295"/>
      <c r="E132" s="297"/>
      <c r="F132" s="19"/>
      <c r="G132" s="209" t="s">
        <v>28</v>
      </c>
      <c r="H132" s="207" t="s">
        <v>33</v>
      </c>
      <c r="I132" s="207"/>
      <c r="J132" s="207" t="s">
        <v>60</v>
      </c>
      <c r="K132" s="210"/>
      <c r="L132" s="19"/>
      <c r="M132" s="209" t="s">
        <v>28</v>
      </c>
      <c r="N132" s="207" t="s">
        <v>33</v>
      </c>
      <c r="O132" s="207"/>
      <c r="P132" s="207" t="s">
        <v>60</v>
      </c>
      <c r="Q132" s="210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8.75" hidden="false" customHeight="true" outlineLevel="0" collapsed="false">
      <c r="A133" s="294" t="s">
        <v>92</v>
      </c>
      <c r="B133" s="295" t="s">
        <v>271</v>
      </c>
      <c r="C133" s="296"/>
      <c r="D133" s="295" t="s">
        <v>272</v>
      </c>
      <c r="E133" s="297"/>
      <c r="F133" s="19"/>
      <c r="G133" s="222" t="n">
        <f aca="false">G158</f>
        <v>12</v>
      </c>
      <c r="H133" s="174" t="n">
        <f aca="false">B157</f>
        <v>0</v>
      </c>
      <c r="I133" s="223"/>
      <c r="J133" s="174" t="n">
        <f aca="false">B64</f>
        <v>3</v>
      </c>
      <c r="K133" s="210"/>
      <c r="L133" s="19"/>
      <c r="M133" s="222" t="n">
        <f aca="false">M161</f>
        <v>12</v>
      </c>
      <c r="N133" s="174" t="n">
        <f aca="false">B157</f>
        <v>0</v>
      </c>
      <c r="O133" s="223"/>
      <c r="P133" s="174" t="n">
        <f aca="false">B64</f>
        <v>3</v>
      </c>
      <c r="Q133" s="210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8.75" hidden="false" customHeight="true" outlineLevel="0" collapsed="false">
      <c r="A134" s="298" t="n">
        <f aca="false">B96</f>
        <v>627.567399489041</v>
      </c>
      <c r="B134" s="296" t="n">
        <f aca="false">IF(A111="YES", B95, 0)</f>
        <v>65</v>
      </c>
      <c r="C134" s="301"/>
      <c r="D134" s="296" t="n">
        <f aca="false">B97</f>
        <v>692.567399489041</v>
      </c>
      <c r="E134" s="297"/>
      <c r="F134" s="19"/>
      <c r="G134" s="209"/>
      <c r="H134" s="207"/>
      <c r="I134" s="207"/>
      <c r="J134" s="207"/>
      <c r="K134" s="210"/>
      <c r="L134" s="19"/>
      <c r="M134" s="209"/>
      <c r="N134" s="207"/>
      <c r="O134" s="207"/>
      <c r="P134" s="207"/>
      <c r="Q134" s="210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8.75" hidden="false" customHeight="true" outlineLevel="0" collapsed="false">
      <c r="A135" s="291"/>
      <c r="B135" s="292"/>
      <c r="C135" s="292"/>
      <c r="D135" s="292"/>
      <c r="E135" s="293"/>
      <c r="F135" s="19"/>
      <c r="G135" s="302" t="s">
        <v>273</v>
      </c>
      <c r="H135" s="303" t="s">
        <v>274</v>
      </c>
      <c r="I135" s="303"/>
      <c r="J135" s="303" t="s">
        <v>275</v>
      </c>
      <c r="K135" s="210"/>
      <c r="L135" s="19"/>
      <c r="M135" s="302" t="s">
        <v>276</v>
      </c>
      <c r="N135" s="303" t="s">
        <v>227</v>
      </c>
      <c r="O135" s="303"/>
      <c r="P135" s="303" t="s">
        <v>93</v>
      </c>
      <c r="Q135" s="210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8.75" hidden="false" customHeight="true" outlineLevel="0" collapsed="false">
      <c r="A136" s="304" t="s">
        <v>23</v>
      </c>
      <c r="B136" s="305" t="s">
        <v>277</v>
      </c>
      <c r="C136" s="306"/>
      <c r="D136" s="305" t="s">
        <v>278</v>
      </c>
      <c r="E136" s="293"/>
      <c r="F136" s="19"/>
      <c r="G136" s="307" t="e">
        <f aca="false">H96</f>
        <v>#DIV/0!</v>
      </c>
      <c r="H136" s="172" t="e">
        <f aca="false">IF(G111="YES", H95*H63, 0)</f>
        <v>#DIV/0!</v>
      </c>
      <c r="I136" s="172"/>
      <c r="J136" s="308" t="e">
        <f aca="false">H97</f>
        <v>#DIV/0!</v>
      </c>
      <c r="K136" s="210"/>
      <c r="L136" s="19"/>
      <c r="M136" s="307" t="e">
        <f aca="false">N96</f>
        <v>#DIV/0!</v>
      </c>
      <c r="N136" s="172" t="e">
        <f aca="false">IF(M111="YES", N95*N63, 0)</f>
        <v>#DIV/0!</v>
      </c>
      <c r="O136" s="172"/>
      <c r="P136" s="172" t="e">
        <f aca="false">N97</f>
        <v>#DIV/0!</v>
      </c>
      <c r="Q136" s="210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8.75" hidden="false" customHeight="true" outlineLevel="0" collapsed="false">
      <c r="A137" s="309" t="str">
        <f aca="false">B105</f>
        <v>Terminal pause with 9 down</v>
      </c>
      <c r="B137" s="201" t="n">
        <f aca="false">B96*B63</f>
        <v>5648.10659540137</v>
      </c>
      <c r="C137" s="292"/>
      <c r="D137" s="201" t="n">
        <f aca="false">IF(A111="YES", B95*B63, 0)</f>
        <v>585</v>
      </c>
      <c r="E137" s="293"/>
      <c r="F137" s="19"/>
      <c r="G137" s="209"/>
      <c r="H137" s="207"/>
      <c r="I137" s="207"/>
      <c r="J137" s="207"/>
      <c r="K137" s="210"/>
      <c r="L137" s="19"/>
      <c r="M137" s="209"/>
      <c r="N137" s="207"/>
      <c r="O137" s="207"/>
      <c r="P137" s="207"/>
      <c r="Q137" s="210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8.75" hidden="false" customHeight="true" outlineLevel="0" collapsed="false">
      <c r="A138" s="291"/>
      <c r="B138" s="292"/>
      <c r="C138" s="292"/>
      <c r="D138" s="292"/>
      <c r="E138" s="293"/>
      <c r="F138" s="19"/>
      <c r="G138" s="209" t="s">
        <v>279</v>
      </c>
      <c r="H138" s="207" t="s">
        <v>280</v>
      </c>
      <c r="I138" s="207"/>
      <c r="J138" s="207" t="s">
        <v>281</v>
      </c>
      <c r="K138" s="210"/>
      <c r="L138" s="19"/>
      <c r="M138" s="209" t="s">
        <v>282</v>
      </c>
      <c r="N138" s="207" t="s">
        <v>216</v>
      </c>
      <c r="O138" s="207"/>
      <c r="P138" s="207" t="s">
        <v>220</v>
      </c>
      <c r="Q138" s="210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8.75" hidden="false" customHeight="true" outlineLevel="0" collapsed="false">
      <c r="A139" s="123" t="s">
        <v>283</v>
      </c>
      <c r="B139" s="200" t="s">
        <v>284</v>
      </c>
      <c r="C139" s="310"/>
      <c r="D139" s="240" t="s">
        <v>177</v>
      </c>
      <c r="E139" s="293"/>
      <c r="F139" s="19"/>
      <c r="G139" s="69" t="e">
        <f aca="false">H96*H63</f>
        <v>#DIV/0!</v>
      </c>
      <c r="H139" s="37" t="e">
        <f aca="false">IF(G111="YES", H95*H63, 0)</f>
        <v>#DIV/0!</v>
      </c>
      <c r="I139" s="215"/>
      <c r="J139" s="37" t="e">
        <f aca="false">H97*H63</f>
        <v>#DIV/0!</v>
      </c>
      <c r="K139" s="210"/>
      <c r="L139" s="19"/>
      <c r="M139" s="69" t="e">
        <f aca="false">N96*N63</f>
        <v>#DIV/0!</v>
      </c>
      <c r="N139" s="37" t="e">
        <f aca="false">IF(M111="YES", N95*N63, 0)</f>
        <v>#DIV/0!</v>
      </c>
      <c r="O139" s="215"/>
      <c r="P139" s="232" t="e">
        <f aca="false">N97*N63</f>
        <v>#DIV/0!</v>
      </c>
      <c r="Q139" s="210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8.75" hidden="false" customHeight="true" outlineLevel="0" collapsed="false">
      <c r="A140" s="70" t="n">
        <f aca="false">B97*B63</f>
        <v>6233.10659540137</v>
      </c>
      <c r="B140" s="201" t="n">
        <f aca="false">E120</f>
        <v>4000</v>
      </c>
      <c r="C140" s="292"/>
      <c r="D140" s="311" t="n">
        <f aca="false">B64</f>
        <v>3</v>
      </c>
      <c r="E140" s="293"/>
      <c r="F140" s="19"/>
      <c r="G140" s="209"/>
      <c r="H140" s="207"/>
      <c r="I140" s="207"/>
      <c r="J140" s="207"/>
      <c r="K140" s="210"/>
      <c r="L140" s="19"/>
      <c r="M140" s="209"/>
      <c r="N140" s="207"/>
      <c r="O140" s="207"/>
      <c r="P140" s="207"/>
      <c r="Q140" s="210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8.75" hidden="false" customHeight="true" outlineLevel="0" collapsed="false">
      <c r="A141" s="70"/>
      <c r="B141" s="312"/>
      <c r="C141" s="292"/>
      <c r="D141" s="292"/>
      <c r="E141" s="293"/>
      <c r="F141" s="19"/>
      <c r="G141" s="209" t="s">
        <v>285</v>
      </c>
      <c r="H141" s="207" t="s">
        <v>286</v>
      </c>
      <c r="I141" s="207"/>
      <c r="J141" s="207" t="s">
        <v>287</v>
      </c>
      <c r="K141" s="210"/>
      <c r="L141" s="19"/>
      <c r="M141" s="209" t="s">
        <v>229</v>
      </c>
      <c r="N141" s="207" t="s">
        <v>230</v>
      </c>
      <c r="O141" s="207"/>
      <c r="P141" s="207" t="s">
        <v>235</v>
      </c>
      <c r="Q141" s="210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8.75" hidden="false" customHeight="true" outlineLevel="0" collapsed="false">
      <c r="A142" s="78" t="s">
        <v>92</v>
      </c>
      <c r="B142" s="313" t="s">
        <v>271</v>
      </c>
      <c r="C142" s="292"/>
      <c r="D142" s="292" t="s">
        <v>272</v>
      </c>
      <c r="E142" s="293"/>
      <c r="F142" s="19"/>
      <c r="G142" s="70" t="n">
        <f aca="false">E15*0.000006</f>
        <v>0.35115</v>
      </c>
      <c r="H142" s="37" t="n">
        <f aca="false">IF(G111="YES", E15*0.000002, 0)</f>
        <v>0.11705</v>
      </c>
      <c r="I142" s="37"/>
      <c r="J142" s="37" t="n">
        <f aca="false">G142+H142</f>
        <v>0.4682</v>
      </c>
      <c r="K142" s="177"/>
      <c r="L142" s="19"/>
      <c r="M142" s="70" t="n">
        <f aca="false">E15*0.000006</f>
        <v>0.35115</v>
      </c>
      <c r="N142" s="37" t="n">
        <f aca="false">IF(M111="YES", E15*0.000002, 0)</f>
        <v>0.11705</v>
      </c>
      <c r="O142" s="37"/>
      <c r="P142" s="37" t="n">
        <f aca="false">M142+N142</f>
        <v>0.4682</v>
      </c>
      <c r="Q142" s="177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8.75" hidden="false" customHeight="true" outlineLevel="0" collapsed="false">
      <c r="A143" s="70" t="n">
        <f aca="false">B96</f>
        <v>627.567399489041</v>
      </c>
      <c r="B143" s="201" t="n">
        <f aca="false">IF(A111="YES", B95, 0)</f>
        <v>65</v>
      </c>
      <c r="C143" s="292"/>
      <c r="D143" s="201" t="n">
        <f aca="false">B97</f>
        <v>692.567399489041</v>
      </c>
      <c r="E143" s="293"/>
      <c r="F143" s="19"/>
      <c r="G143" s="209"/>
      <c r="H143" s="207"/>
      <c r="I143" s="207"/>
      <c r="J143" s="207"/>
      <c r="K143" s="210"/>
      <c r="L143" s="19"/>
      <c r="M143" s="209"/>
      <c r="N143" s="207"/>
      <c r="O143" s="207"/>
      <c r="P143" s="207"/>
      <c r="Q143" s="210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8.75" hidden="false" customHeight="true" outlineLevel="0" collapsed="false">
      <c r="A144" s="291"/>
      <c r="B144" s="292"/>
      <c r="C144" s="292"/>
      <c r="D144" s="292"/>
      <c r="E144" s="293"/>
      <c r="F144" s="19"/>
      <c r="G144" s="209" t="s">
        <v>288</v>
      </c>
      <c r="H144" s="207" t="s">
        <v>289</v>
      </c>
      <c r="I144" s="207"/>
      <c r="J144" s="207" t="s">
        <v>290</v>
      </c>
      <c r="K144" s="210"/>
      <c r="L144" s="19"/>
      <c r="M144" s="209" t="s">
        <v>111</v>
      </c>
      <c r="N144" s="207" t="s">
        <v>289</v>
      </c>
      <c r="O144" s="207"/>
      <c r="P144" s="207" t="s">
        <v>290</v>
      </c>
      <c r="Q144" s="210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8.75" hidden="false" customHeight="true" outlineLevel="0" collapsed="false">
      <c r="A145" s="314" t="s">
        <v>180</v>
      </c>
      <c r="B145" s="315" t="s">
        <v>291</v>
      </c>
      <c r="C145" s="201"/>
      <c r="D145" s="315" t="s">
        <v>182</v>
      </c>
      <c r="E145" s="177"/>
      <c r="F145" s="19"/>
      <c r="G145" s="70" t="n">
        <f aca="false">G108</f>
        <v>239.988</v>
      </c>
      <c r="H145" s="37" t="n">
        <f aca="false">H73/1.2</f>
        <v>241.1875</v>
      </c>
      <c r="I145" s="37"/>
      <c r="J145" s="37" t="n">
        <f aca="false">H108*0.9</f>
        <v>1080</v>
      </c>
      <c r="K145" s="177"/>
      <c r="L145" s="19"/>
      <c r="M145" s="70" t="n">
        <f aca="false">M108</f>
        <v>199.99</v>
      </c>
      <c r="N145" s="37" t="n">
        <f aca="false">N73/1.2</f>
        <v>241.1875</v>
      </c>
      <c r="O145" s="37"/>
      <c r="P145" s="37" t="n">
        <f aca="false">N108*0.9</f>
        <v>1080</v>
      </c>
      <c r="Q145" s="177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8.75" hidden="false" customHeight="true" outlineLevel="0" collapsed="false">
      <c r="A146" s="316" t="n">
        <f aca="false">(G18*0.000006)*1.2*100</f>
        <v>41.6772</v>
      </c>
      <c r="B146" s="317" t="n">
        <f aca="false">G18*0.000002 *1.2*100</f>
        <v>13.8924</v>
      </c>
      <c r="C146" s="292"/>
      <c r="D146" s="317" t="n">
        <f aca="false">A146+B146</f>
        <v>55.5696</v>
      </c>
      <c r="E146" s="293"/>
      <c r="F146" s="19"/>
      <c r="G146" s="209"/>
      <c r="H146" s="207"/>
      <c r="I146" s="207"/>
      <c r="J146" s="207"/>
      <c r="K146" s="210"/>
      <c r="L146" s="19"/>
      <c r="M146" s="209"/>
      <c r="N146" s="207"/>
      <c r="O146" s="207"/>
      <c r="P146" s="207"/>
      <c r="Q146" s="210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8.75" hidden="false" customHeight="true" outlineLevel="0" collapsed="false">
      <c r="A147" s="316"/>
      <c r="B147" s="317"/>
      <c r="C147" s="292"/>
      <c r="D147" s="317"/>
      <c r="E147" s="293"/>
      <c r="F147" s="19"/>
      <c r="G147" s="209" t="s">
        <v>292</v>
      </c>
      <c r="H147" s="207" t="s">
        <v>293</v>
      </c>
      <c r="I147" s="207"/>
      <c r="J147" s="207" t="s">
        <v>294</v>
      </c>
      <c r="K147" s="210"/>
      <c r="L147" s="19"/>
      <c r="M147" s="209" t="s">
        <v>292</v>
      </c>
      <c r="N147" s="207" t="s">
        <v>293</v>
      </c>
      <c r="O147" s="207"/>
      <c r="P147" s="207" t="s">
        <v>294</v>
      </c>
      <c r="Q147" s="210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8.75" hidden="false" customHeight="true" outlineLevel="0" collapsed="false">
      <c r="A148" s="314" t="s">
        <v>295</v>
      </c>
      <c r="B148" s="315" t="s">
        <v>152</v>
      </c>
      <c r="C148" s="201"/>
      <c r="D148" s="315" t="s">
        <v>246</v>
      </c>
      <c r="E148" s="293"/>
      <c r="F148" s="19"/>
      <c r="G148" s="70" t="n">
        <f aca="false">IF(G111="YES", ((A41*H111)*0.1)*(G133), 0)</f>
        <v>12</v>
      </c>
      <c r="H148" s="37" t="n">
        <f aca="false">G108-100</f>
        <v>139.988</v>
      </c>
      <c r="I148" s="37"/>
      <c r="J148" s="37" t="n">
        <f aca="false">(H145+J145+G148+H148)-H151</f>
        <v>1473.1755</v>
      </c>
      <c r="K148" s="177"/>
      <c r="L148" s="19"/>
      <c r="M148" s="70" t="n">
        <f aca="false">IF(M111="YES", ((A41*N111)*0.1)*(M133), 0)</f>
        <v>12</v>
      </c>
      <c r="N148" s="37" t="n">
        <f aca="false">M108-100</f>
        <v>99.99</v>
      </c>
      <c r="O148" s="37"/>
      <c r="P148" s="37" t="n">
        <f aca="false">(N145+P145+M148+N148)-N151</f>
        <v>1433.1775</v>
      </c>
      <c r="Q148" s="177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8.75" hidden="false" customHeight="true" outlineLevel="0" collapsed="false">
      <c r="A149" s="70" t="n">
        <v>0</v>
      </c>
      <c r="B149" s="201" t="n">
        <f aca="false">E124</f>
        <v>199.99</v>
      </c>
      <c r="C149" s="292"/>
      <c r="D149" s="152" t="n">
        <f aca="false">B108</f>
        <v>400</v>
      </c>
      <c r="E149" s="293"/>
      <c r="F149" s="19"/>
      <c r="G149" s="209"/>
      <c r="H149" s="207"/>
      <c r="I149" s="207"/>
      <c r="J149" s="207"/>
      <c r="K149" s="210"/>
      <c r="L149" s="19"/>
      <c r="M149" s="209"/>
      <c r="N149" s="207"/>
      <c r="O149" s="207"/>
      <c r="P149" s="207"/>
      <c r="Q149" s="210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8.75" hidden="false" customHeight="true" outlineLevel="0" collapsed="false">
      <c r="A150" s="70"/>
      <c r="B150" s="201"/>
      <c r="C150" s="292"/>
      <c r="D150" s="201"/>
      <c r="E150" s="293"/>
      <c r="F150" s="19"/>
      <c r="G150" s="209" t="s">
        <v>296</v>
      </c>
      <c r="H150" s="207" t="s">
        <v>297</v>
      </c>
      <c r="I150" s="207"/>
      <c r="J150" s="207"/>
      <c r="K150" s="210"/>
      <c r="L150" s="19"/>
      <c r="M150" s="209" t="s">
        <v>296</v>
      </c>
      <c r="N150" s="207" t="s">
        <v>297</v>
      </c>
      <c r="O150" s="207"/>
      <c r="P150" s="207"/>
      <c r="Q150" s="210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8.75" hidden="false" customHeight="true" outlineLevel="0" collapsed="false">
      <c r="A151" s="318" t="s">
        <v>298</v>
      </c>
      <c r="B151" s="319"/>
      <c r="C151" s="320"/>
      <c r="D151" s="319"/>
      <c r="E151" s="321"/>
      <c r="F151" s="19"/>
      <c r="G151" s="70" t="n">
        <f aca="false">IF((1200-H108) &lt;= 0, 0, (1200-H108))</f>
        <v>0</v>
      </c>
      <c r="H151" s="37" t="n">
        <f aca="false">(H145+J145+G148+H148)*(G151/H70)</f>
        <v>0</v>
      </c>
      <c r="I151" s="207"/>
      <c r="J151" s="207"/>
      <c r="K151" s="210"/>
      <c r="L151" s="19"/>
      <c r="M151" s="70" t="n">
        <f aca="false">IF((1200-N108) &lt;= 0, 0, (1200-N108))</f>
        <v>0</v>
      </c>
      <c r="N151" s="37" t="n">
        <f aca="false">(N145+P145+M148+N148)*(M151/N70)</f>
        <v>0</v>
      </c>
      <c r="O151" s="207"/>
      <c r="P151" s="207"/>
      <c r="Q151" s="210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8.75" hidden="false" customHeight="true" outlineLevel="0" collapsed="false">
      <c r="A152" s="316"/>
      <c r="B152" s="317"/>
      <c r="C152" s="292"/>
      <c r="D152" s="317"/>
      <c r="E152" s="293"/>
      <c r="F152" s="19"/>
      <c r="G152" s="209"/>
      <c r="H152" s="207"/>
      <c r="I152" s="207"/>
      <c r="J152" s="207"/>
      <c r="K152" s="210"/>
      <c r="L152" s="19"/>
      <c r="M152" s="70"/>
      <c r="N152" s="37"/>
      <c r="O152" s="207"/>
      <c r="P152" s="207"/>
      <c r="Q152" s="210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8.75" hidden="false" customHeight="true" outlineLevel="0" collapsed="false">
      <c r="A153" s="291" t="s">
        <v>299</v>
      </c>
      <c r="B153" s="292" t="s">
        <v>300</v>
      </c>
      <c r="C153" s="292"/>
      <c r="D153" s="292" t="s">
        <v>301</v>
      </c>
      <c r="E153" s="293"/>
      <c r="F153" s="19"/>
      <c r="G153" s="209"/>
      <c r="H153" s="207"/>
      <c r="I153" s="207"/>
      <c r="J153" s="207"/>
      <c r="K153" s="210"/>
      <c r="L153" s="19"/>
      <c r="M153" s="78" t="s">
        <v>302</v>
      </c>
      <c r="N153" s="38" t="s">
        <v>303</v>
      </c>
      <c r="O153" s="207"/>
      <c r="P153" s="207"/>
      <c r="Q153" s="210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8.75" hidden="false" customHeight="true" outlineLevel="0" collapsed="false">
      <c r="A154" s="70" t="n">
        <f aca="false">B73</f>
        <v>578.85</v>
      </c>
      <c r="B154" s="201" t="n">
        <f aca="false">B108</f>
        <v>400</v>
      </c>
      <c r="C154" s="201"/>
      <c r="D154" s="201" t="n">
        <f aca="false">IF(A111="YES", (A41/100*B111)*B131, 0)*0.1</f>
        <v>18</v>
      </c>
      <c r="E154" s="177"/>
      <c r="F154" s="19"/>
      <c r="G154" s="243" t="s">
        <v>304</v>
      </c>
      <c r="H154" s="207"/>
      <c r="I154" s="207"/>
      <c r="J154" s="244"/>
      <c r="K154" s="245"/>
      <c r="L154" s="19"/>
      <c r="M154" s="322" t="n">
        <f aca="false">H40</f>
        <v>0</v>
      </c>
      <c r="N154" s="323" t="n">
        <v>0.99</v>
      </c>
      <c r="O154" s="323"/>
      <c r="P154" s="207"/>
      <c r="Q154" s="210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8.75" hidden="false" customHeight="true" outlineLevel="0" collapsed="false">
      <c r="A155" s="291"/>
      <c r="B155" s="292"/>
      <c r="C155" s="292"/>
      <c r="D155" s="292"/>
      <c r="E155" s="293"/>
      <c r="F155" s="19"/>
      <c r="G155" s="209"/>
      <c r="H155" s="246"/>
      <c r="I155" s="246"/>
      <c r="J155" s="207"/>
      <c r="K155" s="210"/>
      <c r="L155" s="19"/>
      <c r="M155" s="209"/>
      <c r="N155" s="207"/>
      <c r="O155" s="207"/>
      <c r="P155" s="207"/>
      <c r="Q155" s="210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8.75" hidden="false" customHeight="true" outlineLevel="0" collapsed="false">
      <c r="A156" s="291" t="s">
        <v>305</v>
      </c>
      <c r="B156" s="292" t="s">
        <v>297</v>
      </c>
      <c r="C156" s="292"/>
      <c r="D156" s="292" t="s">
        <v>294</v>
      </c>
      <c r="E156" s="293"/>
      <c r="F156" s="19"/>
      <c r="G156" s="248" t="s">
        <v>28</v>
      </c>
      <c r="H156" s="249" t="s">
        <v>33</v>
      </c>
      <c r="I156" s="249"/>
      <c r="J156" s="207"/>
      <c r="K156" s="210"/>
      <c r="L156" s="19"/>
      <c r="M156" s="209"/>
      <c r="N156" s="207"/>
      <c r="O156" s="207"/>
      <c r="P156" s="207"/>
      <c r="Q156" s="210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8.75" hidden="false" customHeight="true" outlineLevel="0" collapsed="false">
      <c r="A157" s="70" t="n">
        <f aca="false">E124-100</f>
        <v>99.99</v>
      </c>
      <c r="B157" s="201" t="n">
        <f aca="false">(A154+B154+D154+A157)*(A149/B70)</f>
        <v>0</v>
      </c>
      <c r="C157" s="201"/>
      <c r="D157" s="201" t="n">
        <f aca="false">(A154+B154+D154+A157)-B157</f>
        <v>1096.84</v>
      </c>
      <c r="E157" s="177"/>
      <c r="F157" s="19"/>
      <c r="G157" s="248"/>
      <c r="H157" s="250" t="n">
        <f aca="false">B57</f>
        <v>5000</v>
      </c>
      <c r="I157" s="250"/>
      <c r="J157" s="207"/>
      <c r="K157" s="210"/>
      <c r="L157" s="19"/>
      <c r="M157" s="243" t="s">
        <v>304</v>
      </c>
      <c r="N157" s="207"/>
      <c r="O157" s="207"/>
      <c r="P157" s="244"/>
      <c r="Q157" s="245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8.75" hidden="false" customHeight="true" outlineLevel="0" collapsed="false">
      <c r="A158" s="291"/>
      <c r="B158" s="292"/>
      <c r="C158" s="292"/>
      <c r="D158" s="292"/>
      <c r="E158" s="293"/>
      <c r="F158" s="19"/>
      <c r="G158" s="251" t="n">
        <f aca="false">A58</f>
        <v>12</v>
      </c>
      <c r="H158" s="92" t="e">
        <f aca="false">H97</f>
        <v>#DIV/0!</v>
      </c>
      <c r="I158" s="92"/>
      <c r="J158" s="207"/>
      <c r="K158" s="210"/>
      <c r="L158" s="19"/>
      <c r="M158" s="209"/>
      <c r="N158" s="246"/>
      <c r="O158" s="246"/>
      <c r="P158" s="207"/>
      <c r="Q158" s="210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8.75" hidden="false" customHeight="true" outlineLevel="0" collapsed="false">
      <c r="A159" s="291" t="s">
        <v>306</v>
      </c>
      <c r="B159" s="292"/>
      <c r="C159" s="292"/>
      <c r="D159" s="292"/>
      <c r="E159" s="293"/>
      <c r="F159" s="19"/>
      <c r="G159" s="209"/>
      <c r="H159" s="207"/>
      <c r="I159" s="207"/>
      <c r="J159" s="207"/>
      <c r="K159" s="210"/>
      <c r="L159" s="19"/>
      <c r="M159" s="248" t="s">
        <v>28</v>
      </c>
      <c r="N159" s="249" t="s">
        <v>33</v>
      </c>
      <c r="O159" s="249"/>
      <c r="P159" s="207"/>
      <c r="Q159" s="210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8.75" hidden="false" customHeight="true" outlineLevel="0" collapsed="false">
      <c r="A160" s="70" t="n">
        <f aca="false">D108</f>
        <v>200</v>
      </c>
      <c r="B160" s="201"/>
      <c r="C160" s="292"/>
      <c r="D160" s="292"/>
      <c r="E160" s="293"/>
      <c r="F160" s="19"/>
      <c r="G160" s="209"/>
      <c r="H160" s="207"/>
      <c r="I160" s="207"/>
      <c r="J160" s="207"/>
      <c r="K160" s="210"/>
      <c r="L160" s="19"/>
      <c r="M160" s="248"/>
      <c r="N160" s="250" t="n">
        <f aca="false">B57</f>
        <v>5000</v>
      </c>
      <c r="O160" s="250"/>
      <c r="P160" s="207"/>
      <c r="Q160" s="210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8.75" hidden="false" customHeight="true" outlineLevel="0" collapsed="false">
      <c r="A161" s="291"/>
      <c r="B161" s="292"/>
      <c r="C161" s="292"/>
      <c r="D161" s="292"/>
      <c r="E161" s="293"/>
      <c r="F161" s="19"/>
      <c r="G161" s="209"/>
      <c r="H161" s="207"/>
      <c r="I161" s="207"/>
      <c r="J161" s="207"/>
      <c r="K161" s="210"/>
      <c r="L161" s="19"/>
      <c r="M161" s="251" t="n">
        <f aca="false">A58</f>
        <v>12</v>
      </c>
      <c r="N161" s="92" t="e">
        <f aca="false">N97</f>
        <v>#DIV/0!</v>
      </c>
      <c r="O161" s="92"/>
      <c r="P161" s="207"/>
      <c r="Q161" s="210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8.75" hidden="false" customHeight="true" outlineLevel="0" collapsed="false">
      <c r="A162" s="291"/>
      <c r="B162" s="292"/>
      <c r="C162" s="292"/>
      <c r="D162" s="292"/>
      <c r="E162" s="293"/>
      <c r="F162" s="19"/>
      <c r="G162" s="209"/>
      <c r="H162" s="207"/>
      <c r="I162" s="207"/>
      <c r="J162" s="207"/>
      <c r="K162" s="210"/>
      <c r="L162" s="19"/>
      <c r="M162" s="209"/>
      <c r="N162" s="207"/>
      <c r="O162" s="207"/>
      <c r="P162" s="207"/>
      <c r="Q162" s="210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8.75" hidden="false" customHeight="true" outlineLevel="0" collapsed="false">
      <c r="A163" s="324" t="s">
        <v>304</v>
      </c>
      <c r="B163" s="292"/>
      <c r="C163" s="292"/>
      <c r="D163" s="325"/>
      <c r="E163" s="326"/>
      <c r="F163" s="19"/>
      <c r="G163" s="252"/>
      <c r="H163" s="253"/>
      <c r="I163" s="253"/>
      <c r="J163" s="253"/>
      <c r="K163" s="254"/>
      <c r="L163" s="19"/>
      <c r="M163" s="209"/>
      <c r="N163" s="207"/>
      <c r="O163" s="207"/>
      <c r="P163" s="207"/>
      <c r="Q163" s="210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8.75" hidden="false" customHeight="true" outlineLevel="0" collapsed="false">
      <c r="A164" s="291"/>
      <c r="B164" s="327"/>
      <c r="C164" s="327"/>
      <c r="D164" s="292"/>
      <c r="E164" s="293"/>
      <c r="F164" s="19"/>
      <c r="G164" s="19"/>
      <c r="H164" s="19"/>
      <c r="I164" s="19"/>
      <c r="J164" s="19"/>
      <c r="K164" s="19"/>
      <c r="L164" s="19"/>
      <c r="M164" s="209"/>
      <c r="N164" s="207"/>
      <c r="O164" s="207"/>
      <c r="P164" s="207"/>
      <c r="Q164" s="210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8.75" hidden="false" customHeight="true" outlineLevel="0" collapsed="false">
      <c r="A165" s="248" t="s">
        <v>28</v>
      </c>
      <c r="B165" s="249" t="s">
        <v>33</v>
      </c>
      <c r="C165" s="249"/>
      <c r="D165" s="292"/>
      <c r="E165" s="293"/>
      <c r="F165" s="19"/>
      <c r="G165" s="19"/>
      <c r="H165" s="19"/>
      <c r="I165" s="19"/>
      <c r="J165" s="19"/>
      <c r="K165" s="19"/>
      <c r="L165" s="19"/>
      <c r="M165" s="209"/>
      <c r="N165" s="207"/>
      <c r="O165" s="207"/>
      <c r="P165" s="207"/>
      <c r="Q165" s="210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8.75" hidden="false" customHeight="true" outlineLevel="0" collapsed="false">
      <c r="A166" s="248"/>
      <c r="B166" s="250" t="n">
        <f aca="false">B57</f>
        <v>5000</v>
      </c>
      <c r="C166" s="250"/>
      <c r="D166" s="292"/>
      <c r="E166" s="293"/>
      <c r="F166" s="19"/>
      <c r="G166" s="19"/>
      <c r="H166" s="19"/>
      <c r="I166" s="19"/>
      <c r="J166" s="19"/>
      <c r="K166" s="19"/>
      <c r="L166" s="19"/>
      <c r="M166" s="209"/>
      <c r="N166" s="207"/>
      <c r="O166" s="207"/>
      <c r="P166" s="207"/>
      <c r="Q166" s="210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8.75" hidden="false" customHeight="true" outlineLevel="0" collapsed="false">
      <c r="A167" s="251" t="n">
        <f aca="false">A58</f>
        <v>12</v>
      </c>
      <c r="B167" s="92" t="n">
        <f aca="false">B97</f>
        <v>692.567399489041</v>
      </c>
      <c r="C167" s="92"/>
      <c r="D167" s="292"/>
      <c r="E167" s="293"/>
      <c r="F167" s="19"/>
      <c r="G167" s="19"/>
      <c r="H167" s="19"/>
      <c r="I167" s="19"/>
      <c r="J167" s="19"/>
      <c r="K167" s="19"/>
      <c r="L167" s="19"/>
      <c r="M167" s="209"/>
      <c r="N167" s="207"/>
      <c r="O167" s="207"/>
      <c r="P167" s="207"/>
      <c r="Q167" s="210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8.75" hidden="false" customHeight="true" outlineLevel="0" collapsed="false">
      <c r="A168" s="291"/>
      <c r="B168" s="292"/>
      <c r="C168" s="292"/>
      <c r="D168" s="292"/>
      <c r="E168" s="293"/>
      <c r="F168" s="19"/>
      <c r="G168" s="19"/>
      <c r="H168" s="19"/>
      <c r="I168" s="19"/>
      <c r="J168" s="19"/>
      <c r="K168" s="19"/>
      <c r="L168" s="19"/>
      <c r="M168" s="252"/>
      <c r="N168" s="253"/>
      <c r="O168" s="253"/>
      <c r="P168" s="253"/>
      <c r="Q168" s="254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8.75" hidden="false" customHeight="true" outlineLevel="0" collapsed="false">
      <c r="A169" s="291"/>
      <c r="B169" s="292"/>
      <c r="C169" s="292"/>
      <c r="D169" s="292"/>
      <c r="E169" s="293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8.75" hidden="false" customHeight="true" outlineLevel="0" collapsed="false">
      <c r="A170" s="291"/>
      <c r="B170" s="292"/>
      <c r="C170" s="292"/>
      <c r="D170" s="292"/>
      <c r="E170" s="293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8.75" hidden="false" customHeight="true" outlineLevel="0" collapsed="false">
      <c r="A171" s="328" t="s">
        <v>270</v>
      </c>
      <c r="B171" s="328"/>
      <c r="C171" s="328"/>
      <c r="D171" s="328"/>
      <c r="E171" s="328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8.75" hidden="false" customHeight="true" outlineLevel="0" collapsed="false">
      <c r="A172" s="291"/>
      <c r="B172" s="329"/>
      <c r="C172" s="329"/>
      <c r="D172" s="329"/>
      <c r="E172" s="293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8.75" hidden="false" customHeight="true" outlineLevel="0" collapsed="false">
      <c r="A173" s="294" t="s">
        <v>98</v>
      </c>
      <c r="B173" s="330" t="s">
        <v>174</v>
      </c>
      <c r="C173" s="331"/>
      <c r="D173" s="330" t="s">
        <v>33</v>
      </c>
      <c r="E173" s="297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8.75" hidden="false" customHeight="true" outlineLevel="0" collapsed="false">
      <c r="A174" s="298" t="s">
        <v>254</v>
      </c>
      <c r="B174" s="332" t="n">
        <f aca="false">A167</f>
        <v>12</v>
      </c>
      <c r="C174" s="333"/>
      <c r="D174" s="331" t="n">
        <f aca="false">B166</f>
        <v>5000</v>
      </c>
      <c r="E174" s="297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8.75" hidden="false" customHeight="true" outlineLevel="0" collapsed="false">
      <c r="A175" s="294"/>
      <c r="B175" s="330"/>
      <c r="C175" s="330"/>
      <c r="D175" s="330"/>
      <c r="E175" s="297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8.75" hidden="false" customHeight="true" outlineLevel="0" collapsed="false">
      <c r="A176" s="294" t="s">
        <v>92</v>
      </c>
      <c r="B176" s="330" t="s">
        <v>271</v>
      </c>
      <c r="C176" s="331"/>
      <c r="D176" s="330" t="s">
        <v>272</v>
      </c>
      <c r="E176" s="297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8.75" hidden="false" customHeight="true" outlineLevel="0" collapsed="false">
      <c r="A177" s="298" t="n">
        <f aca="false">B96</f>
        <v>627.567399489041</v>
      </c>
      <c r="B177" s="331" t="n">
        <f aca="false">IF(A111="YES", B95, 0)</f>
        <v>65</v>
      </c>
      <c r="C177" s="334"/>
      <c r="D177" s="331" t="n">
        <f aca="false">B91</f>
        <v>11433.95</v>
      </c>
      <c r="E177" s="297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8.75" hidden="false" customHeight="true" outlineLevel="0" collapsed="false">
      <c r="A178" s="291"/>
      <c r="B178" s="329"/>
      <c r="C178" s="329"/>
      <c r="D178" s="329"/>
      <c r="E178" s="293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8.75" hidden="false" customHeight="true" outlineLevel="0" collapsed="false">
      <c r="A179" s="304" t="s">
        <v>23</v>
      </c>
      <c r="B179" s="335" t="s">
        <v>277</v>
      </c>
      <c r="C179" s="223"/>
      <c r="D179" s="335" t="s">
        <v>278</v>
      </c>
      <c r="E179" s="293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8.75" hidden="false" customHeight="true" outlineLevel="0" collapsed="false">
      <c r="A180" s="309" t="str">
        <f aca="false">B105</f>
        <v>Terminal pause with 9 down</v>
      </c>
      <c r="B180" s="37" t="n">
        <f aca="false">B96*B63</f>
        <v>5648.10659540137</v>
      </c>
      <c r="C180" s="329"/>
      <c r="D180" s="37" t="n">
        <f aca="false">IF(A111="YES", B95*B63, 0)</f>
        <v>585</v>
      </c>
      <c r="E180" s="293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8.75" hidden="false" customHeight="true" outlineLevel="0" collapsed="false">
      <c r="A181" s="291"/>
      <c r="B181" s="329"/>
      <c r="C181" s="329"/>
      <c r="D181" s="329"/>
      <c r="E181" s="293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8.75" hidden="false" customHeight="true" outlineLevel="0" collapsed="false">
      <c r="A182" s="123" t="s">
        <v>283</v>
      </c>
      <c r="B182" s="38" t="s">
        <v>284</v>
      </c>
      <c r="C182" s="336"/>
      <c r="D182" s="233" t="s">
        <v>177</v>
      </c>
      <c r="E182" s="293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8.75" hidden="false" customHeight="true" outlineLevel="0" collapsed="false">
      <c r="A183" s="70" t="n">
        <f aca="false">B97*B63</f>
        <v>6233.10659540137</v>
      </c>
      <c r="B183" s="37" t="n">
        <f aca="false">E120</f>
        <v>4000</v>
      </c>
      <c r="C183" s="329"/>
      <c r="D183" s="337" t="n">
        <f aca="false">B64</f>
        <v>3</v>
      </c>
      <c r="E183" s="293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8.75" hidden="false" customHeight="true" outlineLevel="0" collapsed="false">
      <c r="A184" s="70"/>
      <c r="B184" s="338"/>
      <c r="C184" s="329"/>
      <c r="D184" s="329"/>
      <c r="E184" s="293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8.75" hidden="false" customHeight="true" outlineLevel="0" collapsed="false">
      <c r="A185" s="78" t="s">
        <v>92</v>
      </c>
      <c r="B185" s="339" t="s">
        <v>271</v>
      </c>
      <c r="C185" s="329"/>
      <c r="D185" s="329" t="s">
        <v>272</v>
      </c>
      <c r="E185" s="293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8.75" hidden="false" customHeight="true" outlineLevel="0" collapsed="false">
      <c r="A186" s="70" t="n">
        <f aca="false">B96</f>
        <v>627.567399489041</v>
      </c>
      <c r="B186" s="37" t="n">
        <f aca="false">IF(A111="YES", B95, 0)</f>
        <v>65</v>
      </c>
      <c r="C186" s="329"/>
      <c r="D186" s="37" t="n">
        <f aca="false">B97</f>
        <v>692.567399489041</v>
      </c>
      <c r="E186" s="293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8.75" hidden="false" customHeight="true" outlineLevel="0" collapsed="false">
      <c r="A187" s="291"/>
      <c r="B187" s="329"/>
      <c r="C187" s="329"/>
      <c r="D187" s="329"/>
      <c r="E187" s="293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8.75" hidden="false" customHeight="true" outlineLevel="0" collapsed="false">
      <c r="A188" s="314" t="s">
        <v>180</v>
      </c>
      <c r="B188" s="340" t="s">
        <v>291</v>
      </c>
      <c r="C188" s="37"/>
      <c r="D188" s="340" t="s">
        <v>182</v>
      </c>
      <c r="E188" s="177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8.75" hidden="false" customHeight="true" outlineLevel="0" collapsed="false">
      <c r="A189" s="316" t="n">
        <f aca="false">(G18*0.000006)*1.2*100</f>
        <v>41.6772</v>
      </c>
      <c r="B189" s="341" t="n">
        <f aca="false">G18*0.000002 *1.2*100</f>
        <v>13.8924</v>
      </c>
      <c r="C189" s="329"/>
      <c r="D189" s="341" t="n">
        <f aca="false">A189+B189</f>
        <v>55.5696</v>
      </c>
      <c r="E189" s="293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8.75" hidden="false" customHeight="true" outlineLevel="0" collapsed="false">
      <c r="A190" s="316"/>
      <c r="B190" s="341"/>
      <c r="C190" s="329"/>
      <c r="D190" s="341"/>
      <c r="E190" s="293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8.75" hidden="false" customHeight="true" outlineLevel="0" collapsed="false">
      <c r="A191" s="314" t="s">
        <v>295</v>
      </c>
      <c r="B191" s="340" t="s">
        <v>152</v>
      </c>
      <c r="C191" s="37"/>
      <c r="D191" s="340" t="s">
        <v>246</v>
      </c>
      <c r="E191" s="293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8.75" hidden="false" customHeight="true" outlineLevel="0" collapsed="false">
      <c r="A192" s="70" t="n">
        <v>0</v>
      </c>
      <c r="B192" s="37" t="n">
        <f aca="false">E124</f>
        <v>199.99</v>
      </c>
      <c r="C192" s="329"/>
      <c r="D192" s="152" t="n">
        <f aca="false">B108</f>
        <v>400</v>
      </c>
      <c r="E192" s="293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8.75" hidden="false" customHeight="true" outlineLevel="0" collapsed="false">
      <c r="A193" s="70"/>
      <c r="B193" s="37"/>
      <c r="C193" s="329"/>
      <c r="D193" s="37"/>
      <c r="E193" s="293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8.75" hidden="false" customHeight="true" outlineLevel="0" collapsed="false">
      <c r="A194" s="318" t="s">
        <v>298</v>
      </c>
      <c r="B194" s="319"/>
      <c r="C194" s="320"/>
      <c r="D194" s="319"/>
      <c r="E194" s="321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8.75" hidden="false" customHeight="true" outlineLevel="0" collapsed="false">
      <c r="A195" s="316"/>
      <c r="B195" s="341"/>
      <c r="C195" s="329"/>
      <c r="D195" s="341"/>
      <c r="E195" s="293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8.75" hidden="false" customHeight="true" outlineLevel="0" collapsed="false">
      <c r="A196" s="291" t="s">
        <v>299</v>
      </c>
      <c r="B196" s="329" t="s">
        <v>300</v>
      </c>
      <c r="C196" s="329"/>
      <c r="D196" s="329" t="s">
        <v>301</v>
      </c>
      <c r="E196" s="293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8.75" hidden="false" customHeight="true" outlineLevel="0" collapsed="false">
      <c r="A197" s="70" t="n">
        <f aca="false">B73</f>
        <v>578.85</v>
      </c>
      <c r="B197" s="37" t="n">
        <f aca="false">B154</f>
        <v>400</v>
      </c>
      <c r="C197" s="37"/>
      <c r="D197" s="37" t="n">
        <f aca="false">IF(A111="YES", (A41/100*B111)*B131, 0)*0.1</f>
        <v>18</v>
      </c>
      <c r="E197" s="177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8.75" hidden="false" customHeight="true" outlineLevel="0" collapsed="false">
      <c r="A198" s="291"/>
      <c r="B198" s="329"/>
      <c r="C198" s="329"/>
      <c r="D198" s="329"/>
      <c r="E198" s="293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8.75" hidden="false" customHeight="true" outlineLevel="0" collapsed="false">
      <c r="A199" s="291" t="s">
        <v>305</v>
      </c>
      <c r="B199" s="329" t="s">
        <v>297</v>
      </c>
      <c r="C199" s="329"/>
      <c r="D199" s="329" t="s">
        <v>294</v>
      </c>
      <c r="E199" s="293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8.75" hidden="false" customHeight="true" outlineLevel="0" collapsed="false">
      <c r="A200" s="70" t="n">
        <f aca="false">E124-100</f>
        <v>99.99</v>
      </c>
      <c r="B200" s="37" t="n">
        <f aca="false">(A154+B154+D154+A157)*(A149/B70)</f>
        <v>0</v>
      </c>
      <c r="C200" s="37"/>
      <c r="D200" s="37" t="n">
        <f aca="false">(A154+B154+D154+A157)-B157</f>
        <v>1096.84</v>
      </c>
      <c r="E200" s="177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8.75" hidden="false" customHeight="true" outlineLevel="0" collapsed="false">
      <c r="A201" s="291"/>
      <c r="B201" s="329"/>
      <c r="C201" s="329"/>
      <c r="D201" s="329"/>
      <c r="E201" s="293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8.75" hidden="false" customHeight="true" outlineLevel="0" collapsed="false">
      <c r="A202" s="291" t="s">
        <v>306</v>
      </c>
      <c r="B202" s="329"/>
      <c r="C202" s="329"/>
      <c r="D202" s="329"/>
      <c r="E202" s="293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8.75" hidden="false" customHeight="true" outlineLevel="0" collapsed="false">
      <c r="A203" s="70" t="n">
        <f aca="false">D108</f>
        <v>200</v>
      </c>
      <c r="B203" s="37"/>
      <c r="C203" s="329"/>
      <c r="D203" s="329"/>
      <c r="E203" s="293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8.75" hidden="false" customHeight="true" outlineLevel="0" collapsed="false">
      <c r="A204" s="342"/>
      <c r="B204" s="343"/>
      <c r="C204" s="343"/>
      <c r="D204" s="343"/>
      <c r="E204" s="344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8.75" hidden="false" customHeight="true" outlineLevel="0" collapsed="false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8.75" hidden="false" customHeight="true" outlineLevel="0" collapsed="false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8.75" hidden="false" customHeight="true" outlineLevel="0" collapsed="false">
      <c r="A207" s="328" t="s">
        <v>185</v>
      </c>
      <c r="B207" s="328"/>
      <c r="C207" s="328"/>
      <c r="D207" s="328"/>
      <c r="E207" s="328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8.75" hidden="false" customHeight="true" outlineLevel="0" collapsed="false">
      <c r="A208" s="291"/>
      <c r="B208" s="292"/>
      <c r="C208" s="292"/>
      <c r="D208" s="292"/>
      <c r="E208" s="293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8.75" hidden="false" customHeight="true" outlineLevel="0" collapsed="false">
      <c r="A209" s="294" t="s">
        <v>186</v>
      </c>
      <c r="B209" s="345" t="n">
        <f aca="false">H35</f>
        <v>0</v>
      </c>
      <c r="C209" s="296" t="s">
        <v>188</v>
      </c>
      <c r="D209" s="346" t="n">
        <f aca="false">D70</f>
        <v>4051.95</v>
      </c>
      <c r="E209" s="297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8.75" hidden="false" customHeight="true" outlineLevel="0" collapsed="false">
      <c r="A210" s="298"/>
      <c r="B210" s="299"/>
      <c r="C210" s="300"/>
      <c r="D210" s="299"/>
      <c r="E210" s="297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8.75" hidden="false" customHeight="true" outlineLevel="0" collapsed="false">
      <c r="A211" s="294" t="s">
        <v>189</v>
      </c>
      <c r="B211" s="296" t="n">
        <f aca="false">B219</f>
        <v>578.85</v>
      </c>
      <c r="C211" s="295" t="s">
        <v>190</v>
      </c>
      <c r="D211" s="346" t="n">
        <f aca="false">B225+E221+B221+B223</f>
        <v>519.99</v>
      </c>
      <c r="E211" s="297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8.75" hidden="false" customHeight="true" outlineLevel="0" collapsed="false">
      <c r="A212" s="294"/>
      <c r="B212" s="347"/>
      <c r="C212" s="296"/>
      <c r="D212" s="295"/>
      <c r="E212" s="297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8.75" hidden="false" customHeight="true" outlineLevel="0" collapsed="false">
      <c r="A213" s="298" t="s">
        <v>191</v>
      </c>
      <c r="B213" s="296" t="n">
        <f aca="false">E223</f>
        <v>3993.09</v>
      </c>
      <c r="C213" s="300"/>
      <c r="D213" s="296"/>
      <c r="E213" s="297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8.75" hidden="false" customHeight="true" outlineLevel="0" collapsed="false">
      <c r="A214" s="291"/>
      <c r="B214" s="313"/>
      <c r="C214" s="292"/>
      <c r="D214" s="292"/>
      <c r="E214" s="293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8.75" hidden="false" customHeight="true" outlineLevel="0" collapsed="false">
      <c r="A215" s="222" t="s">
        <v>186</v>
      </c>
      <c r="B215" s="348" t="n">
        <v>0.065</v>
      </c>
      <c r="C215" s="306"/>
      <c r="D215" s="305"/>
      <c r="E215" s="293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8.75" hidden="false" customHeight="true" outlineLevel="0" collapsed="false">
      <c r="A216" s="349"/>
      <c r="B216" s="200"/>
      <c r="C216" s="292"/>
      <c r="D216" s="201"/>
      <c r="E216" s="293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8.75" hidden="false" customHeight="true" outlineLevel="0" collapsed="false">
      <c r="A217" s="350" t="s">
        <v>188</v>
      </c>
      <c r="B217" s="60" t="n">
        <f aca="false">D70</f>
        <v>4051.95</v>
      </c>
      <c r="C217" s="351" t="s">
        <v>194</v>
      </c>
      <c r="D217" s="292"/>
      <c r="E217" s="352" t="n">
        <f aca="false">B72</f>
        <v>0.01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8.75" hidden="false" customHeight="true" outlineLevel="0" collapsed="false">
      <c r="A218" s="69"/>
      <c r="B218" s="200"/>
      <c r="C218" s="310"/>
      <c r="D218" s="240"/>
      <c r="E218" s="293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8.75" hidden="false" customHeight="true" outlineLevel="0" collapsed="false">
      <c r="A219" s="70" t="s">
        <v>194</v>
      </c>
      <c r="B219" s="60" t="n">
        <f aca="false">B73</f>
        <v>578.85</v>
      </c>
      <c r="C219" s="310" t="s">
        <v>307</v>
      </c>
      <c r="D219" s="353"/>
      <c r="E219" s="103" t="n">
        <v>0.001</v>
      </c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8.75" hidden="false" customHeight="true" outlineLevel="0" collapsed="false">
      <c r="A220" s="70"/>
      <c r="B220" s="313"/>
      <c r="C220" s="310"/>
      <c r="D220" s="292"/>
      <c r="E220" s="293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8.75" hidden="false" customHeight="true" outlineLevel="0" collapsed="false">
      <c r="A221" s="70" t="s">
        <v>307</v>
      </c>
      <c r="B221" s="233" t="n">
        <f aca="false">B197*E219*100</f>
        <v>40</v>
      </c>
      <c r="C221" s="310" t="s">
        <v>196</v>
      </c>
      <c r="D221" s="292"/>
      <c r="E221" s="20" t="n">
        <f aca="false">A200</f>
        <v>99.99</v>
      </c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18.75" hidden="false" customHeight="true" outlineLevel="0" collapsed="false">
      <c r="A222" s="70"/>
      <c r="B222" s="200"/>
      <c r="C222" s="310"/>
      <c r="D222" s="201"/>
      <c r="E222" s="293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18.75" hidden="false" customHeight="true" outlineLevel="0" collapsed="false">
      <c r="A223" s="350" t="s">
        <v>308</v>
      </c>
      <c r="B223" s="233" t="n">
        <f aca="false">B84-(B84*(E219*100))</f>
        <v>200</v>
      </c>
      <c r="C223" s="310" t="s">
        <v>191</v>
      </c>
      <c r="D223" s="292"/>
      <c r="E223" s="20" t="n">
        <f aca="false">(B217-B211+D211)</f>
        <v>3993.09</v>
      </c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18.75" hidden="false" customHeight="true" outlineLevel="0" collapsed="false">
      <c r="A224" s="354"/>
      <c r="B224" s="315"/>
      <c r="C224" s="201"/>
      <c r="D224" s="315"/>
      <c r="E224" s="163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18.75" hidden="false" customHeight="true" outlineLevel="0" collapsed="false">
      <c r="A225" s="354" t="s">
        <v>309</v>
      </c>
      <c r="B225" s="315" t="n">
        <f aca="false">D197/0.1</f>
        <v>180</v>
      </c>
      <c r="C225" s="201"/>
      <c r="D225" s="315"/>
      <c r="E225" s="163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18.75" hidden="false" customHeight="true" outlineLevel="0" collapsed="false">
      <c r="A226" s="354"/>
      <c r="B226" s="315"/>
      <c r="C226" s="201"/>
      <c r="D226" s="315"/>
      <c r="E226" s="163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customFormat="false" ht="18.75" hidden="false" customHeight="true" outlineLevel="0" collapsed="false">
      <c r="A227" s="318" t="s">
        <v>310</v>
      </c>
      <c r="B227" s="355"/>
      <c r="C227" s="320"/>
      <c r="D227" s="319"/>
      <c r="E227" s="321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18.75" hidden="false" customHeight="true" outlineLevel="0" collapsed="false">
      <c r="A228" s="316"/>
      <c r="B228" s="356"/>
      <c r="C228" s="292"/>
      <c r="D228" s="317"/>
      <c r="E228" s="293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18.75" hidden="false" customHeight="true" outlineLevel="0" collapsed="false">
      <c r="A229" s="316" t="s">
        <v>198</v>
      </c>
      <c r="B229" s="60" t="n">
        <f aca="false">B77</f>
        <v>200</v>
      </c>
      <c r="C229" s="310" t="s">
        <v>199</v>
      </c>
      <c r="D229" s="317"/>
      <c r="E229" s="150" t="n">
        <f aca="false">B78</f>
        <v>5</v>
      </c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18.75" hidden="false" customHeight="true" outlineLevel="0" collapsed="false">
      <c r="A230" s="316"/>
      <c r="B230" s="356"/>
      <c r="C230" s="310" t="s">
        <v>200</v>
      </c>
      <c r="D230" s="317"/>
      <c r="E230" s="20" t="n">
        <f aca="false">D79</f>
        <v>260</v>
      </c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18.75" hidden="false" customHeight="true" outlineLevel="0" collapsed="false">
      <c r="A231" s="316" t="s">
        <v>201</v>
      </c>
      <c r="B231" s="357" t="n">
        <f aca="false">B74</f>
        <v>0.0075</v>
      </c>
      <c r="C231" s="310" t="s">
        <v>202</v>
      </c>
      <c r="D231" s="317"/>
      <c r="E231" s="352" t="n">
        <f aca="false">B75</f>
        <v>0.12</v>
      </c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8.75" hidden="false" customHeight="true" outlineLevel="0" collapsed="false">
      <c r="A232" s="316"/>
      <c r="B232" s="356"/>
      <c r="C232" s="310" t="s">
        <v>203</v>
      </c>
      <c r="D232" s="317"/>
      <c r="E232" s="20" t="n">
        <f aca="false">B92</f>
        <v>96.8587938684954</v>
      </c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18.75" hidden="false" customHeight="true" outlineLevel="0" collapsed="false">
      <c r="A233" s="316" t="s">
        <v>204</v>
      </c>
      <c r="B233" s="60" t="n">
        <f aca="false">B85</f>
        <v>200</v>
      </c>
      <c r="C233" s="358" t="s">
        <v>311</v>
      </c>
      <c r="D233" s="359"/>
      <c r="E233" s="150" t="n">
        <f aca="false">B80</f>
        <v>165</v>
      </c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18.75" hidden="false" customHeight="true" outlineLevel="0" collapsed="false">
      <c r="A234" s="350"/>
      <c r="B234" s="313"/>
      <c r="C234" s="358"/>
      <c r="D234" s="360"/>
      <c r="E234" s="361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18.75" hidden="false" customHeight="true" outlineLevel="0" collapsed="false">
      <c r="A235" s="70" t="s">
        <v>205</v>
      </c>
      <c r="B235" s="60" t="n">
        <f aca="false">B86</f>
        <v>200</v>
      </c>
      <c r="C235" s="362" t="s">
        <v>312</v>
      </c>
      <c r="D235" s="362"/>
      <c r="E235" s="150" t="n">
        <f aca="false">B81</f>
        <v>355</v>
      </c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18.75" hidden="false" customHeight="true" outlineLevel="0" collapsed="false">
      <c r="A236" s="291"/>
      <c r="B236" s="292"/>
      <c r="C236" s="292"/>
      <c r="D236" s="292"/>
      <c r="E236" s="293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18.75" hidden="false" customHeight="true" outlineLevel="0" collapsed="false">
      <c r="A237" s="291"/>
      <c r="B237" s="292"/>
      <c r="C237" s="292"/>
      <c r="D237" s="292"/>
      <c r="E237" s="293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18.75" hidden="false" customHeight="true" outlineLevel="0" collapsed="false">
      <c r="A238" s="70"/>
      <c r="B238" s="201"/>
      <c r="C238" s="201"/>
      <c r="D238" s="201"/>
      <c r="E238" s="177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18.75" hidden="false" customHeight="true" outlineLevel="0" collapsed="false">
      <c r="A239" s="291"/>
      <c r="B239" s="292"/>
      <c r="C239" s="292"/>
      <c r="D239" s="292"/>
      <c r="E239" s="293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18.75" hidden="false" customHeight="true" outlineLevel="0" collapsed="false">
      <c r="A240" s="291"/>
      <c r="B240" s="292"/>
      <c r="C240" s="292"/>
      <c r="D240" s="292"/>
      <c r="E240" s="293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18.75" hidden="false" customHeight="true" outlineLevel="0" collapsed="false">
      <c r="A241" s="70"/>
      <c r="B241" s="201"/>
      <c r="C241" s="292"/>
      <c r="D241" s="292"/>
      <c r="E241" s="293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18.75" hidden="false" customHeight="true" outlineLevel="0" collapsed="false">
      <c r="A242" s="342"/>
      <c r="B242" s="343"/>
      <c r="C242" s="343"/>
      <c r="D242" s="343"/>
      <c r="E242" s="344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18.75" hidden="false" customHeight="tru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18.75" hidden="false" customHeight="tru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18.75" hidden="false" customHeight="tru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18.75" hidden="false" customHeight="tru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18.75" hidden="false" customHeight="tru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18.75" hidden="false" customHeight="tru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18.75" hidden="false" customHeight="tru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18.75" hidden="false" customHeight="tru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18.75" hidden="false" customHeight="tru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18.75" hidden="false" customHeight="tru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18.75" hidden="false" customHeight="tru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18.75" hidden="false" customHeight="tru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18.75" hidden="false" customHeight="tru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18.75" hidden="false" customHeight="tru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18.75" hidden="false" customHeight="tru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18.75" hidden="false" customHeight="tru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18.75" hidden="false" customHeight="tru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18.75" hidden="false" customHeight="tru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18.75" hidden="false" customHeight="tru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18.75" hidden="false" customHeight="tru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18.75" hidden="false" customHeight="tru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18.75" hidden="false" customHeight="tru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18.75" hidden="false" customHeight="tru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18.75" hidden="false" customHeight="tru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18.75" hidden="false" customHeight="tru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18.75" hidden="false" customHeight="tru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18.75" hidden="false" customHeight="tru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18.75" hidden="false" customHeight="tru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18.75" hidden="false" customHeight="tru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18.75" hidden="false" customHeight="tru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18.75" hidden="false" customHeight="tru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18.75" hidden="false" customHeight="tru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18.75" hidden="false" customHeight="tru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18.75" hidden="false" customHeight="tru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18.75" hidden="false" customHeight="tru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18.75" hidden="false" customHeight="tru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18.75" hidden="false" customHeight="tru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18.75" hidden="false" customHeight="tru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18.75" hidden="false" customHeight="tru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18.75" hidden="false" customHeight="tru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18.75" hidden="false" customHeight="tru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18.75" hidden="false" customHeight="tru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18.75" hidden="false" customHeight="tru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18.75" hidden="false" customHeight="tru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18.75" hidden="false" customHeight="tru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18.75" hidden="false" customHeight="tru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18.75" hidden="false" customHeight="tru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18.75" hidden="false" customHeight="tru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18.75" hidden="false" customHeight="tru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18.75" hidden="false" customHeight="tru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18.75" hidden="false" customHeight="tru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18.75" hidden="false" customHeight="tru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18.75" hidden="false" customHeight="tru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18.75" hidden="false" customHeight="tru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18.75" hidden="false" customHeight="tru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18.75" hidden="false" customHeight="tru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18.75" hidden="false" customHeight="tru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18.75" hidden="false" customHeight="tru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18.75" hidden="false" customHeight="tru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18.75" hidden="false" customHeight="tru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18.75" hidden="false" customHeight="tru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18.75" hidden="false" customHeight="tru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18.75" hidden="false" customHeight="tru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18.75" hidden="false" customHeight="tru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18.75" hidden="false" customHeight="tru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18.75" hidden="false" customHeight="tru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18.75" hidden="false" customHeight="tru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18.75" hidden="false" customHeight="tru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18.75" hidden="false" customHeight="tru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18.75" hidden="false" customHeight="tru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18.75" hidden="false" customHeight="tru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18.75" hidden="false" customHeight="tru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18.75" hidden="false" customHeight="tru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18.75" hidden="false" customHeight="tru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18.75" hidden="false" customHeight="tru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18.75" hidden="false" customHeight="tru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18.75" hidden="false" customHeight="tru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18.75" hidden="false" customHeight="tru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18.75" hidden="false" customHeight="tru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18.75" hidden="false" customHeight="tru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18.75" hidden="false" customHeight="tru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18.75" hidden="false" customHeight="tru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18.75" hidden="false" customHeight="tru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18.75" hidden="false" customHeight="tru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18.75" hidden="false" customHeight="tru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18.75" hidden="false" customHeight="tru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18.75" hidden="false" customHeight="tru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18.75" hidden="false" customHeight="tru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18.75" hidden="false" customHeight="tru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18.75" hidden="false" customHeight="tru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18.75" hidden="false" customHeight="tru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18.75" hidden="false" customHeight="tru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18.75" hidden="false" customHeight="tru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18.75" hidden="false" customHeight="tru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18.75" hidden="false" customHeight="tru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18.75" hidden="false" customHeight="tru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18.75" hidden="false" customHeight="tru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18.75" hidden="false" customHeight="tru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18.75" hidden="false" customHeight="tru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18.75" hidden="false" customHeight="tru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18.75" hidden="false" customHeight="tru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18.75" hidden="false" customHeight="tru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18.75" hidden="false" customHeight="tru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18.75" hidden="false" customHeight="tru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18.75" hidden="false" customHeight="tru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18.75" hidden="false" customHeight="tru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18.75" hidden="false" customHeight="tru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18.75" hidden="false" customHeight="tru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18.75" hidden="false" customHeight="tru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18.75" hidden="false" customHeight="tru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18.75" hidden="false" customHeight="true" outlineLevel="0" collapsed="false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customFormat="false" ht="18.75" hidden="false" customHeight="true" outlineLevel="0" collapsed="false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customFormat="false" ht="18.75" hidden="false" customHeight="tru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customFormat="false" ht="18.75" hidden="false" customHeight="true" outlineLevel="0" collapsed="false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customFormat="false" ht="18.75" hidden="false" customHeight="true" outlineLevel="0" collapsed="false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customFormat="false" ht="18.75" hidden="false" customHeight="true" outlineLevel="0" collapsed="false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customFormat="false" ht="18.75" hidden="false" customHeight="true" outlineLevel="0" collapsed="false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customFormat="false" ht="18.75" hidden="false" customHeight="true" outlineLevel="0" collapsed="false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customFormat="false" ht="18.75" hidden="false" customHeight="true" outlineLevel="0" collapsed="false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48576"/>
  <sheetViews>
    <sheetView showFormulas="false" showGridLines="true" showRowColHeaders="true" showZeros="true" rightToLeft="false" tabSelected="false" showOutlineSymbols="true" defaultGridColor="true" view="normal" topLeftCell="A61" colorId="64" zoomScale="75" zoomScaleNormal="75" zoomScalePageLayoutView="100" workbookViewId="0">
      <selection pane="topLeft" activeCell="B79" activeCellId="0" sqref="B79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4" t="s">
        <v>324</v>
      </c>
      <c r="B1" s="4"/>
      <c r="C1" s="4"/>
      <c r="D1" s="4"/>
      <c r="E1" s="4"/>
      <c r="F1" s="4"/>
      <c r="G1" s="4"/>
      <c r="H1" s="4"/>
      <c r="I1" s="2"/>
      <c r="J1" s="2"/>
    </row>
    <row r="2" customFormat="false" ht="19.7" hidden="false" customHeight="false" outlineLevel="0" collapsed="false">
      <c r="A2" s="99"/>
      <c r="B2" s="8" t="s">
        <v>115</v>
      </c>
      <c r="C2" s="8"/>
      <c r="D2" s="8" t="s">
        <v>116</v>
      </c>
      <c r="E2" s="8"/>
      <c r="F2" s="8" t="s">
        <v>117</v>
      </c>
      <c r="G2" s="8"/>
      <c r="H2" s="9" t="s">
        <v>118</v>
      </c>
      <c r="I2" s="2"/>
      <c r="J2" s="2"/>
    </row>
    <row r="3" customFormat="false" ht="17.35" hidden="false" customHeight="false" outlineLevel="0" collapsed="false">
      <c r="A3" s="55" t="s">
        <v>121</v>
      </c>
      <c r="B3" s="13" t="n">
        <v>46854.17</v>
      </c>
      <c r="C3" s="13" t="n">
        <v>0</v>
      </c>
      <c r="D3" s="13" t="n">
        <v>0</v>
      </c>
      <c r="E3" s="13"/>
      <c r="F3" s="13" t="n">
        <v>833.33</v>
      </c>
      <c r="G3" s="13"/>
      <c r="H3" s="14" t="n">
        <v>0</v>
      </c>
      <c r="I3" s="2"/>
      <c r="J3" s="2"/>
    </row>
    <row r="4" customFormat="false" ht="17.35" hidden="false" customHeight="false" outlineLevel="0" collapsed="false">
      <c r="A4" s="55" t="s">
        <v>122</v>
      </c>
      <c r="B4" s="17" t="n">
        <v>0</v>
      </c>
      <c r="C4" s="17" t="n">
        <v>0</v>
      </c>
      <c r="D4" s="17" t="n">
        <v>0</v>
      </c>
      <c r="E4" s="17"/>
      <c r="F4" s="17" t="n">
        <v>0</v>
      </c>
      <c r="G4" s="17"/>
      <c r="H4" s="18"/>
      <c r="I4" s="2"/>
      <c r="J4" s="2"/>
    </row>
    <row r="5" customFormat="false" ht="17.35" hidden="false" customHeight="false" outlineLevel="0" collapsed="false">
      <c r="A5" s="55" t="s">
        <v>123</v>
      </c>
      <c r="B5" s="13" t="n">
        <v>0</v>
      </c>
      <c r="C5" s="13" t="n">
        <v>0</v>
      </c>
      <c r="D5" s="13" t="n">
        <v>0</v>
      </c>
      <c r="E5" s="13"/>
      <c r="F5" s="13" t="n">
        <v>0</v>
      </c>
      <c r="G5" s="13"/>
      <c r="H5" s="20"/>
      <c r="I5" s="2"/>
      <c r="J5" s="2"/>
    </row>
    <row r="6" customFormat="false" ht="17.35" hidden="false" customHeight="false" outlineLevel="0" collapsed="false">
      <c r="A6" s="55" t="s">
        <v>124</v>
      </c>
      <c r="B6" s="21" t="n">
        <f aca="false">(B3*B4/100)+B5</f>
        <v>0</v>
      </c>
      <c r="C6" s="21" t="n">
        <f aca="false">(C3*C4/100)+C5</f>
        <v>0</v>
      </c>
      <c r="D6" s="21" t="n">
        <f aca="false">(D3*D4/100)+D5</f>
        <v>0</v>
      </c>
      <c r="E6" s="21"/>
      <c r="F6" s="21" t="n">
        <f aca="false">(F3*F4/100)+F5</f>
        <v>0</v>
      </c>
      <c r="G6" s="21"/>
      <c r="H6" s="20"/>
      <c r="I6" s="2"/>
      <c r="J6" s="2"/>
    </row>
    <row r="7" customFormat="false" ht="17.35" hidden="false" customHeight="false" outlineLevel="0" collapsed="false">
      <c r="A7" s="55" t="s">
        <v>125</v>
      </c>
      <c r="B7" s="21" t="n">
        <f aca="false">B3-B6</f>
        <v>46854.17</v>
      </c>
      <c r="C7" s="21" t="n">
        <f aca="false">C3-C6</f>
        <v>0</v>
      </c>
      <c r="D7" s="21" t="n">
        <f aca="false">D3-D6</f>
        <v>0</v>
      </c>
      <c r="E7" s="21"/>
      <c r="F7" s="21" t="n">
        <f aca="false">F3-F6</f>
        <v>833.33</v>
      </c>
      <c r="G7" s="21"/>
      <c r="H7" s="20"/>
      <c r="I7" s="2"/>
      <c r="J7" s="2"/>
      <c r="L7" s="0"/>
      <c r="M7" s="0"/>
    </row>
    <row r="8" customFormat="false" ht="17.35" hidden="false" customHeight="false" outlineLevel="0" collapsed="false">
      <c r="A8" s="55"/>
      <c r="B8" s="25"/>
      <c r="C8" s="25"/>
      <c r="D8" s="25"/>
      <c r="E8" s="25"/>
      <c r="F8" s="25"/>
      <c r="G8" s="25"/>
      <c r="H8" s="20"/>
      <c r="I8" s="2"/>
      <c r="J8" s="2"/>
      <c r="L8" s="26" t="s">
        <v>3</v>
      </c>
      <c r="M8" s="27" t="n">
        <f aca="false">H13+H14</f>
        <v>640</v>
      </c>
    </row>
    <row r="9" customFormat="false" ht="19.7" hidden="false" customHeight="false" outlineLevel="0" collapsed="false">
      <c r="A9" s="153" t="s">
        <v>133</v>
      </c>
      <c r="B9" s="153"/>
      <c r="C9" s="153"/>
      <c r="D9" s="153"/>
      <c r="E9" s="153" t="n">
        <f aca="false">(B7+C7+D7+E3)</f>
        <v>46854.17</v>
      </c>
      <c r="F9" s="153"/>
      <c r="G9" s="29"/>
      <c r="H9" s="30" t="n">
        <f aca="false">B7+D7+F7+H3</f>
        <v>47687.5</v>
      </c>
      <c r="I9" s="2"/>
      <c r="J9" s="2"/>
      <c r="K9" s="1" t="s">
        <v>9</v>
      </c>
      <c r="L9" s="27"/>
      <c r="M9" s="27"/>
    </row>
    <row r="10" customFormat="false" ht="17.35" hidden="false" customHeight="false" outlineLevel="0" collapsed="false">
      <c r="A10" s="155" t="s">
        <v>134</v>
      </c>
      <c r="B10" s="155"/>
      <c r="C10" s="155"/>
      <c r="D10" s="155"/>
      <c r="E10" s="155" t="n">
        <v>50</v>
      </c>
      <c r="F10" s="155"/>
      <c r="G10" s="21"/>
      <c r="H10" s="14" t="n">
        <v>550</v>
      </c>
      <c r="I10" s="2"/>
      <c r="J10" s="2"/>
      <c r="K10" s="1" t="s">
        <v>10</v>
      </c>
      <c r="L10" s="32" t="s">
        <v>1</v>
      </c>
      <c r="M10" s="27" t="n">
        <f aca="false">H15-H11-M8</f>
        <v>48237.5</v>
      </c>
    </row>
    <row r="11" customFormat="false" ht="17.35" hidden="false" customHeight="false" outlineLevel="0" collapsed="false">
      <c r="A11" s="155" t="s">
        <v>135</v>
      </c>
      <c r="B11" s="155"/>
      <c r="C11" s="155"/>
      <c r="D11" s="155"/>
      <c r="E11" s="155"/>
      <c r="F11" s="155"/>
      <c r="G11" s="21"/>
      <c r="H11" s="20" t="n">
        <f aca="false">(H9+H10)*20%</f>
        <v>9647.5</v>
      </c>
      <c r="I11" s="2"/>
      <c r="J11" s="2"/>
      <c r="L11" s="27"/>
      <c r="M11" s="27"/>
    </row>
    <row r="12" customFormat="false" ht="17.35" hidden="false" customHeight="false" outlineLevel="0" collapsed="false">
      <c r="A12" s="155" t="s">
        <v>136</v>
      </c>
      <c r="B12" s="155"/>
      <c r="C12" s="155"/>
      <c r="D12" s="155"/>
      <c r="E12" s="155"/>
      <c r="F12" s="155"/>
      <c r="G12" s="21"/>
      <c r="H12" s="14" t="n">
        <v>0</v>
      </c>
      <c r="I12" s="2"/>
      <c r="J12" s="2"/>
      <c r="L12" s="0"/>
      <c r="M12" s="0"/>
    </row>
    <row r="13" customFormat="false" ht="17.35" hidden="false" customHeight="false" outlineLevel="0" collapsed="false">
      <c r="A13" s="155" t="s">
        <v>137</v>
      </c>
      <c r="B13" s="155"/>
      <c r="C13" s="155"/>
      <c r="D13" s="155"/>
      <c r="E13" s="155" t="n">
        <v>585</v>
      </c>
      <c r="F13" s="155"/>
      <c r="G13" s="21"/>
      <c r="H13" s="14" t="n">
        <v>585</v>
      </c>
      <c r="I13" s="2"/>
      <c r="J13" s="2"/>
      <c r="L13" s="0"/>
      <c r="M13" s="0"/>
    </row>
    <row r="14" customFormat="false" ht="17.35" hidden="false" customHeight="false" outlineLevel="0" collapsed="false">
      <c r="A14" s="155" t="s">
        <v>138</v>
      </c>
      <c r="B14" s="155"/>
      <c r="C14" s="155"/>
      <c r="D14" s="155"/>
      <c r="E14" s="155" t="n">
        <v>55</v>
      </c>
      <c r="F14" s="155"/>
      <c r="G14" s="21"/>
      <c r="H14" s="14" t="n">
        <v>55</v>
      </c>
      <c r="I14" s="2"/>
      <c r="J14" s="2" t="s">
        <v>13</v>
      </c>
    </row>
    <row r="15" customFormat="false" ht="17.35" hidden="false" customHeight="false" outlineLevel="0" collapsed="false">
      <c r="A15" s="155" t="s">
        <v>139</v>
      </c>
      <c r="B15" s="155"/>
      <c r="C15" s="155"/>
      <c r="D15" s="155"/>
      <c r="E15" s="155"/>
      <c r="F15" s="155"/>
      <c r="G15" s="21"/>
      <c r="H15" s="33" t="n">
        <f aca="false">(H9+H10+H13+H14+H11)-H12</f>
        <v>58525</v>
      </c>
      <c r="I15" s="2"/>
      <c r="J15" s="34" t="n">
        <f aca="false">H15</f>
        <v>58525</v>
      </c>
    </row>
    <row r="16" customFormat="false" ht="17.35" hidden="false" customHeight="false" outlineLevel="0" collapsed="false">
      <c r="A16" s="155" t="s">
        <v>140</v>
      </c>
      <c r="B16" s="155"/>
      <c r="C16" s="155"/>
      <c r="D16" s="155"/>
      <c r="E16" s="155" t="n">
        <v>120</v>
      </c>
      <c r="F16" s="155"/>
      <c r="G16" s="21"/>
      <c r="H16" s="14" t="n">
        <v>0</v>
      </c>
      <c r="I16" s="2"/>
      <c r="J16" s="2"/>
      <c r="Y16" s="36" t="s">
        <v>15</v>
      </c>
    </row>
    <row r="17" customFormat="false" ht="17.35" hidden="false" customHeight="false" outlineLevel="0" collapsed="false">
      <c r="A17" s="70" t="s">
        <v>141</v>
      </c>
      <c r="B17" s="70"/>
      <c r="C17" s="70"/>
      <c r="D17" s="70"/>
      <c r="E17" s="70"/>
      <c r="F17" s="70"/>
      <c r="G17" s="37"/>
      <c r="H17" s="20"/>
      <c r="I17" s="2"/>
      <c r="J17" s="2" t="s">
        <v>16</v>
      </c>
      <c r="Y17" s="36" t="s">
        <v>17</v>
      </c>
    </row>
    <row r="18" customFormat="false" ht="17.35" hidden="false" customHeight="false" outlineLevel="0" collapsed="false">
      <c r="A18" s="158" t="s">
        <v>15</v>
      </c>
      <c r="B18" s="159" t="s">
        <v>142</v>
      </c>
      <c r="C18" s="159"/>
      <c r="D18" s="159"/>
      <c r="E18" s="159"/>
      <c r="F18" s="159"/>
      <c r="G18" s="38"/>
      <c r="H18" s="39" t="n">
        <v>0</v>
      </c>
      <c r="I18" s="2"/>
      <c r="J18" s="34" t="n">
        <f aca="false">(B3+D3+F3+H3+H10)*1.2</f>
        <v>57885</v>
      </c>
      <c r="Y18" s="36" t="s">
        <v>18</v>
      </c>
    </row>
    <row r="19" customFormat="false" ht="17.35" hidden="false" customHeight="false" outlineLevel="0" collapsed="false">
      <c r="A19" s="158" t="s">
        <v>17</v>
      </c>
      <c r="B19" s="159" t="s">
        <v>142</v>
      </c>
      <c r="C19" s="159"/>
      <c r="D19" s="159"/>
      <c r="E19" s="159"/>
      <c r="F19" s="159"/>
      <c r="G19" s="38"/>
      <c r="H19" s="39" t="n">
        <v>0</v>
      </c>
      <c r="I19" s="2"/>
      <c r="J19" s="2"/>
      <c r="Z19" s="2" t="s">
        <v>9</v>
      </c>
    </row>
    <row r="20" customFormat="false" ht="17.35" hidden="false" customHeight="false" outlineLevel="0" collapsed="false">
      <c r="A20" s="158" t="s">
        <v>18</v>
      </c>
      <c r="B20" s="159" t="s">
        <v>142</v>
      </c>
      <c r="C20" s="159"/>
      <c r="D20" s="159"/>
      <c r="E20" s="159"/>
      <c r="F20" s="159"/>
      <c r="G20" s="38"/>
      <c r="H20" s="39" t="n">
        <v>0</v>
      </c>
      <c r="I20" s="2"/>
      <c r="J20" s="2"/>
      <c r="Z20" s="2" t="s">
        <v>10</v>
      </c>
    </row>
    <row r="21" customFormat="false" ht="19.7" hidden="false" customHeight="false" outlineLevel="0" collapsed="false">
      <c r="A21" s="449" t="s">
        <v>143</v>
      </c>
      <c r="B21" s="449"/>
      <c r="C21" s="449"/>
      <c r="D21" s="449"/>
      <c r="E21" s="449"/>
      <c r="F21" s="449"/>
      <c r="G21" s="43"/>
      <c r="H21" s="44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45"/>
      <c r="B22" s="45"/>
      <c r="C22" s="45"/>
      <c r="D22" s="45"/>
      <c r="E22" s="45"/>
      <c r="F22" s="45"/>
      <c r="G22" s="45"/>
      <c r="H22" s="45"/>
      <c r="J22" s="2"/>
      <c r="K22" s="2"/>
      <c r="P22" s="46"/>
    </row>
    <row r="23" customFormat="false" ht="17.35" hidden="false" customHeight="false" outlineLevel="0" collapsed="false">
      <c r="A23" s="45"/>
      <c r="B23" s="45"/>
      <c r="C23" s="45"/>
      <c r="D23" s="45"/>
      <c r="E23" s="45"/>
      <c r="F23" s="45"/>
      <c r="G23" s="45"/>
      <c r="H23" s="45"/>
      <c r="J23" s="2"/>
      <c r="K23" s="2"/>
      <c r="P23" s="46"/>
    </row>
    <row r="24" customFormat="false" ht="46.5" hidden="false" customHeight="true" outlineLevel="0" collapsed="false">
      <c r="A24" s="47" t="s">
        <v>21</v>
      </c>
      <c r="B24" s="47"/>
      <c r="C24" s="47"/>
      <c r="D24" s="47"/>
      <c r="E24" s="47"/>
      <c r="F24" s="47"/>
      <c r="G24" s="47"/>
      <c r="H24" s="47"/>
      <c r="I24" s="2"/>
      <c r="J24" s="2"/>
      <c r="K24" s="2"/>
      <c r="P24" s="46"/>
    </row>
    <row r="25" customFormat="false" ht="17.35" hidden="false" customHeight="false" outlineLevel="0" collapsed="false">
      <c r="A25" s="48"/>
      <c r="B25" s="49"/>
      <c r="C25" s="49"/>
      <c r="D25" s="49"/>
      <c r="E25" s="49"/>
      <c r="F25" s="49"/>
      <c r="G25" s="49"/>
      <c r="H25" s="50"/>
      <c r="I25" s="2"/>
      <c r="J25" s="2"/>
      <c r="K25" s="2"/>
      <c r="P25" s="46"/>
    </row>
    <row r="26" customFormat="false" ht="17.9" hidden="false" customHeight="false" outlineLevel="0" collapsed="false">
      <c r="A26" s="51" t="s">
        <v>22</v>
      </c>
      <c r="B26" s="52" t="s">
        <v>9</v>
      </c>
      <c r="C26" s="25"/>
      <c r="D26" s="25"/>
      <c r="E26" s="25"/>
      <c r="F26" s="25"/>
      <c r="G26" s="25"/>
      <c r="H26" s="20"/>
      <c r="I26" s="2"/>
      <c r="J26" s="53" t="s">
        <v>23</v>
      </c>
      <c r="K26" s="54" t="s">
        <v>24</v>
      </c>
      <c r="P26" s="46"/>
    </row>
    <row r="27" customFormat="false" ht="17.9" hidden="false" customHeight="false" outlineLevel="0" collapsed="false">
      <c r="A27" s="55"/>
      <c r="B27" s="25"/>
      <c r="C27" s="25"/>
      <c r="D27" s="25"/>
      <c r="E27" s="25"/>
      <c r="F27" s="25"/>
      <c r="G27" s="25"/>
      <c r="H27" s="20"/>
      <c r="I27" s="2"/>
      <c r="J27" s="56" t="s">
        <v>25</v>
      </c>
      <c r="K27" s="57" t="n">
        <v>1</v>
      </c>
      <c r="P27" s="46"/>
    </row>
    <row r="28" customFormat="false" ht="22.05" hidden="false" customHeight="false" outlineLevel="0" collapsed="false">
      <c r="A28" s="58" t="s">
        <v>26</v>
      </c>
      <c r="B28" s="58"/>
      <c r="C28" s="58"/>
      <c r="D28" s="58"/>
      <c r="E28" s="58"/>
      <c r="F28" s="58"/>
      <c r="G28" s="58"/>
      <c r="H28" s="58"/>
      <c r="I28" s="2"/>
      <c r="J28" s="56" t="s">
        <v>27</v>
      </c>
      <c r="K28" s="57"/>
      <c r="P28" s="46"/>
    </row>
    <row r="29" customFormat="false" ht="17.9" hidden="false" customHeight="false" outlineLevel="0" collapsed="false">
      <c r="A29" s="55"/>
      <c r="B29" s="25"/>
      <c r="C29" s="25"/>
      <c r="D29" s="25"/>
      <c r="E29" s="25"/>
      <c r="F29" s="25"/>
      <c r="G29" s="25"/>
      <c r="H29" s="20" t="n">
        <v>36</v>
      </c>
      <c r="I29" s="25"/>
      <c r="J29" s="53" t="s">
        <v>214</v>
      </c>
      <c r="K29" s="59" t="n">
        <v>35</v>
      </c>
      <c r="P29" s="46"/>
    </row>
    <row r="30" customFormat="false" ht="17.9" hidden="false" customHeight="false" outlineLevel="0" collapsed="false">
      <c r="A30" s="55" t="s">
        <v>29</v>
      </c>
      <c r="B30" s="60" t="s">
        <v>30</v>
      </c>
      <c r="C30" s="60"/>
      <c r="D30" s="60"/>
      <c r="E30" s="25"/>
      <c r="F30" s="25"/>
      <c r="G30" s="25"/>
      <c r="H30" s="20" t="n">
        <v>10000</v>
      </c>
      <c r="I30" s="25"/>
      <c r="J30" s="53" t="s">
        <v>31</v>
      </c>
      <c r="K30" s="61" t="n">
        <v>35000</v>
      </c>
      <c r="P30" s="46"/>
    </row>
    <row r="31" customFormat="false" ht="17.9" hidden="false" customHeight="false" outlineLevel="0" collapsed="false">
      <c r="A31" s="55"/>
      <c r="B31" s="25"/>
      <c r="C31" s="25"/>
      <c r="D31" s="25"/>
      <c r="E31" s="25"/>
      <c r="F31" s="25"/>
      <c r="G31" s="25"/>
      <c r="H31" s="20" t="n">
        <v>27500</v>
      </c>
      <c r="I31" s="25"/>
      <c r="J31" s="53" t="s">
        <v>32</v>
      </c>
      <c r="K31" s="62" t="n">
        <v>9000</v>
      </c>
      <c r="P31" s="46"/>
    </row>
    <row r="32" customFormat="false" ht="34.3" hidden="false" customHeight="false" outlineLevel="0" collapsed="false">
      <c r="A32" s="55" t="s">
        <v>28</v>
      </c>
      <c r="B32" s="25" t="s">
        <v>33</v>
      </c>
      <c r="C32" s="25"/>
      <c r="D32" s="25"/>
      <c r="E32" s="25" t="s">
        <v>34</v>
      </c>
      <c r="F32" s="25"/>
      <c r="G32" s="25"/>
      <c r="H32" s="20"/>
      <c r="I32" s="2"/>
      <c r="J32" s="53" t="s">
        <v>35</v>
      </c>
      <c r="K32" s="62" t="n">
        <v>2344.65</v>
      </c>
      <c r="P32" s="46"/>
    </row>
    <row r="33" customFormat="false" ht="34.8" hidden="false" customHeight="false" outlineLevel="0" collapsed="false">
      <c r="A33" s="63" t="n">
        <f aca="false">A52</f>
        <v>35</v>
      </c>
      <c r="B33" s="64" t="n">
        <f aca="false">B51</f>
        <v>35000</v>
      </c>
      <c r="C33" s="25"/>
      <c r="D33" s="25"/>
      <c r="E33" s="64" t="n">
        <f aca="false">K48</f>
        <v>1409.67314916584</v>
      </c>
      <c r="F33" s="64"/>
      <c r="G33" s="64"/>
      <c r="H33" s="65"/>
      <c r="I33" s="2"/>
      <c r="J33" s="56" t="s">
        <v>36</v>
      </c>
      <c r="K33" s="66" t="n">
        <f aca="false">H21-H11+(H16*20%)</f>
        <v>48877.5</v>
      </c>
      <c r="L33" s="1" t="n">
        <f aca="false">H21-H11+(H16*20%)</f>
        <v>48877.5</v>
      </c>
      <c r="P33" s="46"/>
    </row>
    <row r="34" customFormat="false" ht="17.35" hidden="false" customHeight="false" outlineLevel="0" collapsed="false">
      <c r="A34" s="55"/>
      <c r="B34" s="25"/>
      <c r="C34" s="25"/>
      <c r="D34" s="25"/>
      <c r="E34" s="67"/>
      <c r="F34" s="67"/>
      <c r="G34" s="67"/>
      <c r="H34" s="65"/>
      <c r="I34" s="2"/>
      <c r="J34" s="2"/>
      <c r="K34" s="2"/>
      <c r="P34" s="46"/>
    </row>
    <row r="35" customFormat="false" ht="21.6" hidden="false" customHeight="false" outlineLevel="0" collapsed="false">
      <c r="A35" s="55" t="s">
        <v>37</v>
      </c>
      <c r="B35" s="25" t="s">
        <v>38</v>
      </c>
      <c r="C35" s="25"/>
      <c r="D35" s="46"/>
      <c r="E35" s="25" t="s">
        <v>39</v>
      </c>
      <c r="F35" s="67"/>
      <c r="G35" s="67"/>
      <c r="H35" s="65"/>
      <c r="I35" s="2"/>
      <c r="J35" s="68" t="s">
        <v>40</v>
      </c>
      <c r="K35" s="0" t="n">
        <v>0.065</v>
      </c>
      <c r="P35" s="46"/>
    </row>
    <row r="36" customFormat="false" ht="17.35" hidden="false" customHeight="false" outlineLevel="0" collapsed="false">
      <c r="A36" s="69" t="n">
        <f aca="false">K47</f>
        <v>1342.68314916584</v>
      </c>
      <c r="B36" s="64" t="n">
        <f aca="false">IF(B26="YES", K42, "0.00")</f>
        <v>66.99</v>
      </c>
      <c r="C36" s="64"/>
      <c r="D36" s="64"/>
      <c r="E36" s="64" t="n">
        <f aca="false">K31</f>
        <v>9000</v>
      </c>
      <c r="F36" s="64"/>
      <c r="G36" s="64"/>
      <c r="H36" s="65"/>
      <c r="I36" s="2"/>
      <c r="J36" s="2" t="s">
        <v>41</v>
      </c>
      <c r="K36" s="2" t="n">
        <f aca="false">K29</f>
        <v>35</v>
      </c>
      <c r="P36" s="46"/>
    </row>
    <row r="37" customFormat="false" ht="17.35" hidden="false" customHeight="false" outlineLevel="0" collapsed="false">
      <c r="A37" s="70"/>
      <c r="B37" s="37"/>
      <c r="C37" s="67"/>
      <c r="D37" s="67"/>
      <c r="E37" s="67"/>
      <c r="F37" s="67"/>
      <c r="G37" s="67"/>
      <c r="H37" s="65"/>
      <c r="I37" s="2"/>
      <c r="J37" s="2"/>
      <c r="K37" s="2"/>
      <c r="P37" s="46"/>
    </row>
    <row r="38" customFormat="false" ht="17.35" hidden="false" customHeight="false" outlineLevel="0" collapsed="false">
      <c r="A38" s="55"/>
      <c r="B38" s="25"/>
      <c r="C38" s="67"/>
      <c r="D38" s="67"/>
      <c r="E38" s="67"/>
      <c r="F38" s="67"/>
      <c r="G38" s="67"/>
      <c r="H38" s="65"/>
      <c r="J38" s="71" t="s">
        <v>42</v>
      </c>
      <c r="K38" s="71"/>
      <c r="L38" s="2" t="n">
        <v>42030.76</v>
      </c>
      <c r="N38" s="1" t="n">
        <f aca="false">80.88*36</f>
        <v>2911.68</v>
      </c>
      <c r="P38" s="46"/>
    </row>
    <row r="39" customFormat="false" ht="17.35" hidden="false" customHeight="false" outlineLevel="0" collapsed="false">
      <c r="A39" s="55" t="s">
        <v>43</v>
      </c>
      <c r="B39" s="25" t="s">
        <v>44</v>
      </c>
      <c r="C39" s="25"/>
      <c r="D39" s="46"/>
      <c r="E39" s="25" t="s">
        <v>45</v>
      </c>
      <c r="F39" s="67"/>
      <c r="G39" s="67"/>
      <c r="H39" s="65"/>
      <c r="J39" s="2" t="s">
        <v>46</v>
      </c>
      <c r="K39" s="2" t="n">
        <f aca="false">K33</f>
        <v>48877.5</v>
      </c>
      <c r="L39" s="2" t="n">
        <f aca="false">(L47*K46)+K44</f>
        <v>29487.3203689542</v>
      </c>
      <c r="N39" s="1" t="n">
        <f aca="false">K39-L39</f>
        <v>19390.1796310458</v>
      </c>
      <c r="P39" s="46"/>
    </row>
    <row r="40" customFormat="false" ht="17.35" hidden="false" customHeight="false" outlineLevel="0" collapsed="false">
      <c r="A40" s="72" t="n">
        <f aca="false">E36*A45/100</f>
        <v>9000</v>
      </c>
      <c r="B40" s="72" t="n">
        <f aca="false">IF(B26="YES", K42, "0.00")</f>
        <v>66.99</v>
      </c>
      <c r="C40" s="72"/>
      <c r="D40" s="72"/>
      <c r="E40" s="73" t="n">
        <f aca="false">K32</f>
        <v>2344.65</v>
      </c>
      <c r="F40" s="67"/>
      <c r="G40" s="67"/>
      <c r="H40" s="65"/>
      <c r="J40" s="2" t="s">
        <v>47</v>
      </c>
      <c r="K40" s="2" t="n">
        <f aca="false">(A40)/1.2</f>
        <v>7500</v>
      </c>
      <c r="L40" s="2" t="n">
        <f aca="false">K39-L39</f>
        <v>19390.1796310458</v>
      </c>
      <c r="N40" s="1" t="n">
        <f aca="false">N38-N39</f>
        <v>-16478.4996310458</v>
      </c>
      <c r="P40" s="46"/>
    </row>
    <row r="41" customFormat="false" ht="17.35" hidden="false" customHeight="false" outlineLevel="0" collapsed="false">
      <c r="A41" s="55"/>
      <c r="B41" s="25"/>
      <c r="C41" s="25"/>
      <c r="D41" s="25"/>
      <c r="E41" s="25"/>
      <c r="F41" s="67"/>
      <c r="G41" s="67"/>
      <c r="H41" s="65"/>
      <c r="J41" s="2" t="s">
        <v>48</v>
      </c>
      <c r="K41" s="2" t="n">
        <f aca="false">K35/12</f>
        <v>0.00541666666666667</v>
      </c>
      <c r="L41" s="2"/>
      <c r="P41" s="46"/>
    </row>
    <row r="42" customFormat="false" ht="17.35" hidden="false" customHeight="false" outlineLevel="0" collapsed="false">
      <c r="A42" s="74"/>
      <c r="B42" s="75"/>
      <c r="C42" s="75"/>
      <c r="D42" s="75"/>
      <c r="E42" s="75"/>
      <c r="F42" s="75"/>
      <c r="G42" s="76"/>
      <c r="H42" s="77"/>
      <c r="J42" s="2" t="s">
        <v>49</v>
      </c>
      <c r="K42" s="2" t="n">
        <f aca="false">(K32/K36)*C45/100</f>
        <v>66.99</v>
      </c>
      <c r="L42" s="2"/>
      <c r="P42" s="46"/>
    </row>
    <row r="43" customFormat="false" ht="17.35" hidden="false" customHeight="false" outlineLevel="0" collapsed="false">
      <c r="A43" s="48"/>
      <c r="B43" s="49"/>
      <c r="C43" s="49"/>
      <c r="D43" s="49"/>
      <c r="E43" s="49"/>
      <c r="F43" s="49"/>
      <c r="G43" s="49"/>
      <c r="H43" s="50"/>
      <c r="J43" s="2" t="s">
        <v>50</v>
      </c>
      <c r="K43" s="2"/>
      <c r="L43" s="2"/>
      <c r="P43" s="46"/>
    </row>
    <row r="44" customFormat="false" ht="17.35" hidden="false" customHeight="false" outlineLevel="0" collapsed="false">
      <c r="A44" s="78" t="s">
        <v>51</v>
      </c>
      <c r="B44" s="25"/>
      <c r="C44" s="79" t="s">
        <v>52</v>
      </c>
      <c r="D44" s="79"/>
      <c r="E44" s="25"/>
      <c r="F44" s="25"/>
      <c r="G44" s="25"/>
      <c r="H44" s="20"/>
      <c r="J44" s="2" t="s">
        <v>53</v>
      </c>
      <c r="K44" s="2" t="n">
        <f aca="false">(K40/(1+K41)^(K36+1))</f>
        <v>6174.50826496102</v>
      </c>
      <c r="L44" s="2"/>
      <c r="P44" s="46"/>
    </row>
    <row r="45" customFormat="false" ht="17.35" hidden="false" customHeight="false" outlineLevel="0" collapsed="false">
      <c r="A45" s="80" t="n">
        <v>100</v>
      </c>
      <c r="B45" s="25"/>
      <c r="C45" s="81" t="n">
        <v>100</v>
      </c>
      <c r="D45" s="81"/>
      <c r="E45" s="81"/>
      <c r="F45" s="25"/>
      <c r="G45" s="25"/>
      <c r="H45" s="20"/>
      <c r="J45" s="2" t="s">
        <v>54</v>
      </c>
      <c r="K45" s="2" t="n">
        <f aca="false">(K39-K44)</f>
        <v>42702.991735039</v>
      </c>
      <c r="L45" s="2"/>
      <c r="P45" s="46"/>
    </row>
    <row r="46" customFormat="false" ht="17.35" hidden="false" customHeight="false" outlineLevel="0" collapsed="false">
      <c r="A46" s="74"/>
      <c r="B46" s="75"/>
      <c r="C46" s="75"/>
      <c r="D46" s="75"/>
      <c r="E46" s="75"/>
      <c r="F46" s="75"/>
      <c r="G46" s="75"/>
      <c r="H46" s="82"/>
      <c r="J46" s="2" t="s">
        <v>55</v>
      </c>
      <c r="K46" s="2" t="n">
        <f aca="false">((1-(1/((1+K41)^K36)))/K41)</f>
        <v>31.8042210938366</v>
      </c>
      <c r="L46" s="2"/>
      <c r="P46" s="46"/>
    </row>
    <row r="47" customFormat="false" ht="17.35" hidden="false" customHeight="false" outlineLevel="0" collapsed="false">
      <c r="A47" s="48"/>
      <c r="B47" s="49"/>
      <c r="C47" s="49"/>
      <c r="D47" s="49"/>
      <c r="E47" s="49"/>
      <c r="F47" s="49"/>
      <c r="G47" s="49"/>
      <c r="H47" s="50"/>
      <c r="J47" s="2" t="s">
        <v>56</v>
      </c>
      <c r="K47" s="2" t="n">
        <f aca="false">K45/K46</f>
        <v>1342.68314916584</v>
      </c>
      <c r="L47" s="2" t="n">
        <f aca="false">L49-K42</f>
        <v>733.01</v>
      </c>
      <c r="M47" s="1" t="n">
        <f aca="false">K47-L47</f>
        <v>609.673149165836</v>
      </c>
      <c r="P47" s="46"/>
    </row>
    <row r="48" customFormat="false" ht="31.8" hidden="false" customHeight="false" outlineLevel="0" collapsed="false">
      <c r="A48" s="83" t="s">
        <v>57</v>
      </c>
      <c r="B48" s="25"/>
      <c r="C48" s="25"/>
      <c r="D48" s="84"/>
      <c r="E48" s="84"/>
      <c r="F48" s="84"/>
      <c r="G48" s="84"/>
      <c r="H48" s="85"/>
      <c r="J48" s="86" t="s">
        <v>58</v>
      </c>
      <c r="K48" s="2" t="n">
        <f aca="false">IF(B26="YES", K47+K42, K47)</f>
        <v>1409.67314916584</v>
      </c>
      <c r="L48" s="2"/>
      <c r="P48" s="46"/>
    </row>
    <row r="49" customFormat="false" ht="17.35" hidden="false" customHeight="false" outlineLevel="0" collapsed="false">
      <c r="A49" s="55"/>
      <c r="B49" s="87"/>
      <c r="C49" s="87"/>
      <c r="D49" s="25"/>
      <c r="E49" s="25"/>
      <c r="F49" s="25"/>
      <c r="G49" s="25"/>
      <c r="H49" s="20"/>
      <c r="J49" s="2" t="s">
        <v>59</v>
      </c>
      <c r="K49" s="2"/>
      <c r="L49" s="2" t="n">
        <v>800</v>
      </c>
      <c r="P49" s="46"/>
    </row>
    <row r="50" customFormat="false" ht="19.7" hidden="false" customHeight="false" outlineLevel="0" collapsed="false">
      <c r="A50" s="88" t="s">
        <v>28</v>
      </c>
      <c r="B50" s="89" t="s">
        <v>33</v>
      </c>
      <c r="C50" s="89"/>
      <c r="D50" s="89"/>
      <c r="E50" s="25"/>
      <c r="F50" s="25"/>
      <c r="G50" s="25"/>
      <c r="H50" s="20"/>
      <c r="I50" s="2"/>
      <c r="J50" s="2"/>
      <c r="K50" s="2"/>
      <c r="P50" s="46"/>
    </row>
    <row r="51" customFormat="false" ht="19.5" hidden="false" customHeight="true" outlineLevel="0" collapsed="false">
      <c r="A51" s="88"/>
      <c r="B51" s="90" t="n">
        <f aca="false">K30</f>
        <v>35000</v>
      </c>
      <c r="C51" s="90"/>
      <c r="D51" s="90"/>
      <c r="E51" s="25"/>
      <c r="F51" s="25"/>
      <c r="G51" s="25"/>
      <c r="H51" s="20"/>
      <c r="I51" s="2"/>
      <c r="J51" s="2"/>
      <c r="K51" s="2"/>
      <c r="P51" s="46"/>
    </row>
    <row r="52" customFormat="false" ht="17.35" hidden="false" customHeight="false" outlineLevel="0" collapsed="false">
      <c r="A52" s="91" t="n">
        <f aca="false">K29</f>
        <v>35</v>
      </c>
      <c r="B52" s="92" t="n">
        <f aca="false">K48</f>
        <v>1409.67314916584</v>
      </c>
      <c r="C52" s="92"/>
      <c r="D52" s="92"/>
      <c r="E52" s="25"/>
      <c r="F52" s="25"/>
      <c r="G52" s="25"/>
      <c r="H52" s="20"/>
      <c r="I52" s="2"/>
      <c r="J52" s="2"/>
      <c r="K52" s="2"/>
      <c r="P52" s="46"/>
    </row>
    <row r="53" customFormat="false" ht="17.35" hidden="false" customHeight="false" outlineLevel="0" collapsed="false">
      <c r="A53" s="55"/>
      <c r="B53" s="25"/>
      <c r="C53" s="25"/>
      <c r="D53" s="25"/>
      <c r="E53" s="25"/>
      <c r="F53" s="25"/>
      <c r="G53" s="25"/>
      <c r="H53" s="20"/>
      <c r="I53" s="2"/>
      <c r="J53" s="2"/>
      <c r="K53" s="2"/>
      <c r="P53" s="46"/>
    </row>
    <row r="54" customFormat="false" ht="17.35" hidden="false" customHeight="false" outlineLevel="0" collapsed="false">
      <c r="A54" s="74"/>
      <c r="B54" s="75"/>
      <c r="C54" s="75"/>
      <c r="D54" s="75"/>
      <c r="E54" s="75"/>
      <c r="F54" s="75"/>
      <c r="G54" s="75"/>
      <c r="H54" s="82"/>
      <c r="I54" s="2"/>
      <c r="J54" s="2"/>
      <c r="K54" s="2"/>
      <c r="P54" s="46"/>
    </row>
    <row r="55" customFormat="false" ht="17.35" hidden="false" customHeight="false" outlineLevel="0" collapsed="false">
      <c r="A55" s="45"/>
      <c r="B55" s="45"/>
      <c r="C55" s="45"/>
      <c r="D55" s="45"/>
      <c r="E55" s="45"/>
      <c r="F55" s="45"/>
      <c r="G55" s="45"/>
      <c r="H55" s="45"/>
      <c r="J55" s="2"/>
      <c r="K55" s="2"/>
      <c r="P55" s="46"/>
    </row>
    <row r="56" customFormat="false" ht="17.35" hidden="false" customHeight="false" outlineLevel="0" collapsed="false">
      <c r="A56" s="45"/>
      <c r="B56" s="45"/>
      <c r="C56" s="45"/>
      <c r="D56" s="45"/>
      <c r="E56" s="45"/>
      <c r="F56" s="45"/>
      <c r="G56" s="45"/>
      <c r="H56" s="45"/>
      <c r="J56" s="2"/>
      <c r="K56" s="2"/>
      <c r="P56" s="46"/>
    </row>
    <row r="57" customFormat="false" ht="17.35" hidden="false" customHeight="false" outlineLevel="0" collapsed="false">
      <c r="A57" s="48"/>
      <c r="B57" s="49"/>
      <c r="C57" s="49"/>
      <c r="D57" s="49"/>
      <c r="E57" s="93"/>
      <c r="F57" s="93"/>
      <c r="G57" s="93"/>
      <c r="H57" s="50"/>
      <c r="J57" s="48"/>
      <c r="K57" s="49"/>
      <c r="L57" s="49"/>
      <c r="M57" s="49"/>
      <c r="N57" s="93"/>
      <c r="O57" s="93"/>
      <c r="P57" s="93"/>
      <c r="Q57" s="50"/>
      <c r="S57" s="48"/>
      <c r="T57" s="49"/>
      <c r="U57" s="49"/>
      <c r="V57" s="49"/>
      <c r="W57" s="93"/>
      <c r="X57" s="93"/>
      <c r="Y57" s="93"/>
      <c r="Z57" s="50"/>
      <c r="AB57" s="48"/>
      <c r="AC57" s="49"/>
      <c r="AD57" s="49"/>
      <c r="AE57" s="49"/>
      <c r="AF57" s="93"/>
      <c r="AG57" s="93"/>
      <c r="AH57" s="93"/>
      <c r="AI57" s="50"/>
    </row>
    <row r="58" customFormat="false" ht="17.35" hidden="false" customHeight="false" outlineLevel="0" collapsed="false">
      <c r="A58" s="55" t="s">
        <v>46</v>
      </c>
      <c r="B58" s="25" t="n">
        <v>1</v>
      </c>
      <c r="C58" s="25"/>
      <c r="D58" s="25"/>
      <c r="E58" s="94"/>
      <c r="F58" s="94"/>
      <c r="G58" s="94"/>
      <c r="H58" s="20"/>
      <c r="J58" s="55" t="s">
        <v>46</v>
      </c>
      <c r="K58" s="25" t="n">
        <v>1</v>
      </c>
      <c r="L58" s="25"/>
      <c r="M58" s="25"/>
      <c r="N58" s="94"/>
      <c r="O58" s="94"/>
      <c r="P58" s="94"/>
      <c r="Q58" s="20"/>
      <c r="S58" s="55" t="s">
        <v>46</v>
      </c>
      <c r="T58" s="25" t="n">
        <v>1</v>
      </c>
      <c r="U58" s="25"/>
      <c r="V58" s="25"/>
      <c r="W58" s="94"/>
      <c r="X58" s="94"/>
      <c r="Y58" s="94"/>
      <c r="Z58" s="20"/>
      <c r="AB58" s="55" t="s">
        <v>46</v>
      </c>
      <c r="AC58" s="25" t="n">
        <v>1</v>
      </c>
      <c r="AD58" s="25"/>
      <c r="AE58" s="25"/>
      <c r="AF58" s="94"/>
      <c r="AG58" s="94"/>
      <c r="AH58" s="94"/>
      <c r="AI58" s="20"/>
    </row>
    <row r="59" customFormat="false" ht="17.35" hidden="false" customHeight="false" outlineLevel="0" collapsed="false">
      <c r="A59" s="55" t="s">
        <v>60</v>
      </c>
      <c r="B59" s="25" t="n">
        <f aca="false">K29-B58</f>
        <v>34</v>
      </c>
      <c r="C59" s="25"/>
      <c r="D59" s="25"/>
      <c r="E59" s="94"/>
      <c r="F59" s="94"/>
      <c r="G59" s="94"/>
      <c r="H59" s="20"/>
      <c r="J59" s="55" t="s">
        <v>60</v>
      </c>
      <c r="K59" s="25" t="n">
        <f aca="false">K29-K58</f>
        <v>34</v>
      </c>
      <c r="L59" s="25"/>
      <c r="M59" s="25"/>
      <c r="N59" s="94"/>
      <c r="O59" s="94"/>
      <c r="P59" s="94"/>
      <c r="Q59" s="20"/>
      <c r="S59" s="55" t="s">
        <v>60</v>
      </c>
      <c r="T59" s="25" t="n">
        <f aca="false">K29-T58</f>
        <v>34</v>
      </c>
      <c r="U59" s="25"/>
      <c r="V59" s="25"/>
      <c r="W59" s="94"/>
      <c r="X59" s="94"/>
      <c r="Y59" s="94"/>
      <c r="Z59" s="20"/>
      <c r="AB59" s="55" t="s">
        <v>60</v>
      </c>
      <c r="AC59" s="25" t="n">
        <f aca="false">K29-AC58</f>
        <v>34</v>
      </c>
      <c r="AD59" s="25"/>
      <c r="AE59" s="25"/>
      <c r="AF59" s="94"/>
      <c r="AG59" s="94"/>
      <c r="AH59" s="94"/>
      <c r="AI59" s="20"/>
    </row>
    <row r="60" customFormat="false" ht="17.35" hidden="false" customHeight="false" outlineLevel="0" collapsed="false">
      <c r="A60" s="95" t="s">
        <v>61</v>
      </c>
      <c r="B60" s="96" t="n">
        <v>10</v>
      </c>
      <c r="C60" s="25"/>
      <c r="D60" s="25"/>
      <c r="E60" s="94"/>
      <c r="F60" s="94"/>
      <c r="G60" s="94"/>
      <c r="H60" s="20"/>
      <c r="J60" s="95" t="s">
        <v>61</v>
      </c>
      <c r="K60" s="96" t="n">
        <v>20</v>
      </c>
      <c r="L60" s="25"/>
      <c r="M60" s="25"/>
      <c r="N60" s="94"/>
      <c r="O60" s="94"/>
      <c r="P60" s="94"/>
      <c r="Q60" s="20"/>
      <c r="S60" s="95" t="s">
        <v>61</v>
      </c>
      <c r="T60" s="96" t="n">
        <v>10</v>
      </c>
      <c r="U60" s="25"/>
      <c r="V60" s="25"/>
      <c r="W60" s="94"/>
      <c r="X60" s="94"/>
      <c r="Y60" s="94"/>
      <c r="Z60" s="20"/>
      <c r="AB60" s="95" t="s">
        <v>61</v>
      </c>
      <c r="AC60" s="96" t="n">
        <v>10</v>
      </c>
      <c r="AD60" s="25"/>
      <c r="AE60" s="25"/>
      <c r="AF60" s="94"/>
      <c r="AG60" s="94"/>
      <c r="AH60" s="94"/>
      <c r="AI60" s="20"/>
    </row>
    <row r="61" customFormat="false" ht="17.35" hidden="false" customHeight="false" outlineLevel="0" collapsed="false">
      <c r="A61" s="55" t="s">
        <v>16</v>
      </c>
      <c r="B61" s="25" t="n">
        <f aca="false">J18</f>
        <v>57885</v>
      </c>
      <c r="C61" s="25"/>
      <c r="D61" s="25"/>
      <c r="E61" s="94"/>
      <c r="F61" s="94"/>
      <c r="G61" s="94"/>
      <c r="H61" s="20"/>
      <c r="J61" s="55" t="s">
        <v>16</v>
      </c>
      <c r="K61" s="25" t="n">
        <f aca="false">J18</f>
        <v>57885</v>
      </c>
      <c r="L61" s="25"/>
      <c r="M61" s="25"/>
      <c r="N61" s="94"/>
      <c r="O61" s="94"/>
      <c r="P61" s="94"/>
      <c r="Q61" s="20"/>
      <c r="S61" s="55" t="s">
        <v>16</v>
      </c>
      <c r="T61" s="25" t="n">
        <f aca="false">J18</f>
        <v>57885</v>
      </c>
      <c r="U61" s="25"/>
      <c r="V61" s="25"/>
      <c r="W61" s="94"/>
      <c r="X61" s="94"/>
      <c r="Y61" s="94"/>
      <c r="Z61" s="20"/>
      <c r="AB61" s="55" t="s">
        <v>16</v>
      </c>
      <c r="AC61" s="25" t="n">
        <f aca="false">J18</f>
        <v>57885</v>
      </c>
      <c r="AD61" s="25"/>
      <c r="AE61" s="25"/>
      <c r="AF61" s="94"/>
      <c r="AG61" s="94"/>
      <c r="AH61" s="94"/>
      <c r="AI61" s="20"/>
    </row>
    <row r="62" customFormat="false" ht="17.35" hidden="false" customHeight="false" outlineLevel="0" collapsed="false">
      <c r="A62" s="97" t="s">
        <v>62</v>
      </c>
      <c r="B62" s="98" t="n">
        <v>0</v>
      </c>
      <c r="C62" s="25"/>
      <c r="D62" s="25"/>
      <c r="E62" s="94"/>
      <c r="F62" s="94"/>
      <c r="G62" s="94"/>
      <c r="H62" s="20"/>
      <c r="J62" s="97" t="s">
        <v>62</v>
      </c>
      <c r="K62" s="98" t="n">
        <v>0.06</v>
      </c>
      <c r="L62" s="25"/>
      <c r="M62" s="25"/>
      <c r="N62" s="94"/>
      <c r="O62" s="94"/>
      <c r="P62" s="94"/>
      <c r="Q62" s="20"/>
      <c r="S62" s="97" t="s">
        <v>62</v>
      </c>
      <c r="T62" s="98" t="n">
        <f aca="false">IF(AND(K29&gt;= 12, K29&lt;=24), 0.0105, IF(AND(K29&gt;=48), -0.0075, 0))</f>
        <v>0</v>
      </c>
      <c r="U62" s="25"/>
      <c r="V62" s="25"/>
      <c r="W62" s="94"/>
      <c r="X62" s="94"/>
      <c r="Y62" s="94"/>
      <c r="Z62" s="20"/>
      <c r="AB62" s="97" t="s">
        <v>62</v>
      </c>
      <c r="AC62" s="98" t="n">
        <f aca="false">IF(AND(K29&gt;= 12, K29&lt;=24), 0.0105, IF(AND(K29&gt;=48), -0.0075, 0))</f>
        <v>0</v>
      </c>
      <c r="AD62" s="25"/>
      <c r="AE62" s="25"/>
      <c r="AF62" s="94"/>
      <c r="AG62" s="94"/>
      <c r="AH62" s="94"/>
      <c r="AI62" s="20"/>
    </row>
    <row r="63" customFormat="false" ht="17.35" hidden="false" customHeight="false" outlineLevel="0" collapsed="false">
      <c r="A63" s="99" t="s">
        <v>63</v>
      </c>
      <c r="B63" s="100" t="n">
        <v>0.065</v>
      </c>
      <c r="C63" s="25"/>
      <c r="D63" s="25"/>
      <c r="E63" s="94"/>
      <c r="F63" s="94"/>
      <c r="G63" s="94"/>
      <c r="H63" s="20"/>
      <c r="J63" s="99" t="s">
        <v>63</v>
      </c>
      <c r="K63" s="100" t="n">
        <v>0.08</v>
      </c>
      <c r="L63" s="25"/>
      <c r="M63" s="25"/>
      <c r="N63" s="94"/>
      <c r="O63" s="94"/>
      <c r="P63" s="94"/>
      <c r="Q63" s="20"/>
      <c r="S63" s="99" t="s">
        <v>63</v>
      </c>
      <c r="T63" s="100" t="n">
        <v>0.059</v>
      </c>
      <c r="U63" s="25"/>
      <c r="V63" s="25"/>
      <c r="W63" s="94"/>
      <c r="X63" s="94"/>
      <c r="Y63" s="94"/>
      <c r="Z63" s="20"/>
      <c r="AB63" s="99" t="s">
        <v>63</v>
      </c>
      <c r="AC63" s="100" t="n">
        <v>0.059</v>
      </c>
      <c r="AD63" s="25"/>
      <c r="AE63" s="25"/>
      <c r="AF63" s="94"/>
      <c r="AG63" s="94"/>
      <c r="AH63" s="94"/>
      <c r="AI63" s="20"/>
    </row>
    <row r="64" customFormat="false" ht="17.35" hidden="false" customHeight="false" outlineLevel="0" collapsed="false">
      <c r="A64" s="101" t="s">
        <v>64</v>
      </c>
      <c r="B64" s="102" t="n">
        <v>0.05</v>
      </c>
      <c r="C64" s="25"/>
      <c r="D64" s="25"/>
      <c r="E64" s="94"/>
      <c r="F64" s="94"/>
      <c r="G64" s="94"/>
      <c r="H64" s="20"/>
      <c r="J64" s="101" t="s">
        <v>64</v>
      </c>
      <c r="K64" s="102" t="n">
        <v>0.1</v>
      </c>
      <c r="L64" s="25"/>
      <c r="M64" s="25"/>
      <c r="N64" s="94"/>
      <c r="O64" s="94"/>
      <c r="P64" s="94"/>
      <c r="Q64" s="20"/>
      <c r="S64" s="101" t="s">
        <v>64</v>
      </c>
      <c r="T64" s="102" t="n">
        <f aca="false">IF(T108=AP108, 2.4%, 7.2%)</f>
        <v>0.072</v>
      </c>
      <c r="U64" s="25"/>
      <c r="V64" s="25"/>
      <c r="W64" s="94"/>
      <c r="X64" s="94"/>
      <c r="Y64" s="94"/>
      <c r="Z64" s="20"/>
      <c r="AB64" s="101" t="s">
        <v>64</v>
      </c>
      <c r="AC64" s="102" t="n">
        <f aca="false">IF(AC108=AP108, 2.4%, 7.2%)</f>
        <v>0.072</v>
      </c>
      <c r="AD64" s="25"/>
      <c r="AE64" s="25"/>
      <c r="AF64" s="94"/>
      <c r="AG64" s="94"/>
      <c r="AH64" s="94"/>
      <c r="AI64" s="20"/>
    </row>
    <row r="65" customFormat="false" ht="17.35" hidden="false" customHeight="false" outlineLevel="0" collapsed="false">
      <c r="A65" s="74" t="s">
        <v>65</v>
      </c>
      <c r="B65" s="82" t="n">
        <f aca="false">(B89*B59)-(K47*K29)</f>
        <v>25106.5530151278</v>
      </c>
      <c r="C65" s="25"/>
      <c r="D65" s="25"/>
      <c r="E65" s="94"/>
      <c r="F65" s="94"/>
      <c r="G65" s="94"/>
      <c r="H65" s="20"/>
      <c r="J65" s="74" t="s">
        <v>65</v>
      </c>
      <c r="K65" s="82" t="n">
        <f aca="false">(K89*K59)-(K47*K29)</f>
        <v>4219.71813983739</v>
      </c>
      <c r="L65" s="25"/>
      <c r="M65" s="25"/>
      <c r="N65" s="94"/>
      <c r="O65" s="94"/>
      <c r="P65" s="94"/>
      <c r="Q65" s="20"/>
      <c r="S65" s="74" t="s">
        <v>65</v>
      </c>
      <c r="T65" s="82" t="n">
        <f aca="false">(T89*T59)-(K47*K29)</f>
        <v>278.282275088859</v>
      </c>
      <c r="U65" s="25"/>
      <c r="V65" s="25"/>
      <c r="W65" s="94"/>
      <c r="X65" s="94"/>
      <c r="Y65" s="94"/>
      <c r="Z65" s="20"/>
      <c r="AB65" s="74" t="s">
        <v>65</v>
      </c>
      <c r="AC65" s="82" t="n">
        <f aca="false">(AC89*AC59)-(K47*K29)</f>
        <v>278.282275088859</v>
      </c>
      <c r="AD65" s="25"/>
      <c r="AE65" s="25"/>
      <c r="AF65" s="94"/>
      <c r="AG65" s="94"/>
      <c r="AH65" s="94"/>
      <c r="AI65" s="20"/>
    </row>
    <row r="66" customFormat="false" ht="17.35" hidden="false" customHeight="false" outlineLevel="0" collapsed="false">
      <c r="A66" s="97" t="s">
        <v>66</v>
      </c>
      <c r="B66" s="98" t="n">
        <v>0.005</v>
      </c>
      <c r="C66" s="25"/>
      <c r="D66" s="25"/>
      <c r="E66" s="94"/>
      <c r="F66" s="94"/>
      <c r="G66" s="94"/>
      <c r="H66" s="20"/>
      <c r="J66" s="97" t="s">
        <v>66</v>
      </c>
      <c r="K66" s="98" t="n">
        <v>0.05</v>
      </c>
      <c r="L66" s="25"/>
      <c r="M66" s="25"/>
      <c r="N66" s="94"/>
      <c r="O66" s="94"/>
      <c r="P66" s="94"/>
      <c r="Q66" s="20"/>
      <c r="S66" s="97" t="s">
        <v>66</v>
      </c>
      <c r="T66" s="98" t="n">
        <v>0.005</v>
      </c>
      <c r="U66" s="25"/>
      <c r="V66" s="25"/>
      <c r="W66" s="94"/>
      <c r="X66" s="94"/>
      <c r="Y66" s="94"/>
      <c r="Z66" s="20"/>
      <c r="AB66" s="97" t="s">
        <v>66</v>
      </c>
      <c r="AC66" s="98" t="n">
        <v>0.005</v>
      </c>
      <c r="AD66" s="25"/>
      <c r="AE66" s="25"/>
      <c r="AF66" s="94"/>
      <c r="AG66" s="94"/>
      <c r="AH66" s="94"/>
      <c r="AI66" s="20"/>
    </row>
    <row r="67" customFormat="false" ht="17.35" hidden="false" customHeight="false" outlineLevel="0" collapsed="false">
      <c r="A67" s="55" t="s">
        <v>67</v>
      </c>
      <c r="B67" s="103" t="n">
        <f aca="false">B66+(B66*0.5*(K29/12-1))</f>
        <v>0.00979166666666667</v>
      </c>
      <c r="C67" s="25"/>
      <c r="D67" s="25"/>
      <c r="E67" s="94"/>
      <c r="F67" s="94"/>
      <c r="G67" s="94"/>
      <c r="H67" s="20"/>
      <c r="J67" s="55" t="s">
        <v>67</v>
      </c>
      <c r="K67" s="103" t="n">
        <f aca="false">K66+(K66*0.25*(K29/12-1))</f>
        <v>0.0739583333333333</v>
      </c>
      <c r="L67" s="25"/>
      <c r="M67" s="25"/>
      <c r="N67" s="94"/>
      <c r="O67" s="94"/>
      <c r="P67" s="94"/>
      <c r="Q67" s="20"/>
      <c r="S67" s="55" t="s">
        <v>67</v>
      </c>
      <c r="T67" s="103" t="n">
        <f aca="false">T66+(T66*0.5*(K29/12-1))</f>
        <v>0.00979166666666667</v>
      </c>
      <c r="U67" s="25"/>
      <c r="V67" s="25"/>
      <c r="W67" s="94"/>
      <c r="X67" s="94"/>
      <c r="Y67" s="94"/>
      <c r="Z67" s="20"/>
      <c r="AB67" s="55" t="s">
        <v>67</v>
      </c>
      <c r="AC67" s="103" t="n">
        <f aca="false">AC66+(AC66*0.5*(K29/12-1))</f>
        <v>0.00979166666666667</v>
      </c>
      <c r="AD67" s="25"/>
      <c r="AE67" s="25"/>
      <c r="AF67" s="94"/>
      <c r="AG67" s="94"/>
      <c r="AH67" s="94"/>
      <c r="AI67" s="20"/>
    </row>
    <row r="68" customFormat="false" ht="17.35" hidden="false" customHeight="false" outlineLevel="0" collapsed="false">
      <c r="A68" s="74" t="s">
        <v>68</v>
      </c>
      <c r="B68" s="82" t="n">
        <f aca="false">(G158*B67)/1.2</f>
        <v>552.65801875</v>
      </c>
      <c r="C68" s="25"/>
      <c r="D68" s="25"/>
      <c r="E68" s="94"/>
      <c r="F68" s="94"/>
      <c r="G68" s="94"/>
      <c r="H68" s="20"/>
      <c r="J68" s="74" t="s">
        <v>68</v>
      </c>
      <c r="K68" s="82" t="n">
        <f aca="false">K61*K67</f>
        <v>4281.078125</v>
      </c>
      <c r="L68" s="25"/>
      <c r="M68" s="25"/>
      <c r="N68" s="94"/>
      <c r="O68" s="94"/>
      <c r="P68" s="94"/>
      <c r="Q68" s="20"/>
      <c r="S68" s="74" t="s">
        <v>68</v>
      </c>
      <c r="T68" s="82" t="n">
        <f aca="false">T61*T67</f>
        <v>566.790625</v>
      </c>
      <c r="U68" s="25"/>
      <c r="V68" s="25"/>
      <c r="W68" s="94"/>
      <c r="X68" s="94"/>
      <c r="Y68" s="94"/>
      <c r="Z68" s="20"/>
      <c r="AB68" s="74" t="s">
        <v>68</v>
      </c>
      <c r="AC68" s="82" t="n">
        <f aca="false">AH158*AC67</f>
        <v>445.214833958333</v>
      </c>
      <c r="AD68" s="25"/>
      <c r="AE68" s="25"/>
      <c r="AF68" s="94"/>
      <c r="AG68" s="94"/>
      <c r="AH68" s="94"/>
      <c r="AI68" s="20"/>
    </row>
    <row r="69" customFormat="false" ht="17.35" hidden="false" customHeight="false" outlineLevel="0" collapsed="false">
      <c r="A69" s="97" t="s">
        <v>69</v>
      </c>
      <c r="B69" s="98" t="n">
        <v>0</v>
      </c>
      <c r="C69" s="25"/>
      <c r="D69" s="25"/>
      <c r="E69" s="94"/>
      <c r="F69" s="94"/>
      <c r="G69" s="94"/>
      <c r="H69" s="20"/>
      <c r="J69" s="97" t="s">
        <v>69</v>
      </c>
      <c r="K69" s="98" t="n">
        <v>0</v>
      </c>
      <c r="L69" s="25"/>
      <c r="M69" s="25"/>
      <c r="N69" s="94"/>
      <c r="O69" s="94"/>
      <c r="P69" s="94"/>
      <c r="Q69" s="20"/>
      <c r="S69" s="97" t="s">
        <v>69</v>
      </c>
      <c r="T69" s="98" t="n">
        <v>0</v>
      </c>
      <c r="U69" s="25"/>
      <c r="V69" s="25"/>
      <c r="W69" s="94"/>
      <c r="X69" s="94"/>
      <c r="Y69" s="94"/>
      <c r="Z69" s="20"/>
      <c r="AB69" s="97" t="s">
        <v>69</v>
      </c>
      <c r="AC69" s="98" t="n">
        <v>0</v>
      </c>
      <c r="AD69" s="25"/>
      <c r="AE69" s="25"/>
      <c r="AF69" s="94"/>
      <c r="AG69" s="94"/>
      <c r="AH69" s="94"/>
      <c r="AI69" s="20"/>
    </row>
    <row r="70" customFormat="false" ht="17.35" hidden="false" customHeight="false" outlineLevel="0" collapsed="false">
      <c r="A70" s="99" t="s">
        <v>70</v>
      </c>
      <c r="B70" s="100" t="n">
        <v>0</v>
      </c>
      <c r="C70" s="25"/>
      <c r="D70" s="25"/>
      <c r="E70" s="94"/>
      <c r="F70" s="94"/>
      <c r="G70" s="94"/>
      <c r="H70" s="20"/>
      <c r="J70" s="99" t="s">
        <v>70</v>
      </c>
      <c r="K70" s="100" t="n">
        <v>0</v>
      </c>
      <c r="L70" s="25"/>
      <c r="M70" s="25"/>
      <c r="N70" s="94"/>
      <c r="O70" s="94"/>
      <c r="P70" s="94"/>
      <c r="Q70" s="20"/>
      <c r="S70" s="99" t="s">
        <v>70</v>
      </c>
      <c r="T70" s="100" t="n">
        <v>0</v>
      </c>
      <c r="U70" s="25"/>
      <c r="V70" s="25"/>
      <c r="W70" s="94"/>
      <c r="X70" s="94"/>
      <c r="Y70" s="94"/>
      <c r="Z70" s="20"/>
      <c r="AB70" s="99" t="s">
        <v>70</v>
      </c>
      <c r="AC70" s="100" t="n">
        <v>0</v>
      </c>
      <c r="AD70" s="25"/>
      <c r="AE70" s="25"/>
      <c r="AF70" s="94"/>
      <c r="AG70" s="94"/>
      <c r="AH70" s="94"/>
      <c r="AI70" s="20"/>
    </row>
    <row r="71" customFormat="false" ht="17.35" hidden="false" customHeight="false" outlineLevel="0" collapsed="false">
      <c r="A71" s="74" t="s">
        <v>71</v>
      </c>
      <c r="B71" s="104" t="n">
        <f aca="false">B69*(1+B70)</f>
        <v>0</v>
      </c>
      <c r="C71" s="25"/>
      <c r="D71" s="25"/>
      <c r="E71" s="94"/>
      <c r="F71" s="94"/>
      <c r="G71" s="94"/>
      <c r="H71" s="20"/>
      <c r="J71" s="74" t="s">
        <v>71</v>
      </c>
      <c r="K71" s="104" t="n">
        <f aca="false">K69*(1+K70)</f>
        <v>0</v>
      </c>
      <c r="L71" s="25"/>
      <c r="M71" s="25"/>
      <c r="N71" s="94"/>
      <c r="O71" s="94"/>
      <c r="P71" s="94"/>
      <c r="Q71" s="20"/>
      <c r="S71" s="74" t="s">
        <v>71</v>
      </c>
      <c r="T71" s="104" t="n">
        <f aca="false">T69*(1+T70)</f>
        <v>0</v>
      </c>
      <c r="U71" s="25"/>
      <c r="V71" s="25"/>
      <c r="W71" s="94"/>
      <c r="X71" s="94"/>
      <c r="Y71" s="94"/>
      <c r="Z71" s="20"/>
      <c r="AB71" s="74" t="s">
        <v>71</v>
      </c>
      <c r="AC71" s="104" t="n">
        <f aca="false">AC69*(1+AC70)</f>
        <v>0</v>
      </c>
      <c r="AD71" s="25"/>
      <c r="AE71" s="25"/>
      <c r="AF71" s="94"/>
      <c r="AG71" s="94"/>
      <c r="AH71" s="94"/>
      <c r="AI71" s="20"/>
    </row>
    <row r="72" customFormat="false" ht="17.35" hidden="false" customHeight="false" outlineLevel="0" collapsed="false">
      <c r="A72" s="97" t="s">
        <v>72</v>
      </c>
      <c r="B72" s="105" t="n">
        <v>0</v>
      </c>
      <c r="C72" s="25"/>
      <c r="D72" s="25"/>
      <c r="E72" s="94"/>
      <c r="F72" s="94"/>
      <c r="G72" s="94"/>
      <c r="H72" s="20"/>
      <c r="J72" s="97" t="s">
        <v>72</v>
      </c>
      <c r="K72" s="105" t="n">
        <v>0</v>
      </c>
      <c r="L72" s="25"/>
      <c r="M72" s="25"/>
      <c r="N72" s="94"/>
      <c r="O72" s="94"/>
      <c r="P72" s="94"/>
      <c r="Q72" s="20"/>
      <c r="S72" s="97" t="s">
        <v>72</v>
      </c>
      <c r="T72" s="105" t="n">
        <v>0</v>
      </c>
      <c r="U72" s="25"/>
      <c r="V72" s="25"/>
      <c r="W72" s="94"/>
      <c r="X72" s="94"/>
      <c r="Y72" s="94"/>
      <c r="Z72" s="20"/>
      <c r="AB72" s="97" t="s">
        <v>72</v>
      </c>
      <c r="AC72" s="105" t="n">
        <v>0</v>
      </c>
      <c r="AD72" s="25"/>
      <c r="AE72" s="25"/>
      <c r="AF72" s="94"/>
      <c r="AG72" s="94"/>
      <c r="AH72" s="94"/>
      <c r="AI72" s="20"/>
    </row>
    <row r="73" customFormat="false" ht="17.35" hidden="false" customHeight="false" outlineLevel="0" collapsed="false">
      <c r="A73" s="99" t="s">
        <v>73</v>
      </c>
      <c r="B73" s="96" t="n">
        <v>0</v>
      </c>
      <c r="C73" s="25"/>
      <c r="D73" s="25"/>
      <c r="E73" s="94"/>
      <c r="F73" s="94"/>
      <c r="G73" s="94"/>
      <c r="H73" s="20"/>
      <c r="J73" s="99" t="s">
        <v>73</v>
      </c>
      <c r="K73" s="96" t="n">
        <v>0</v>
      </c>
      <c r="L73" s="25"/>
      <c r="M73" s="25"/>
      <c r="N73" s="94"/>
      <c r="O73" s="94"/>
      <c r="P73" s="94"/>
      <c r="Q73" s="20"/>
      <c r="S73" s="99" t="s">
        <v>73</v>
      </c>
      <c r="T73" s="96" t="n">
        <v>0</v>
      </c>
      <c r="U73" s="25"/>
      <c r="V73" s="25"/>
      <c r="W73" s="94"/>
      <c r="X73" s="94"/>
      <c r="Y73" s="94"/>
      <c r="Z73" s="20"/>
      <c r="AB73" s="99" t="s">
        <v>73</v>
      </c>
      <c r="AC73" s="96" t="n">
        <v>0</v>
      </c>
      <c r="AD73" s="25"/>
      <c r="AE73" s="25"/>
      <c r="AF73" s="94"/>
      <c r="AG73" s="94"/>
      <c r="AH73" s="94"/>
      <c r="AI73" s="20"/>
    </row>
    <row r="74" customFormat="false" ht="17.35" hidden="false" customHeight="false" outlineLevel="0" collapsed="false">
      <c r="A74" s="74" t="s">
        <v>74</v>
      </c>
      <c r="B74" s="82" t="n">
        <f aca="false">B73*K29</f>
        <v>0</v>
      </c>
      <c r="C74" s="25"/>
      <c r="D74" s="25" t="n">
        <f aca="false">B74+B72</f>
        <v>0</v>
      </c>
      <c r="E74" s="94"/>
      <c r="F74" s="94"/>
      <c r="G74" s="94"/>
      <c r="H74" s="20"/>
      <c r="J74" s="74" t="s">
        <v>74</v>
      </c>
      <c r="K74" s="82" t="n">
        <f aca="false">K73*K29</f>
        <v>0</v>
      </c>
      <c r="L74" s="25"/>
      <c r="M74" s="25" t="n">
        <f aca="false">K74+K72</f>
        <v>0</v>
      </c>
      <c r="N74" s="94"/>
      <c r="O74" s="94"/>
      <c r="P74" s="94"/>
      <c r="Q74" s="20"/>
      <c r="S74" s="74" t="s">
        <v>74</v>
      </c>
      <c r="T74" s="82" t="n">
        <f aca="false">T73*K29</f>
        <v>0</v>
      </c>
      <c r="U74" s="25"/>
      <c r="V74" s="25" t="n">
        <f aca="false">T74+T72</f>
        <v>0</v>
      </c>
      <c r="W74" s="94"/>
      <c r="X74" s="94"/>
      <c r="Y74" s="94"/>
      <c r="Z74" s="20"/>
      <c r="AB74" s="74" t="s">
        <v>74</v>
      </c>
      <c r="AC74" s="82" t="n">
        <f aca="false">AC73*K29</f>
        <v>0</v>
      </c>
      <c r="AD74" s="25"/>
      <c r="AE74" s="25" t="n">
        <f aca="false">AC74+AC72</f>
        <v>0</v>
      </c>
      <c r="AF74" s="94"/>
      <c r="AG74" s="94"/>
      <c r="AH74" s="94"/>
      <c r="AI74" s="20"/>
    </row>
    <row r="75" customFormat="false" ht="17.35" hidden="false" customHeight="false" outlineLevel="0" collapsed="false">
      <c r="A75" s="99" t="s">
        <v>75</v>
      </c>
      <c r="B75" s="96" t="n">
        <v>0</v>
      </c>
      <c r="C75" s="25"/>
      <c r="D75" s="25" t="n">
        <f aca="false">B75</f>
        <v>0</v>
      </c>
      <c r="E75" s="94"/>
      <c r="F75" s="94"/>
      <c r="G75" s="94"/>
      <c r="H75" s="20"/>
      <c r="J75" s="99" t="s">
        <v>75</v>
      </c>
      <c r="K75" s="96" t="n">
        <v>0</v>
      </c>
      <c r="L75" s="25"/>
      <c r="M75" s="25" t="n">
        <f aca="false">K75</f>
        <v>0</v>
      </c>
      <c r="N75" s="94"/>
      <c r="O75" s="94"/>
      <c r="P75" s="94"/>
      <c r="Q75" s="20"/>
      <c r="S75" s="99" t="s">
        <v>75</v>
      </c>
      <c r="T75" s="96" t="n">
        <v>0</v>
      </c>
      <c r="U75" s="25"/>
      <c r="V75" s="25" t="n">
        <f aca="false">T75</f>
        <v>0</v>
      </c>
      <c r="W75" s="94"/>
      <c r="X75" s="94"/>
      <c r="Y75" s="94"/>
      <c r="Z75" s="20"/>
      <c r="AB75" s="99" t="s">
        <v>75</v>
      </c>
      <c r="AC75" s="96" t="n">
        <v>0</v>
      </c>
      <c r="AD75" s="25"/>
      <c r="AE75" s="25" t="n">
        <f aca="false">AC75</f>
        <v>0</v>
      </c>
      <c r="AF75" s="94"/>
      <c r="AG75" s="94"/>
      <c r="AH75" s="94"/>
      <c r="AI75" s="20"/>
    </row>
    <row r="76" customFormat="false" ht="17.35" hidden="false" customHeight="false" outlineLevel="0" collapsed="false">
      <c r="A76" s="101" t="s">
        <v>76</v>
      </c>
      <c r="B76" s="106" t="n">
        <v>0</v>
      </c>
      <c r="C76" s="25"/>
      <c r="D76" s="25" t="n">
        <f aca="false">B76</f>
        <v>0</v>
      </c>
      <c r="E76" s="94"/>
      <c r="F76" s="25"/>
      <c r="G76" s="94"/>
      <c r="H76" s="20"/>
      <c r="J76" s="101" t="s">
        <v>76</v>
      </c>
      <c r="K76" s="106" t="n">
        <v>0</v>
      </c>
      <c r="L76" s="25"/>
      <c r="M76" s="25" t="n">
        <f aca="false">K76</f>
        <v>0</v>
      </c>
      <c r="N76" s="94"/>
      <c r="O76" s="94"/>
      <c r="P76" s="94"/>
      <c r="Q76" s="20"/>
      <c r="S76" s="101" t="s">
        <v>76</v>
      </c>
      <c r="T76" s="106" t="n">
        <v>0</v>
      </c>
      <c r="U76" s="25"/>
      <c r="V76" s="25" t="n">
        <f aca="false">T76</f>
        <v>0</v>
      </c>
      <c r="W76" s="94"/>
      <c r="X76" s="94"/>
      <c r="Y76" s="94"/>
      <c r="Z76" s="20"/>
      <c r="AB76" s="101" t="s">
        <v>76</v>
      </c>
      <c r="AC76" s="106" t="n">
        <v>0</v>
      </c>
      <c r="AD76" s="25"/>
      <c r="AE76" s="25" t="n">
        <f aca="false">AC76</f>
        <v>0</v>
      </c>
      <c r="AF76" s="94"/>
      <c r="AG76" s="94"/>
      <c r="AH76" s="94"/>
      <c r="AI76" s="20"/>
    </row>
    <row r="77" customFormat="false" ht="17.35" hidden="false" customHeight="false" outlineLevel="0" collapsed="false">
      <c r="A77" s="107" t="s">
        <v>77</v>
      </c>
      <c r="B77" s="108" t="n">
        <f aca="false">SUM(D65:D76)</f>
        <v>0</v>
      </c>
      <c r="C77" s="25"/>
      <c r="D77" s="25"/>
      <c r="E77" s="94"/>
      <c r="F77" s="25"/>
      <c r="G77" s="25"/>
      <c r="H77" s="20"/>
      <c r="J77" s="107" t="s">
        <v>77</v>
      </c>
      <c r="K77" s="108" t="n">
        <f aca="false">SUM(M65:M76)</f>
        <v>0</v>
      </c>
      <c r="L77" s="25"/>
      <c r="M77" s="25"/>
      <c r="N77" s="94"/>
      <c r="O77" s="94"/>
      <c r="P77" s="94"/>
      <c r="Q77" s="20"/>
      <c r="S77" s="107" t="s">
        <v>77</v>
      </c>
      <c r="T77" s="108" t="n">
        <f aca="false">SUM(V65:V76)</f>
        <v>0</v>
      </c>
      <c r="U77" s="25"/>
      <c r="V77" s="25"/>
      <c r="W77" s="94"/>
      <c r="X77" s="94"/>
      <c r="Y77" s="94"/>
      <c r="Z77" s="20"/>
      <c r="AB77" s="107" t="s">
        <v>77</v>
      </c>
      <c r="AC77" s="108" t="n">
        <f aca="false">SUM(AE65:AE76)</f>
        <v>0</v>
      </c>
      <c r="AD77" s="25"/>
      <c r="AE77" s="25"/>
      <c r="AF77" s="94"/>
      <c r="AG77" s="94"/>
      <c r="AH77" s="94"/>
      <c r="AI77" s="20"/>
    </row>
    <row r="78" customFormat="false" ht="17.35" hidden="false" customHeight="false" outlineLevel="0" collapsed="false">
      <c r="A78" s="55" t="s">
        <v>78</v>
      </c>
      <c r="B78" s="20" t="n">
        <f aca="false">B77/K29</f>
        <v>0</v>
      </c>
      <c r="C78" s="25"/>
      <c r="D78" s="25"/>
      <c r="E78" s="94"/>
      <c r="F78" s="94"/>
      <c r="G78" s="94"/>
      <c r="H78" s="20"/>
      <c r="J78" s="55" t="s">
        <v>78</v>
      </c>
      <c r="K78" s="20" t="n">
        <f aca="false">K77/K29</f>
        <v>0</v>
      </c>
      <c r="L78" s="25"/>
      <c r="M78" s="25"/>
      <c r="N78" s="94"/>
      <c r="O78" s="94"/>
      <c r="P78" s="94"/>
      <c r="Q78" s="20"/>
      <c r="S78" s="55" t="s">
        <v>78</v>
      </c>
      <c r="T78" s="20" t="n">
        <f aca="false">T77/K29</f>
        <v>0</v>
      </c>
      <c r="U78" s="25"/>
      <c r="V78" s="25"/>
      <c r="W78" s="94"/>
      <c r="X78" s="94"/>
      <c r="Y78" s="94"/>
      <c r="Z78" s="20"/>
      <c r="AB78" s="55" t="s">
        <v>78</v>
      </c>
      <c r="AC78" s="20" t="n">
        <f aca="false">AC77/K29</f>
        <v>0</v>
      </c>
      <c r="AD78" s="25"/>
      <c r="AE78" s="25"/>
      <c r="AF78" s="94"/>
      <c r="AG78" s="94"/>
      <c r="AH78" s="94"/>
      <c r="AI78" s="20"/>
    </row>
    <row r="79" customFormat="false" ht="17.35" hidden="false" customHeight="false" outlineLevel="0" collapsed="false">
      <c r="A79" s="109" t="s">
        <v>79</v>
      </c>
      <c r="B79" s="77" t="n">
        <f aca="false">K47</f>
        <v>1342.68314916584</v>
      </c>
      <c r="C79" s="25"/>
      <c r="D79" s="25"/>
      <c r="E79" s="94"/>
      <c r="F79" s="94"/>
      <c r="G79" s="94"/>
      <c r="H79" s="20"/>
      <c r="J79" s="109" t="s">
        <v>79</v>
      </c>
      <c r="K79" s="77" t="n">
        <f aca="false">K47</f>
        <v>1342.68314916584</v>
      </c>
      <c r="L79" s="25"/>
      <c r="M79" s="25"/>
      <c r="N79" s="94"/>
      <c r="O79" s="94"/>
      <c r="P79" s="94"/>
      <c r="Q79" s="20"/>
      <c r="S79" s="109" t="s">
        <v>79</v>
      </c>
      <c r="T79" s="77" t="n">
        <f aca="false">B52</f>
        <v>1409.67314916584</v>
      </c>
      <c r="U79" s="25"/>
      <c r="V79" s="25"/>
      <c r="W79" s="94"/>
      <c r="X79" s="94"/>
      <c r="Y79" s="94"/>
      <c r="Z79" s="20"/>
      <c r="AB79" s="109" t="s">
        <v>79</v>
      </c>
      <c r="AC79" s="77" t="n">
        <f aca="false">B52</f>
        <v>1409.67314916584</v>
      </c>
      <c r="AD79" s="25"/>
      <c r="AE79" s="25"/>
      <c r="AF79" s="94"/>
      <c r="AG79" s="94"/>
      <c r="AH79" s="94"/>
      <c r="AI79" s="20"/>
    </row>
    <row r="80" customFormat="false" ht="17.35" hidden="false" customHeight="false" outlineLevel="0" collapsed="false">
      <c r="A80" s="55"/>
      <c r="B80" s="25"/>
      <c r="C80" s="25"/>
      <c r="D80" s="25"/>
      <c r="E80" s="94"/>
      <c r="F80" s="94"/>
      <c r="G80" s="94"/>
      <c r="H80" s="20"/>
      <c r="J80" s="55"/>
      <c r="K80" s="25"/>
      <c r="L80" s="25"/>
      <c r="M80" s="25"/>
      <c r="N80" s="94"/>
      <c r="O80" s="94"/>
      <c r="P80" s="94"/>
      <c r="Q80" s="20"/>
      <c r="S80" s="55"/>
      <c r="T80" s="25"/>
      <c r="U80" s="25"/>
      <c r="V80" s="25"/>
      <c r="W80" s="94"/>
      <c r="X80" s="94"/>
      <c r="Y80" s="94"/>
      <c r="Z80" s="20"/>
      <c r="AB80" s="55"/>
      <c r="AC80" s="25"/>
      <c r="AD80" s="25"/>
      <c r="AE80" s="25"/>
      <c r="AF80" s="94"/>
      <c r="AG80" s="94"/>
      <c r="AH80" s="94"/>
      <c r="AI80" s="20"/>
    </row>
    <row r="81" customFormat="false" ht="17.35" hidden="false" customHeight="false" outlineLevel="0" collapsed="false">
      <c r="A81" s="48" t="s">
        <v>80</v>
      </c>
      <c r="B81" s="50" t="n">
        <f aca="false">G158</f>
        <v>67730.004</v>
      </c>
      <c r="C81" s="25"/>
      <c r="D81" s="25"/>
      <c r="E81" s="94"/>
      <c r="F81" s="94"/>
      <c r="G81" s="94"/>
      <c r="H81" s="20"/>
      <c r="J81" s="48" t="s">
        <v>80</v>
      </c>
      <c r="K81" s="50" t="n">
        <f aca="false">P158</f>
        <v>37655</v>
      </c>
      <c r="L81" s="25"/>
      <c r="M81" s="25"/>
      <c r="N81" s="94"/>
      <c r="O81" s="94"/>
      <c r="P81" s="94"/>
      <c r="Q81" s="20"/>
      <c r="S81" s="48" t="s">
        <v>80</v>
      </c>
      <c r="T81" s="50" t="n">
        <f aca="false">Y158</f>
        <v>45468.749</v>
      </c>
      <c r="U81" s="25"/>
      <c r="V81" s="25"/>
      <c r="W81" s="94"/>
      <c r="X81" s="94"/>
      <c r="Y81" s="94"/>
      <c r="Z81" s="20"/>
      <c r="AB81" s="48" t="s">
        <v>80</v>
      </c>
      <c r="AC81" s="50" t="n">
        <f aca="false">AH158</f>
        <v>45468.749</v>
      </c>
      <c r="AD81" s="25"/>
      <c r="AE81" s="25"/>
      <c r="AF81" s="94"/>
      <c r="AG81" s="94"/>
      <c r="AH81" s="94"/>
      <c r="AI81" s="20"/>
    </row>
    <row r="82" customFormat="false" ht="17.35" hidden="false" customHeight="false" outlineLevel="0" collapsed="false">
      <c r="A82" s="55" t="s">
        <v>47</v>
      </c>
      <c r="B82" s="20" t="n">
        <f aca="false">IF(A111 = "Yes", A40, 0)</f>
        <v>9000</v>
      </c>
      <c r="C82" s="25"/>
      <c r="D82" s="25"/>
      <c r="E82" s="94"/>
      <c r="F82" s="94"/>
      <c r="G82" s="94"/>
      <c r="H82" s="20"/>
      <c r="J82" s="55" t="s">
        <v>47</v>
      </c>
      <c r="K82" s="20" t="n">
        <f aca="false">IF(J111 = "YES", A40, 0)</f>
        <v>0</v>
      </c>
      <c r="L82" s="25"/>
      <c r="M82" s="25"/>
      <c r="N82" s="94"/>
      <c r="O82" s="94"/>
      <c r="P82" s="94"/>
      <c r="Q82" s="20"/>
      <c r="S82" s="55" t="s">
        <v>47</v>
      </c>
      <c r="T82" s="20" t="n">
        <f aca="false">A40</f>
        <v>9000</v>
      </c>
      <c r="U82" s="25"/>
      <c r="V82" s="25"/>
      <c r="W82" s="94"/>
      <c r="X82" s="94"/>
      <c r="Y82" s="94"/>
      <c r="Z82" s="20"/>
      <c r="AB82" s="55" t="s">
        <v>47</v>
      </c>
      <c r="AC82" s="20" t="n">
        <f aca="false">A40</f>
        <v>9000</v>
      </c>
      <c r="AD82" s="25"/>
      <c r="AE82" s="25"/>
      <c r="AF82" s="94"/>
      <c r="AG82" s="94"/>
      <c r="AH82" s="94"/>
      <c r="AI82" s="20"/>
    </row>
    <row r="83" customFormat="false" ht="17.35" hidden="false" customHeight="false" outlineLevel="0" collapsed="false">
      <c r="A83" s="55" t="s">
        <v>81</v>
      </c>
      <c r="B83" s="110" t="n">
        <f aca="false">B62+B63+B64</f>
        <v>0.115</v>
      </c>
      <c r="C83" s="25"/>
      <c r="D83" s="25"/>
      <c r="E83" s="94"/>
      <c r="F83" s="94"/>
      <c r="G83" s="94"/>
      <c r="H83" s="20"/>
      <c r="J83" s="55" t="s">
        <v>81</v>
      </c>
      <c r="K83" s="103" t="n">
        <f aca="false">K62+K63+K64</f>
        <v>0.24</v>
      </c>
      <c r="L83" s="25"/>
      <c r="M83" s="25"/>
      <c r="N83" s="94"/>
      <c r="O83" s="94"/>
      <c r="P83" s="94"/>
      <c r="Q83" s="20"/>
      <c r="S83" s="55" t="s">
        <v>81</v>
      </c>
      <c r="T83" s="103" t="n">
        <f aca="false">T62+T63+T64</f>
        <v>0.131</v>
      </c>
      <c r="U83" s="25"/>
      <c r="V83" s="25"/>
      <c r="W83" s="94"/>
      <c r="X83" s="94"/>
      <c r="Y83" s="94"/>
      <c r="Z83" s="20"/>
      <c r="AB83" s="55" t="s">
        <v>81</v>
      </c>
      <c r="AC83" s="103" t="n">
        <f aca="false">AC62+AC63+AC64</f>
        <v>0.131</v>
      </c>
      <c r="AD83" s="25"/>
      <c r="AE83" s="25"/>
      <c r="AF83" s="94"/>
      <c r="AG83" s="94"/>
      <c r="AH83" s="94"/>
      <c r="AI83" s="20"/>
    </row>
    <row r="84" customFormat="false" ht="17.35" hidden="false" customHeight="false" outlineLevel="0" collapsed="false">
      <c r="A84" s="55" t="s">
        <v>82</v>
      </c>
      <c r="B84" s="103" t="n">
        <f aca="false">B83/12</f>
        <v>0.00958333333333333</v>
      </c>
      <c r="C84" s="25"/>
      <c r="D84" s="25"/>
      <c r="E84" s="94"/>
      <c r="F84" s="94"/>
      <c r="G84" s="94"/>
      <c r="H84" s="20"/>
      <c r="J84" s="55" t="s">
        <v>82</v>
      </c>
      <c r="K84" s="103" t="n">
        <f aca="false">K83/12</f>
        <v>0.02</v>
      </c>
      <c r="L84" s="25"/>
      <c r="M84" s="25"/>
      <c r="N84" s="94"/>
      <c r="O84" s="94"/>
      <c r="P84" s="94"/>
      <c r="Q84" s="20"/>
      <c r="S84" s="55" t="s">
        <v>82</v>
      </c>
      <c r="T84" s="103" t="n">
        <f aca="false">T83/12</f>
        <v>0.0109166666666667</v>
      </c>
      <c r="U84" s="25"/>
      <c r="V84" s="25"/>
      <c r="W84" s="94"/>
      <c r="X84" s="94"/>
      <c r="Y84" s="94"/>
      <c r="Z84" s="20"/>
      <c r="AB84" s="55" t="s">
        <v>82</v>
      </c>
      <c r="AC84" s="103" t="n">
        <f aca="false">AC83/12</f>
        <v>0.0109166666666667</v>
      </c>
      <c r="AD84" s="25"/>
      <c r="AE84" s="25"/>
      <c r="AF84" s="94"/>
      <c r="AG84" s="94"/>
      <c r="AH84" s="94"/>
      <c r="AI84" s="20"/>
    </row>
    <row r="85" customFormat="false" ht="17.35" hidden="false" customHeight="false" outlineLevel="0" collapsed="false">
      <c r="A85" s="55" t="s">
        <v>83</v>
      </c>
      <c r="B85" s="20" t="n">
        <f aca="false">IF(B82=0, (B59+B58), (B59))</f>
        <v>34</v>
      </c>
      <c r="C85" s="25"/>
      <c r="D85" s="25"/>
      <c r="E85" s="94"/>
      <c r="F85" s="94"/>
      <c r="G85" s="94"/>
      <c r="H85" s="20"/>
      <c r="J85" s="55" t="s">
        <v>83</v>
      </c>
      <c r="K85" s="20" t="n">
        <f aca="false">IF(K82=0, (K59+K58), (K59))</f>
        <v>35</v>
      </c>
      <c r="L85" s="25"/>
      <c r="M85" s="25"/>
      <c r="N85" s="94"/>
      <c r="O85" s="94"/>
      <c r="P85" s="94"/>
      <c r="Q85" s="20"/>
      <c r="S85" s="55" t="s">
        <v>83</v>
      </c>
      <c r="T85" s="20" t="n">
        <f aca="false">T59</f>
        <v>34</v>
      </c>
      <c r="U85" s="25"/>
      <c r="V85" s="25"/>
      <c r="W85" s="94"/>
      <c r="X85" s="94"/>
      <c r="Y85" s="94"/>
      <c r="Z85" s="20"/>
      <c r="AB85" s="55" t="s">
        <v>83</v>
      </c>
      <c r="AC85" s="20" t="n">
        <f aca="false">AC59</f>
        <v>34</v>
      </c>
      <c r="AD85" s="25"/>
      <c r="AE85" s="25"/>
      <c r="AF85" s="94"/>
      <c r="AG85" s="94"/>
      <c r="AH85" s="94"/>
      <c r="AI85" s="20"/>
    </row>
    <row r="86" customFormat="false" ht="17.35" hidden="false" customHeight="false" outlineLevel="0" collapsed="false">
      <c r="A86" s="55" t="s">
        <v>84</v>
      </c>
      <c r="B86" s="20" t="n">
        <f aca="false">(B82/((1+B84)^(B85+1)))</f>
        <v>6445.6463636142</v>
      </c>
      <c r="C86" s="25"/>
      <c r="D86" s="25"/>
      <c r="E86" s="94"/>
      <c r="F86" s="94"/>
      <c r="G86" s="94"/>
      <c r="H86" s="20"/>
      <c r="J86" s="55" t="s">
        <v>84</v>
      </c>
      <c r="K86" s="20" t="n">
        <f aca="false">(K82/((1+K84)^(K85+1)))</f>
        <v>0</v>
      </c>
      <c r="L86" s="25"/>
      <c r="M86" s="25"/>
      <c r="N86" s="94"/>
      <c r="O86" s="94"/>
      <c r="P86" s="94"/>
      <c r="Q86" s="20"/>
      <c r="S86" s="55" t="s">
        <v>84</v>
      </c>
      <c r="T86" s="20" t="n">
        <f aca="false">(T82/((1+T84)^(T85+1)))</f>
        <v>6154.67359467891</v>
      </c>
      <c r="U86" s="25"/>
      <c r="V86" s="25"/>
      <c r="W86" s="94"/>
      <c r="X86" s="94"/>
      <c r="Y86" s="94"/>
      <c r="Z86" s="20"/>
      <c r="AB86" s="55" t="s">
        <v>84</v>
      </c>
      <c r="AC86" s="20" t="n">
        <f aca="false">(AC82/((1+AC84)^(AC85+1)))</f>
        <v>6154.67359467891</v>
      </c>
      <c r="AD86" s="25"/>
      <c r="AE86" s="25"/>
      <c r="AF86" s="94"/>
      <c r="AG86" s="94"/>
      <c r="AH86" s="94"/>
      <c r="AI86" s="20"/>
    </row>
    <row r="87" customFormat="false" ht="17.35" hidden="false" customHeight="false" outlineLevel="0" collapsed="false">
      <c r="A87" s="55" t="s">
        <v>85</v>
      </c>
      <c r="B87" s="20" t="n">
        <f aca="false">((1-(1/((1+B84)^B85)))/B84)</f>
        <v>28.8995114056174</v>
      </c>
      <c r="C87" s="25"/>
      <c r="D87" s="25"/>
      <c r="E87" s="94"/>
      <c r="F87" s="94"/>
      <c r="G87" s="94"/>
      <c r="H87" s="20"/>
      <c r="J87" s="55" t="s">
        <v>85</v>
      </c>
      <c r="K87" s="20" t="n">
        <f aca="false">((1-(1/((1+K84)^K85)))/K84)</f>
        <v>24.9986193320352</v>
      </c>
      <c r="L87" s="25"/>
      <c r="M87" s="25"/>
      <c r="N87" s="94"/>
      <c r="O87" s="94"/>
      <c r="P87" s="94"/>
      <c r="Q87" s="20"/>
      <c r="S87" s="55" t="s">
        <v>85</v>
      </c>
      <c r="T87" s="20" t="n">
        <f aca="false">((1-(1/((1+T84)^T85)))/T84)</f>
        <v>28.2762125724768</v>
      </c>
      <c r="U87" s="25"/>
      <c r="V87" s="25"/>
      <c r="W87" s="94"/>
      <c r="X87" s="94"/>
      <c r="Y87" s="94"/>
      <c r="Z87" s="20"/>
      <c r="AB87" s="55" t="s">
        <v>85</v>
      </c>
      <c r="AC87" s="20" t="n">
        <f aca="false">((1-(1/((1+AC84)^AC85)))/AC84)</f>
        <v>28.2762125724768</v>
      </c>
      <c r="AD87" s="25"/>
      <c r="AE87" s="25"/>
      <c r="AF87" s="94"/>
      <c r="AG87" s="94"/>
      <c r="AH87" s="94"/>
      <c r="AI87" s="20"/>
    </row>
    <row r="88" customFormat="false" ht="17.35" hidden="false" customHeight="false" outlineLevel="0" collapsed="false">
      <c r="A88" s="55" t="s">
        <v>86</v>
      </c>
      <c r="B88" s="20" t="n">
        <f aca="false">B81-B86</f>
        <v>61284.3576363858</v>
      </c>
      <c r="C88" s="25"/>
      <c r="D88" s="25"/>
      <c r="E88" s="94"/>
      <c r="F88" s="94"/>
      <c r="G88" s="94"/>
      <c r="H88" s="20"/>
      <c r="J88" s="55" t="s">
        <v>86</v>
      </c>
      <c r="K88" s="20" t="n">
        <f aca="false">K81-K86</f>
        <v>37655</v>
      </c>
      <c r="L88" s="25"/>
      <c r="M88" s="25"/>
      <c r="N88" s="94"/>
      <c r="O88" s="94"/>
      <c r="P88" s="94"/>
      <c r="Q88" s="20"/>
      <c r="S88" s="55" t="s">
        <v>86</v>
      </c>
      <c r="T88" s="20" t="n">
        <f aca="false">T81-T86</f>
        <v>39314.0754053211</v>
      </c>
      <c r="U88" s="25"/>
      <c r="V88" s="25"/>
      <c r="W88" s="94"/>
      <c r="X88" s="94"/>
      <c r="Y88" s="94"/>
      <c r="Z88" s="20"/>
      <c r="AB88" s="55" t="s">
        <v>86</v>
      </c>
      <c r="AC88" s="20" t="n">
        <f aca="false">AC81-AC86</f>
        <v>39314.0754053211</v>
      </c>
      <c r="AD88" s="25"/>
      <c r="AE88" s="25"/>
      <c r="AF88" s="94"/>
      <c r="AG88" s="94"/>
      <c r="AH88" s="94"/>
      <c r="AI88" s="20"/>
    </row>
    <row r="89" customFormat="false" ht="17.35" hidden="false" customHeight="false" outlineLevel="0" collapsed="false">
      <c r="A89" s="55" t="s">
        <v>87</v>
      </c>
      <c r="B89" s="20" t="n">
        <f aca="false">(B88/B87)</f>
        <v>2120.60185988035</v>
      </c>
      <c r="C89" s="25"/>
      <c r="D89" s="25"/>
      <c r="E89" s="94"/>
      <c r="F89" s="94"/>
      <c r="G89" s="94"/>
      <c r="H89" s="20"/>
      <c r="J89" s="55" t="s">
        <v>87</v>
      </c>
      <c r="K89" s="20" t="n">
        <f aca="false">(K88/K87)</f>
        <v>1506.2831870777</v>
      </c>
      <c r="L89" s="25"/>
      <c r="M89" s="25"/>
      <c r="N89" s="94"/>
      <c r="O89" s="94"/>
      <c r="P89" s="94"/>
      <c r="Q89" s="20"/>
      <c r="S89" s="55" t="s">
        <v>87</v>
      </c>
      <c r="T89" s="20" t="n">
        <f aca="false">(T88/T87)</f>
        <v>1390.35860282039</v>
      </c>
      <c r="U89" s="25"/>
      <c r="V89" s="25"/>
      <c r="W89" s="94"/>
      <c r="X89" s="94"/>
      <c r="Y89" s="94"/>
      <c r="Z89" s="20"/>
      <c r="AB89" s="55" t="s">
        <v>87</v>
      </c>
      <c r="AC89" s="20" t="n">
        <f aca="false">(AC88/AC87)</f>
        <v>1390.35860282039</v>
      </c>
      <c r="AD89" s="25"/>
      <c r="AE89" s="25"/>
      <c r="AF89" s="94"/>
      <c r="AG89" s="94"/>
      <c r="AH89" s="94"/>
      <c r="AI89" s="20"/>
    </row>
    <row r="90" customFormat="false" ht="17.35" hidden="false" customHeight="false" outlineLevel="0" collapsed="false">
      <c r="A90" s="55" t="s">
        <v>88</v>
      </c>
      <c r="B90" s="20" t="n">
        <f aca="false">((B89*(B85))+B77)</f>
        <v>72100.4632359321</v>
      </c>
      <c r="C90" s="25"/>
      <c r="D90" s="25"/>
      <c r="E90" s="94"/>
      <c r="F90" s="94"/>
      <c r="G90" s="94"/>
      <c r="H90" s="20"/>
      <c r="J90" s="55" t="s">
        <v>88</v>
      </c>
      <c r="K90" s="20" t="n">
        <f aca="false">((K89*(K85))+K77)</f>
        <v>52719.9115477193</v>
      </c>
      <c r="L90" s="25"/>
      <c r="M90" s="25"/>
      <c r="N90" s="94"/>
      <c r="O90" s="94"/>
      <c r="P90" s="94"/>
      <c r="Q90" s="20"/>
      <c r="S90" s="55" t="s">
        <v>88</v>
      </c>
      <c r="T90" s="20" t="n">
        <f aca="false">(T89*(T85))+T77</f>
        <v>47272.1924958931</v>
      </c>
      <c r="U90" s="25"/>
      <c r="V90" s="25"/>
      <c r="W90" s="94"/>
      <c r="X90" s="94"/>
      <c r="Y90" s="94"/>
      <c r="Z90" s="20"/>
      <c r="AB90" s="55" t="s">
        <v>88</v>
      </c>
      <c r="AC90" s="20" t="n">
        <f aca="false">(AC89*(AC59))+AC77</f>
        <v>47272.1924958931</v>
      </c>
      <c r="AD90" s="25"/>
      <c r="AE90" s="25"/>
      <c r="AF90" s="94"/>
      <c r="AG90" s="94"/>
      <c r="AH90" s="94"/>
      <c r="AI90" s="20"/>
    </row>
    <row r="91" customFormat="false" ht="17.35" hidden="false" customHeight="false" outlineLevel="0" collapsed="false">
      <c r="A91" s="55" t="s">
        <v>89</v>
      </c>
      <c r="B91" s="20" t="n">
        <f aca="false">(((B89*(B85))+B77)/(1-B71))*B71</f>
        <v>0</v>
      </c>
      <c r="C91" s="25"/>
      <c r="D91" s="25"/>
      <c r="E91" s="94"/>
      <c r="F91" s="94"/>
      <c r="G91" s="94"/>
      <c r="H91" s="20"/>
      <c r="J91" s="55" t="s">
        <v>89</v>
      </c>
      <c r="K91" s="20" t="n">
        <f aca="false">(K90/(1-K71))*K71</f>
        <v>0</v>
      </c>
      <c r="L91" s="25"/>
      <c r="M91" s="25"/>
      <c r="N91" s="94"/>
      <c r="O91" s="94"/>
      <c r="P91" s="94"/>
      <c r="Q91" s="20"/>
      <c r="S91" s="55" t="s">
        <v>89</v>
      </c>
      <c r="T91" s="20" t="n">
        <f aca="false">(T90/(1-T71))*T71</f>
        <v>0</v>
      </c>
      <c r="U91" s="25"/>
      <c r="V91" s="25"/>
      <c r="W91" s="94"/>
      <c r="X91" s="94"/>
      <c r="Y91" s="94"/>
      <c r="Z91" s="20"/>
      <c r="AB91" s="55" t="s">
        <v>89</v>
      </c>
      <c r="AC91" s="20" t="n">
        <f aca="false">(AC90/(1-AC71))*AC71</f>
        <v>0</v>
      </c>
      <c r="AD91" s="25"/>
      <c r="AE91" s="25"/>
      <c r="AF91" s="94"/>
      <c r="AG91" s="94"/>
      <c r="AH91" s="94"/>
      <c r="AI91" s="20"/>
    </row>
    <row r="92" customFormat="false" ht="17.35" hidden="false" customHeight="false" outlineLevel="0" collapsed="false">
      <c r="A92" s="74" t="s">
        <v>90</v>
      </c>
      <c r="B92" s="82" t="n">
        <f aca="false">(B90+B91)</f>
        <v>72100.4632359321</v>
      </c>
      <c r="C92" s="25"/>
      <c r="D92" s="25"/>
      <c r="E92" s="94"/>
      <c r="F92" s="94"/>
      <c r="G92" s="94"/>
      <c r="H92" s="20"/>
      <c r="J92" s="74" t="s">
        <v>90</v>
      </c>
      <c r="K92" s="82" t="n">
        <f aca="false">(K90+K91)</f>
        <v>52719.9115477193</v>
      </c>
      <c r="L92" s="25"/>
      <c r="M92" s="25"/>
      <c r="N92" s="94"/>
      <c r="O92" s="94"/>
      <c r="P92" s="94"/>
      <c r="Q92" s="20"/>
      <c r="S92" s="74" t="s">
        <v>90</v>
      </c>
      <c r="T92" s="82" t="n">
        <f aca="false">(T90+T91)</f>
        <v>47272.1924958931</v>
      </c>
      <c r="U92" s="25"/>
      <c r="V92" s="25"/>
      <c r="W92" s="94"/>
      <c r="X92" s="94"/>
      <c r="Y92" s="94"/>
      <c r="Z92" s="20"/>
      <c r="AB92" s="74" t="s">
        <v>90</v>
      </c>
      <c r="AC92" s="82" t="n">
        <f aca="false">(AC90+AC91)</f>
        <v>47272.1924958931</v>
      </c>
      <c r="AD92" s="25"/>
      <c r="AE92" s="25"/>
      <c r="AF92" s="94"/>
      <c r="AG92" s="94"/>
      <c r="AH92" s="94"/>
      <c r="AI92" s="20"/>
    </row>
    <row r="93" customFormat="false" ht="17.35" hidden="false" customHeight="false" outlineLevel="0" collapsed="false">
      <c r="A93" s="55"/>
      <c r="B93" s="25"/>
      <c r="C93" s="25"/>
      <c r="D93" s="25"/>
      <c r="E93" s="94"/>
      <c r="F93" s="94"/>
      <c r="G93" s="94"/>
      <c r="H93" s="20"/>
      <c r="J93" s="55"/>
      <c r="K93" s="25"/>
      <c r="L93" s="25"/>
      <c r="M93" s="25"/>
      <c r="N93" s="94"/>
      <c r="O93" s="94"/>
      <c r="P93" s="94"/>
      <c r="Q93" s="20"/>
      <c r="S93" s="55"/>
      <c r="T93" s="25"/>
      <c r="U93" s="25"/>
      <c r="V93" s="25"/>
      <c r="W93" s="94"/>
      <c r="X93" s="94"/>
      <c r="Y93" s="94"/>
      <c r="Z93" s="20"/>
      <c r="AB93" s="55"/>
      <c r="AC93" s="25"/>
      <c r="AD93" s="25"/>
      <c r="AE93" s="25"/>
      <c r="AF93" s="94"/>
      <c r="AG93" s="94"/>
      <c r="AH93" s="94"/>
      <c r="AI93" s="20"/>
    </row>
    <row r="94" customFormat="false" ht="17.35" hidden="false" customHeight="false" outlineLevel="0" collapsed="false">
      <c r="A94" s="107" t="s">
        <v>91</v>
      </c>
      <c r="B94" s="111" t="n">
        <f aca="false">IF(B26="YES",((E40/B85)*(1+A108)),"0")</f>
        <v>89.6483823529412</v>
      </c>
      <c r="C94" s="25"/>
      <c r="D94" s="25"/>
      <c r="E94" s="94"/>
      <c r="F94" s="94"/>
      <c r="G94" s="94"/>
      <c r="H94" s="20"/>
      <c r="J94" s="107" t="s">
        <v>91</v>
      </c>
      <c r="K94" s="108" t="n">
        <f aca="false">((E40/K85)*(1+J108))*1.2</f>
        <v>104.5044</v>
      </c>
      <c r="L94" s="25"/>
      <c r="M94" s="25"/>
      <c r="N94" s="94"/>
      <c r="O94" s="94"/>
      <c r="P94" s="94"/>
      <c r="Q94" s="20"/>
      <c r="S94" s="107" t="s">
        <v>91</v>
      </c>
      <c r="T94" s="108" t="n">
        <f aca="false">((E40/T85)*(1+S108))</f>
        <v>82.7523529411765</v>
      </c>
      <c r="U94" s="25"/>
      <c r="V94" s="25"/>
      <c r="W94" s="94"/>
      <c r="X94" s="94"/>
      <c r="Y94" s="94"/>
      <c r="Z94" s="20"/>
      <c r="AB94" s="107" t="s">
        <v>91</v>
      </c>
      <c r="AC94" s="108" t="n">
        <f aca="false">((E40/AC85)*(1+AB108))*1.2</f>
        <v>99.3028235294118</v>
      </c>
      <c r="AD94" s="25"/>
      <c r="AE94" s="25"/>
      <c r="AF94" s="94"/>
      <c r="AG94" s="94"/>
      <c r="AH94" s="94"/>
      <c r="AI94" s="20"/>
    </row>
    <row r="95" customFormat="false" ht="17.35" hidden="false" customHeight="false" outlineLevel="0" collapsed="false">
      <c r="A95" s="112" t="s">
        <v>92</v>
      </c>
      <c r="B95" s="113" t="n">
        <f aca="false">B92/(B85)</f>
        <v>2120.60185988035</v>
      </c>
      <c r="C95" s="25"/>
      <c r="D95" s="25"/>
      <c r="E95" s="94"/>
      <c r="F95" s="94"/>
      <c r="G95" s="94"/>
      <c r="H95" s="20"/>
      <c r="J95" s="112" t="s">
        <v>92</v>
      </c>
      <c r="K95" s="113" t="n">
        <f aca="false">K92/(K85)</f>
        <v>1506.2831870777</v>
      </c>
      <c r="L95" s="25"/>
      <c r="M95" s="25"/>
      <c r="N95" s="94"/>
      <c r="O95" s="94"/>
      <c r="P95" s="94"/>
      <c r="Q95" s="20"/>
      <c r="S95" s="112" t="s">
        <v>92</v>
      </c>
      <c r="T95" s="113" t="n">
        <f aca="false">T92/(T85)</f>
        <v>1390.35860282039</v>
      </c>
      <c r="U95" s="25"/>
      <c r="V95" s="25"/>
      <c r="W95" s="94"/>
      <c r="X95" s="94"/>
      <c r="Y95" s="94"/>
      <c r="Z95" s="20"/>
      <c r="AB95" s="112" t="s">
        <v>92</v>
      </c>
      <c r="AC95" s="113" t="n">
        <f aca="false">AC92/(AC59)</f>
        <v>1390.35860282039</v>
      </c>
      <c r="AD95" s="25"/>
      <c r="AE95" s="25"/>
      <c r="AF95" s="94"/>
      <c r="AG95" s="94"/>
      <c r="AH95" s="94"/>
      <c r="AI95" s="20"/>
    </row>
    <row r="96" customFormat="false" ht="17.35" hidden="false" customHeight="false" outlineLevel="0" collapsed="false">
      <c r="A96" s="114" t="s">
        <v>93</v>
      </c>
      <c r="B96" s="115" t="n">
        <f aca="false">B94+B95</f>
        <v>2210.2502422333</v>
      </c>
      <c r="C96" s="25"/>
      <c r="D96" s="25"/>
      <c r="E96" s="94"/>
      <c r="F96" s="94"/>
      <c r="G96" s="94"/>
      <c r="H96" s="20"/>
      <c r="J96" s="114" t="s">
        <v>93</v>
      </c>
      <c r="K96" s="115" t="n">
        <f aca="false">(K94+K95)</f>
        <v>1610.7875870777</v>
      </c>
      <c r="L96" s="25"/>
      <c r="M96" s="25"/>
      <c r="N96" s="94"/>
      <c r="O96" s="94"/>
      <c r="P96" s="94"/>
      <c r="Q96" s="20"/>
      <c r="S96" s="114" t="s">
        <v>93</v>
      </c>
      <c r="T96" s="115" t="n">
        <f aca="false">T94+T95</f>
        <v>1473.11095576156</v>
      </c>
      <c r="U96" s="25"/>
      <c r="V96" s="25"/>
      <c r="W96" s="94"/>
      <c r="X96" s="94"/>
      <c r="Y96" s="94"/>
      <c r="Z96" s="20"/>
      <c r="AB96" s="114" t="s">
        <v>93</v>
      </c>
      <c r="AC96" s="115" t="n">
        <f aca="false">AC94+AC95</f>
        <v>1489.6614263498</v>
      </c>
      <c r="AD96" s="25"/>
      <c r="AE96" s="25"/>
      <c r="AF96" s="94"/>
      <c r="AG96" s="94"/>
      <c r="AH96" s="94"/>
      <c r="AI96" s="20"/>
    </row>
    <row r="97" customFormat="false" ht="17.35" hidden="false" customHeight="false" outlineLevel="0" collapsed="false">
      <c r="A97" s="74"/>
      <c r="B97" s="75"/>
      <c r="C97" s="75"/>
      <c r="D97" s="75"/>
      <c r="E97" s="116"/>
      <c r="F97" s="116"/>
      <c r="G97" s="116"/>
      <c r="H97" s="82"/>
      <c r="J97" s="74"/>
      <c r="K97" s="75"/>
      <c r="L97" s="75"/>
      <c r="M97" s="75"/>
      <c r="N97" s="116"/>
      <c r="O97" s="116"/>
      <c r="P97" s="116"/>
      <c r="Q97" s="82"/>
      <c r="S97" s="74"/>
      <c r="T97" s="75"/>
      <c r="U97" s="75"/>
      <c r="V97" s="75"/>
      <c r="W97" s="116"/>
      <c r="X97" s="116"/>
      <c r="Y97" s="116"/>
      <c r="Z97" s="82"/>
      <c r="AB97" s="74"/>
      <c r="AC97" s="75"/>
      <c r="AD97" s="75"/>
      <c r="AE97" s="75"/>
      <c r="AF97" s="116"/>
      <c r="AG97" s="116"/>
      <c r="AH97" s="116"/>
      <c r="AI97" s="82"/>
    </row>
    <row r="98" customFormat="false" ht="13.8" hidden="false" customHeight="false" outlineLevel="0" collapsed="false">
      <c r="A98" s="45"/>
      <c r="B98" s="45"/>
      <c r="C98" s="45"/>
      <c r="D98" s="45"/>
      <c r="E98" s="45"/>
      <c r="F98" s="45"/>
      <c r="G98" s="45"/>
      <c r="H98" s="45"/>
      <c r="J98" s="45"/>
      <c r="K98" s="45"/>
      <c r="L98" s="45"/>
      <c r="M98" s="45"/>
      <c r="N98" s="45"/>
      <c r="O98" s="45"/>
      <c r="P98" s="45"/>
      <c r="Q98" s="45"/>
      <c r="S98" s="45"/>
      <c r="T98" s="45"/>
      <c r="U98" s="45"/>
      <c r="V98" s="45"/>
      <c r="W98" s="45"/>
      <c r="X98" s="45"/>
      <c r="Y98" s="45"/>
      <c r="Z98" s="45"/>
      <c r="AB98" s="45"/>
      <c r="AC98" s="45"/>
      <c r="AD98" s="45"/>
      <c r="AE98" s="45"/>
      <c r="AF98" s="45"/>
      <c r="AG98" s="45"/>
      <c r="AH98" s="45"/>
      <c r="AI98" s="45"/>
    </row>
    <row r="99" customFormat="false" ht="13.8" hidden="false" customHeight="false" outlineLevel="0" collapsed="false">
      <c r="A99" s="45"/>
      <c r="B99" s="45"/>
      <c r="C99" s="45"/>
      <c r="D99" s="45"/>
      <c r="E99" s="45"/>
      <c r="F99" s="45"/>
      <c r="G99" s="45"/>
      <c r="H99" s="45"/>
      <c r="J99" s="45"/>
      <c r="K99" s="45"/>
      <c r="L99" s="45"/>
      <c r="M99" s="45"/>
      <c r="N99" s="45"/>
      <c r="O99" s="45"/>
      <c r="P99" s="45"/>
      <c r="Q99" s="45"/>
      <c r="S99" s="45"/>
      <c r="T99" s="45"/>
      <c r="U99" s="45"/>
      <c r="V99" s="45"/>
      <c r="W99" s="45"/>
      <c r="X99" s="45"/>
      <c r="Y99" s="45"/>
      <c r="Z99" s="45"/>
      <c r="AB99" s="45"/>
      <c r="AC99" s="45"/>
      <c r="AD99" s="45"/>
      <c r="AE99" s="45"/>
      <c r="AF99" s="45"/>
      <c r="AG99" s="45"/>
      <c r="AH99" s="45"/>
      <c r="AI99" s="45"/>
    </row>
    <row r="100" customFormat="false" ht="47.25" hidden="false" customHeight="true" outlineLevel="0" collapsed="false">
      <c r="A100" s="4" t="s">
        <v>94</v>
      </c>
      <c r="B100" s="4"/>
      <c r="C100" s="4"/>
      <c r="D100" s="4"/>
      <c r="E100" s="4"/>
      <c r="F100" s="4"/>
      <c r="G100" s="4"/>
      <c r="H100" s="4"/>
      <c r="J100" s="4" t="s">
        <v>95</v>
      </c>
      <c r="K100" s="4"/>
      <c r="L100" s="4"/>
      <c r="M100" s="4"/>
      <c r="N100" s="4"/>
      <c r="O100" s="4"/>
      <c r="P100" s="4"/>
      <c r="Q100" s="4"/>
      <c r="S100" s="4" t="s">
        <v>96</v>
      </c>
      <c r="T100" s="4"/>
      <c r="U100" s="4"/>
      <c r="V100" s="4"/>
      <c r="W100" s="4"/>
      <c r="X100" s="4"/>
      <c r="Y100" s="4"/>
      <c r="Z100" s="4"/>
      <c r="AB100" s="4" t="s">
        <v>97</v>
      </c>
      <c r="AC100" s="4"/>
      <c r="AD100" s="4"/>
      <c r="AE100" s="4"/>
      <c r="AF100" s="4"/>
      <c r="AG100" s="4"/>
      <c r="AH100" s="4"/>
      <c r="AI100" s="4"/>
    </row>
    <row r="101" customFormat="false" ht="17.35" hidden="false" customHeight="false" outlineLevel="0" collapsed="false">
      <c r="A101" s="48"/>
      <c r="B101" s="49"/>
      <c r="C101" s="49"/>
      <c r="D101" s="49"/>
      <c r="E101" s="93"/>
      <c r="F101" s="93"/>
      <c r="G101" s="93"/>
      <c r="H101" s="117"/>
      <c r="J101" s="48"/>
      <c r="K101" s="49"/>
      <c r="L101" s="49"/>
      <c r="M101" s="49"/>
      <c r="N101" s="93"/>
      <c r="O101" s="93"/>
      <c r="P101" s="93"/>
      <c r="Q101" s="117"/>
      <c r="S101" s="48"/>
      <c r="T101" s="49"/>
      <c r="U101" s="49"/>
      <c r="V101" s="49"/>
      <c r="W101" s="93"/>
      <c r="X101" s="93"/>
      <c r="Y101" s="93"/>
      <c r="Z101" s="117"/>
      <c r="AB101" s="48"/>
      <c r="AC101" s="49"/>
      <c r="AD101" s="49"/>
      <c r="AE101" s="49"/>
      <c r="AF101" s="93"/>
      <c r="AG101" s="93"/>
      <c r="AH101" s="93"/>
      <c r="AI101" s="117"/>
    </row>
    <row r="102" customFormat="false" ht="22.05" hidden="false" customHeight="false" outlineLevel="0" collapsed="false">
      <c r="A102" s="58" t="s">
        <v>26</v>
      </c>
      <c r="B102" s="58"/>
      <c r="C102" s="58"/>
      <c r="D102" s="58"/>
      <c r="E102" s="58"/>
      <c r="F102" s="58"/>
      <c r="G102" s="58"/>
      <c r="H102" s="58"/>
      <c r="J102" s="58" t="s">
        <v>26</v>
      </c>
      <c r="K102" s="58"/>
      <c r="L102" s="58"/>
      <c r="M102" s="58"/>
      <c r="N102" s="58"/>
      <c r="O102" s="58"/>
      <c r="P102" s="58"/>
      <c r="Q102" s="58"/>
      <c r="S102" s="58" t="s">
        <v>26</v>
      </c>
      <c r="T102" s="58"/>
      <c r="U102" s="58"/>
      <c r="V102" s="58"/>
      <c r="W102" s="58"/>
      <c r="X102" s="58"/>
      <c r="Y102" s="58"/>
      <c r="Z102" s="58"/>
      <c r="AB102" s="58" t="s">
        <v>26</v>
      </c>
      <c r="AC102" s="58"/>
      <c r="AD102" s="58"/>
      <c r="AE102" s="58"/>
      <c r="AF102" s="58"/>
      <c r="AG102" s="58"/>
      <c r="AH102" s="58"/>
      <c r="AI102" s="58"/>
    </row>
    <row r="103" customFormat="false" ht="17.35" hidden="false" customHeight="false" outlineLevel="0" collapsed="false">
      <c r="A103" s="55"/>
      <c r="B103" s="25"/>
      <c r="C103" s="25"/>
      <c r="D103" s="25"/>
      <c r="E103" s="94"/>
      <c r="F103" s="94"/>
      <c r="G103" s="94"/>
      <c r="H103" s="118"/>
      <c r="J103" s="55"/>
      <c r="K103" s="25"/>
      <c r="L103" s="25"/>
      <c r="M103" s="25"/>
      <c r="N103" s="94"/>
      <c r="O103" s="94"/>
      <c r="P103" s="94"/>
      <c r="Q103" s="118"/>
      <c r="S103" s="55"/>
      <c r="T103" s="25"/>
      <c r="U103" s="25"/>
      <c r="V103" s="25"/>
      <c r="W103" s="94"/>
      <c r="X103" s="94"/>
      <c r="Y103" s="94"/>
      <c r="Z103" s="118"/>
      <c r="AB103" s="55"/>
      <c r="AC103" s="25"/>
      <c r="AD103" s="25"/>
      <c r="AE103" s="25"/>
      <c r="AF103" s="94"/>
      <c r="AG103" s="94"/>
      <c r="AH103" s="94"/>
      <c r="AI103" s="118"/>
    </row>
    <row r="104" customFormat="false" ht="17.35" hidden="false" customHeight="false" outlineLevel="0" collapsed="false">
      <c r="A104" s="55" t="s">
        <v>98</v>
      </c>
      <c r="B104" s="25" t="s">
        <v>23</v>
      </c>
      <c r="C104" s="25"/>
      <c r="D104" s="25"/>
      <c r="E104" s="25" t="s">
        <v>22</v>
      </c>
      <c r="F104" s="25"/>
      <c r="G104" s="25"/>
      <c r="H104" s="20"/>
      <c r="J104" s="55" t="s">
        <v>98</v>
      </c>
      <c r="K104" s="25" t="s">
        <v>23</v>
      </c>
      <c r="L104" s="25"/>
      <c r="M104" s="25"/>
      <c r="N104" s="25" t="s">
        <v>22</v>
      </c>
      <c r="O104" s="25"/>
      <c r="P104" s="25"/>
      <c r="Q104" s="20"/>
      <c r="S104" s="55" t="s">
        <v>98</v>
      </c>
      <c r="T104" s="25" t="s">
        <v>23</v>
      </c>
      <c r="U104" s="25"/>
      <c r="V104" s="25"/>
      <c r="W104" s="25" t="s">
        <v>22</v>
      </c>
      <c r="X104" s="25"/>
      <c r="Y104" s="25"/>
      <c r="Z104" s="20"/>
      <c r="AB104" s="55" t="s">
        <v>98</v>
      </c>
      <c r="AC104" s="25" t="s">
        <v>23</v>
      </c>
      <c r="AD104" s="25"/>
      <c r="AE104" s="25"/>
      <c r="AF104" s="25" t="s">
        <v>22</v>
      </c>
      <c r="AG104" s="25"/>
      <c r="AH104" s="25"/>
      <c r="AI104" s="20"/>
    </row>
    <row r="105" customFormat="false" ht="17.35" hidden="false" customHeight="false" outlineLevel="0" collapsed="false">
      <c r="A105" s="51" t="s">
        <v>99</v>
      </c>
      <c r="B105" s="37" t="s">
        <v>100</v>
      </c>
      <c r="C105" s="37"/>
      <c r="D105" s="37"/>
      <c r="E105" s="119" t="s">
        <v>9</v>
      </c>
      <c r="F105" s="119"/>
      <c r="G105" s="119"/>
      <c r="H105" s="118"/>
      <c r="J105" s="51" t="s">
        <v>99</v>
      </c>
      <c r="K105" s="37" t="s">
        <v>100</v>
      </c>
      <c r="L105" s="37"/>
      <c r="M105" s="37"/>
      <c r="N105" s="60" t="s">
        <v>9</v>
      </c>
      <c r="O105" s="60"/>
      <c r="P105" s="60"/>
      <c r="Q105" s="118"/>
      <c r="S105" s="51" t="s">
        <v>99</v>
      </c>
      <c r="T105" s="37" t="s">
        <v>100</v>
      </c>
      <c r="U105" s="37"/>
      <c r="V105" s="37"/>
      <c r="W105" s="60" t="s">
        <v>9</v>
      </c>
      <c r="X105" s="60"/>
      <c r="Y105" s="60"/>
      <c r="Z105" s="118"/>
      <c r="AB105" s="51" t="s">
        <v>99</v>
      </c>
      <c r="AC105" s="37" t="s">
        <v>100</v>
      </c>
      <c r="AD105" s="37"/>
      <c r="AE105" s="37"/>
      <c r="AF105" s="60" t="s">
        <v>9</v>
      </c>
      <c r="AG105" s="60"/>
      <c r="AH105" s="60"/>
      <c r="AI105" s="118"/>
    </row>
    <row r="106" customFormat="false" ht="17.35" hidden="false" customHeight="false" outlineLevel="0" collapsed="false">
      <c r="A106" s="55"/>
      <c r="B106" s="25"/>
      <c r="C106" s="25"/>
      <c r="D106" s="94"/>
      <c r="E106" s="25"/>
      <c r="F106" s="25"/>
      <c r="G106" s="94"/>
      <c r="H106" s="20"/>
      <c r="J106" s="55"/>
      <c r="K106" s="25"/>
      <c r="L106" s="25"/>
      <c r="M106" s="94"/>
      <c r="N106" s="25"/>
      <c r="O106" s="25"/>
      <c r="P106" s="94"/>
      <c r="Q106" s="20"/>
      <c r="S106" s="55"/>
      <c r="T106" s="25"/>
      <c r="U106" s="25"/>
      <c r="V106" s="94"/>
      <c r="W106" s="25"/>
      <c r="X106" s="25"/>
      <c r="Y106" s="94"/>
      <c r="Z106" s="20"/>
      <c r="AB106" s="55"/>
      <c r="AC106" s="25"/>
      <c r="AD106" s="25"/>
      <c r="AE106" s="94"/>
      <c r="AF106" s="25"/>
      <c r="AG106" s="25"/>
      <c r="AH106" s="94"/>
      <c r="AI106" s="20"/>
    </row>
    <row r="107" customFormat="false" ht="17.35" hidden="false" customHeight="false" outlineLevel="0" collapsed="false">
      <c r="A107" s="55" t="s">
        <v>101</v>
      </c>
      <c r="B107" s="25" t="s">
        <v>102</v>
      </c>
      <c r="C107" s="25"/>
      <c r="D107" s="94"/>
      <c r="E107" s="25" t="s">
        <v>103</v>
      </c>
      <c r="F107" s="25"/>
      <c r="G107" s="94"/>
      <c r="H107" s="118"/>
      <c r="J107" s="55" t="s">
        <v>101</v>
      </c>
      <c r="K107" s="25" t="s">
        <v>102</v>
      </c>
      <c r="L107" s="25"/>
      <c r="M107" s="94"/>
      <c r="N107" s="25" t="s">
        <v>103</v>
      </c>
      <c r="O107" s="25"/>
      <c r="P107" s="94"/>
      <c r="Q107" s="118"/>
      <c r="S107" s="55" t="s">
        <v>101</v>
      </c>
      <c r="T107" s="25" t="s">
        <v>102</v>
      </c>
      <c r="U107" s="25"/>
      <c r="V107" s="94"/>
      <c r="W107" s="25" t="s">
        <v>103</v>
      </c>
      <c r="X107" s="25"/>
      <c r="Y107" s="94"/>
      <c r="Z107" s="118"/>
      <c r="AB107" s="55" t="s">
        <v>101</v>
      </c>
      <c r="AC107" s="25" t="s">
        <v>102</v>
      </c>
      <c r="AD107" s="25"/>
      <c r="AE107" s="94"/>
      <c r="AF107" s="25" t="s">
        <v>103</v>
      </c>
      <c r="AG107" s="25"/>
      <c r="AH107" s="94"/>
      <c r="AI107" s="118"/>
    </row>
    <row r="108" customFormat="false" ht="17.35" hidden="false" customHeight="false" outlineLevel="0" collapsed="false">
      <c r="A108" s="120" t="n">
        <v>0.3</v>
      </c>
      <c r="B108" s="72" t="s">
        <v>375</v>
      </c>
      <c r="C108" s="72"/>
      <c r="D108" s="72"/>
      <c r="E108" s="121" t="n">
        <f aca="false">B83</f>
        <v>0.115</v>
      </c>
      <c r="F108" s="121"/>
      <c r="G108" s="121"/>
      <c r="H108" s="65"/>
      <c r="J108" s="120" t="n">
        <v>0.3</v>
      </c>
      <c r="K108" s="72" t="s">
        <v>104</v>
      </c>
      <c r="L108" s="72"/>
      <c r="M108" s="72"/>
      <c r="N108" s="121" t="n">
        <f aca="false">K83</f>
        <v>0.24</v>
      </c>
      <c r="O108" s="121"/>
      <c r="P108" s="121"/>
      <c r="Q108" s="65"/>
      <c r="S108" s="120" t="n">
        <v>0.2</v>
      </c>
      <c r="T108" s="72" t="s">
        <v>105</v>
      </c>
      <c r="U108" s="72"/>
      <c r="V108" s="72"/>
      <c r="W108" s="121" t="n">
        <f aca="false">T83</f>
        <v>0.131</v>
      </c>
      <c r="X108" s="121"/>
      <c r="Y108" s="121"/>
      <c r="Z108" s="65"/>
      <c r="AB108" s="120" t="n">
        <v>0.2</v>
      </c>
      <c r="AC108" s="72" t="s">
        <v>105</v>
      </c>
      <c r="AD108" s="72"/>
      <c r="AE108" s="72"/>
      <c r="AF108" s="122" t="n">
        <f aca="false">AC83</f>
        <v>0.131</v>
      </c>
      <c r="AG108" s="122"/>
      <c r="AH108" s="122"/>
      <c r="AI108" s="65"/>
      <c r="AP108" s="1" t="s">
        <v>106</v>
      </c>
    </row>
    <row r="109" customFormat="false" ht="17.35" hidden="false" customHeight="false" outlineLevel="0" collapsed="false">
      <c r="A109" s="55"/>
      <c r="B109" s="25"/>
      <c r="C109" s="25"/>
      <c r="D109" s="25"/>
      <c r="E109" s="25"/>
      <c r="F109" s="25"/>
      <c r="G109" s="25"/>
      <c r="H109" s="20"/>
      <c r="J109" s="55"/>
      <c r="K109" s="25"/>
      <c r="L109" s="25"/>
      <c r="M109" s="25"/>
      <c r="N109" s="25"/>
      <c r="O109" s="25"/>
      <c r="P109" s="25"/>
      <c r="Q109" s="20"/>
      <c r="S109" s="55"/>
      <c r="T109" s="25"/>
      <c r="U109" s="25"/>
      <c r="V109" s="25"/>
      <c r="W109" s="25"/>
      <c r="X109" s="25"/>
      <c r="Y109" s="25"/>
      <c r="Z109" s="20"/>
      <c r="AB109" s="55"/>
      <c r="AC109" s="25"/>
      <c r="AD109" s="25"/>
      <c r="AE109" s="25"/>
      <c r="AF109" s="25"/>
      <c r="AG109" s="25"/>
      <c r="AH109" s="25"/>
      <c r="AI109" s="20"/>
      <c r="AP109" s="1" t="s">
        <v>104</v>
      </c>
    </row>
    <row r="110" customFormat="false" ht="17.35" hidden="false" customHeight="false" outlineLevel="0" collapsed="false">
      <c r="A110" s="55" t="s">
        <v>107</v>
      </c>
      <c r="B110" s="25" t="s">
        <v>108</v>
      </c>
      <c r="C110" s="25"/>
      <c r="D110" s="25"/>
      <c r="E110" s="25" t="s">
        <v>109</v>
      </c>
      <c r="F110" s="25"/>
      <c r="G110" s="25"/>
      <c r="H110" s="20"/>
      <c r="J110" s="55" t="s">
        <v>107</v>
      </c>
      <c r="K110" s="25" t="s">
        <v>108</v>
      </c>
      <c r="L110" s="25"/>
      <c r="M110" s="25"/>
      <c r="N110" s="25" t="s">
        <v>109</v>
      </c>
      <c r="O110" s="25"/>
      <c r="P110" s="25"/>
      <c r="Q110" s="20"/>
      <c r="S110" s="55" t="s">
        <v>107</v>
      </c>
      <c r="T110" s="25" t="s">
        <v>108</v>
      </c>
      <c r="U110" s="25"/>
      <c r="V110" s="25"/>
      <c r="W110" s="25" t="s">
        <v>109</v>
      </c>
      <c r="X110" s="25"/>
      <c r="Y110" s="25"/>
      <c r="Z110" s="20"/>
      <c r="AB110" s="55" t="s">
        <v>107</v>
      </c>
      <c r="AC110" s="25" t="s">
        <v>108</v>
      </c>
      <c r="AD110" s="25"/>
      <c r="AE110" s="25"/>
      <c r="AF110" s="25" t="s">
        <v>109</v>
      </c>
      <c r="AG110" s="25"/>
      <c r="AH110" s="25"/>
      <c r="AI110" s="20"/>
    </row>
    <row r="111" customFormat="false" ht="17.35" hidden="false" customHeight="false" outlineLevel="0" collapsed="false">
      <c r="A111" s="52" t="s">
        <v>9</v>
      </c>
      <c r="B111" s="72" t="n">
        <v>1000</v>
      </c>
      <c r="C111" s="72"/>
      <c r="D111" s="72"/>
      <c r="E111" s="72" t="n">
        <v>1000</v>
      </c>
      <c r="F111" s="72"/>
      <c r="G111" s="72"/>
      <c r="H111" s="118"/>
      <c r="J111" s="52" t="s">
        <v>10</v>
      </c>
      <c r="K111" s="72" t="n">
        <v>1000</v>
      </c>
      <c r="L111" s="72"/>
      <c r="M111" s="72"/>
      <c r="N111" s="72" t="n">
        <v>0</v>
      </c>
      <c r="O111" s="72"/>
      <c r="P111" s="72"/>
      <c r="Q111" s="118"/>
      <c r="S111" s="52" t="s">
        <v>9</v>
      </c>
      <c r="T111" s="72" t="n">
        <v>1000</v>
      </c>
      <c r="U111" s="72"/>
      <c r="V111" s="72"/>
      <c r="W111" s="72" t="n">
        <v>0</v>
      </c>
      <c r="X111" s="72"/>
      <c r="Y111" s="72"/>
      <c r="Z111" s="118"/>
      <c r="AB111" s="52" t="s">
        <v>9</v>
      </c>
      <c r="AC111" s="72" t="n">
        <v>1000</v>
      </c>
      <c r="AD111" s="72"/>
      <c r="AE111" s="72"/>
      <c r="AF111" s="72" t="n">
        <v>0</v>
      </c>
      <c r="AG111" s="72"/>
      <c r="AH111" s="72"/>
      <c r="AI111" s="118"/>
    </row>
    <row r="112" customFormat="false" ht="17.35" hidden="false" customHeight="false" outlineLevel="0" collapsed="false">
      <c r="A112" s="55"/>
      <c r="B112" s="25"/>
      <c r="C112" s="25"/>
      <c r="D112" s="25"/>
      <c r="E112" s="25"/>
      <c r="F112" s="25"/>
      <c r="G112" s="94"/>
      <c r="H112" s="118"/>
      <c r="J112" s="55"/>
      <c r="K112" s="25"/>
      <c r="L112" s="25"/>
      <c r="M112" s="25"/>
      <c r="N112" s="25"/>
      <c r="O112" s="25"/>
      <c r="P112" s="94"/>
      <c r="Q112" s="118"/>
      <c r="S112" s="55"/>
      <c r="T112" s="25"/>
      <c r="U112" s="25"/>
      <c r="V112" s="25"/>
      <c r="W112" s="25"/>
      <c r="X112" s="25"/>
      <c r="Y112" s="94"/>
      <c r="Z112" s="118"/>
      <c r="AB112" s="55"/>
      <c r="AC112" s="25"/>
      <c r="AD112" s="25"/>
      <c r="AE112" s="25"/>
      <c r="AF112" s="25"/>
      <c r="AG112" s="25"/>
      <c r="AH112" s="94"/>
      <c r="AI112" s="118"/>
    </row>
    <row r="113" customFormat="false" ht="17.35" hidden="false" customHeight="false" outlineLevel="0" collapsed="false">
      <c r="A113" s="123" t="s">
        <v>110</v>
      </c>
      <c r="B113" s="25" t="s">
        <v>111</v>
      </c>
      <c r="C113" s="25"/>
      <c r="D113" s="25"/>
      <c r="E113" s="25" t="s">
        <v>112</v>
      </c>
      <c r="F113" s="25"/>
      <c r="G113" s="94"/>
      <c r="H113" s="118"/>
      <c r="J113" s="123" t="s">
        <v>110</v>
      </c>
      <c r="K113" s="25" t="s">
        <v>111</v>
      </c>
      <c r="L113" s="25"/>
      <c r="M113" s="25"/>
      <c r="N113" s="25" t="s">
        <v>112</v>
      </c>
      <c r="O113" s="25"/>
      <c r="P113" s="94"/>
      <c r="Q113" s="118"/>
      <c r="S113" s="123" t="s">
        <v>110</v>
      </c>
      <c r="T113" s="25" t="s">
        <v>111</v>
      </c>
      <c r="U113" s="25"/>
      <c r="V113" s="25"/>
      <c r="W113" s="25" t="s">
        <v>112</v>
      </c>
      <c r="X113" s="25"/>
      <c r="Y113" s="94"/>
      <c r="Z113" s="118"/>
      <c r="AB113" s="123" t="s">
        <v>110</v>
      </c>
      <c r="AC113" s="25" t="s">
        <v>111</v>
      </c>
      <c r="AD113" s="25"/>
      <c r="AE113" s="25"/>
      <c r="AF113" s="25" t="s">
        <v>112</v>
      </c>
      <c r="AG113" s="25"/>
      <c r="AH113" s="94"/>
      <c r="AI113" s="118"/>
    </row>
    <row r="114" customFormat="false" ht="17.35" hidden="false" customHeight="false" outlineLevel="0" collapsed="false">
      <c r="A114" s="70" t="n">
        <f aca="false">B111+E111</f>
        <v>2000</v>
      </c>
      <c r="B114" s="72" t="s">
        <v>206</v>
      </c>
      <c r="C114" s="72"/>
      <c r="D114" s="72"/>
      <c r="E114" s="72" t="n">
        <v>0</v>
      </c>
      <c r="F114" s="72"/>
      <c r="G114" s="72"/>
      <c r="H114" s="118"/>
      <c r="J114" s="70" t="n">
        <f aca="false">K111+N111</f>
        <v>1000</v>
      </c>
      <c r="K114" s="72" t="n">
        <v>239.99</v>
      </c>
      <c r="L114" s="72"/>
      <c r="M114" s="72"/>
      <c r="N114" s="72" t="n">
        <v>0</v>
      </c>
      <c r="O114" s="72"/>
      <c r="P114" s="72"/>
      <c r="Q114" s="118"/>
      <c r="S114" s="70" t="n">
        <f aca="false">T111+W111</f>
        <v>1000</v>
      </c>
      <c r="T114" s="72" t="n">
        <v>199.99</v>
      </c>
      <c r="U114" s="72"/>
      <c r="V114" s="72"/>
      <c r="W114" s="72" t="n">
        <v>0</v>
      </c>
      <c r="X114" s="72"/>
      <c r="Y114" s="72"/>
      <c r="Z114" s="118"/>
      <c r="AB114" s="70" t="n">
        <f aca="false">AC111+AF111</f>
        <v>1000</v>
      </c>
      <c r="AC114" s="72" t="n">
        <v>239.99</v>
      </c>
      <c r="AD114" s="72"/>
      <c r="AE114" s="72"/>
      <c r="AF114" s="72" t="n">
        <v>0</v>
      </c>
      <c r="AG114" s="72"/>
      <c r="AH114" s="72"/>
      <c r="AI114" s="118"/>
    </row>
    <row r="115" customFormat="false" ht="13.8" hidden="false" customHeight="false" outlineLevel="0" collapsed="false">
      <c r="A115" s="124"/>
      <c r="B115" s="94"/>
      <c r="C115" s="94"/>
      <c r="D115" s="94"/>
      <c r="E115" s="94"/>
      <c r="F115" s="94"/>
      <c r="G115" s="94"/>
      <c r="H115" s="118"/>
      <c r="J115" s="124"/>
      <c r="K115" s="94"/>
      <c r="L115" s="94"/>
      <c r="M115" s="94"/>
      <c r="N115" s="94"/>
      <c r="O115" s="94"/>
      <c r="P115" s="94"/>
      <c r="Q115" s="118"/>
      <c r="S115" s="124"/>
      <c r="T115" s="94"/>
      <c r="U115" s="94"/>
      <c r="V115" s="94"/>
      <c r="W115" s="94"/>
      <c r="X115" s="94"/>
      <c r="Y115" s="94"/>
      <c r="Z115" s="118"/>
      <c r="AB115" s="124"/>
      <c r="AC115" s="94"/>
      <c r="AD115" s="94"/>
      <c r="AE115" s="94"/>
      <c r="AF115" s="94"/>
      <c r="AG115" s="94"/>
      <c r="AH115" s="94"/>
      <c r="AI115" s="118"/>
    </row>
    <row r="116" customFormat="false" ht="13.8" hidden="false" customHeight="false" outlineLevel="0" collapsed="false">
      <c r="A116" s="124"/>
      <c r="B116" s="94"/>
      <c r="C116" s="94"/>
      <c r="D116" s="94"/>
      <c r="E116" s="94"/>
      <c r="F116" s="94"/>
      <c r="G116" s="94"/>
      <c r="H116" s="118"/>
      <c r="J116" s="124"/>
      <c r="K116" s="94"/>
      <c r="L116" s="94"/>
      <c r="M116" s="94"/>
      <c r="N116" s="94"/>
      <c r="O116" s="94"/>
      <c r="P116" s="94"/>
      <c r="Q116" s="118"/>
      <c r="S116" s="124"/>
      <c r="T116" s="94"/>
      <c r="U116" s="94"/>
      <c r="V116" s="94"/>
      <c r="W116" s="94"/>
      <c r="X116" s="94"/>
      <c r="Y116" s="94"/>
      <c r="Z116" s="118"/>
      <c r="AB116" s="124"/>
      <c r="AC116" s="94"/>
      <c r="AD116" s="94"/>
      <c r="AE116" s="94"/>
      <c r="AF116" s="94"/>
      <c r="AG116" s="94"/>
      <c r="AH116" s="94"/>
      <c r="AI116" s="118"/>
    </row>
    <row r="117" customFormat="false" ht="22.05" hidden="false" customHeight="false" outlineLevel="0" collapsed="false">
      <c r="A117" s="58" t="s">
        <v>114</v>
      </c>
      <c r="B117" s="58"/>
      <c r="C117" s="58"/>
      <c r="D117" s="58"/>
      <c r="E117" s="58"/>
      <c r="F117" s="58"/>
      <c r="G117" s="58"/>
      <c r="H117" s="58"/>
      <c r="J117" s="58" t="s">
        <v>114</v>
      </c>
      <c r="K117" s="58"/>
      <c r="L117" s="58"/>
      <c r="M117" s="58"/>
      <c r="N117" s="58"/>
      <c r="O117" s="58"/>
      <c r="P117" s="58"/>
      <c r="Q117" s="58"/>
      <c r="S117" s="58" t="s">
        <v>114</v>
      </c>
      <c r="T117" s="58"/>
      <c r="U117" s="58"/>
      <c r="V117" s="58"/>
      <c r="W117" s="58"/>
      <c r="X117" s="58"/>
      <c r="Y117" s="58"/>
      <c r="Z117" s="58"/>
      <c r="AB117" s="58" t="s">
        <v>114</v>
      </c>
      <c r="AC117" s="58"/>
      <c r="AD117" s="58"/>
      <c r="AE117" s="58"/>
      <c r="AF117" s="58"/>
      <c r="AG117" s="58"/>
      <c r="AH117" s="58"/>
      <c r="AI117" s="58"/>
    </row>
    <row r="118" customFormat="false" ht="13.8" hidden="false" customHeight="false" outlineLevel="0" collapsed="false">
      <c r="A118" s="124"/>
      <c r="B118" s="94"/>
      <c r="C118" s="94"/>
      <c r="D118" s="94"/>
      <c r="E118" s="94"/>
      <c r="F118" s="94"/>
      <c r="G118" s="94"/>
      <c r="H118" s="118"/>
      <c r="J118" s="124"/>
      <c r="K118" s="94"/>
      <c r="L118" s="94"/>
      <c r="M118" s="94"/>
      <c r="N118" s="94"/>
      <c r="O118" s="94"/>
      <c r="P118" s="94"/>
      <c r="Q118" s="118"/>
      <c r="S118" s="124"/>
      <c r="T118" s="94"/>
      <c r="U118" s="94"/>
      <c r="V118" s="94"/>
      <c r="W118" s="94"/>
      <c r="X118" s="94"/>
      <c r="Y118" s="94"/>
      <c r="Z118" s="118"/>
      <c r="AB118" s="124"/>
      <c r="AC118" s="94"/>
      <c r="AD118" s="94"/>
      <c r="AE118" s="94"/>
      <c r="AF118" s="94"/>
      <c r="AG118" s="94"/>
      <c r="AH118" s="94"/>
      <c r="AI118" s="118"/>
    </row>
    <row r="119" customFormat="false" ht="19.7" hidden="false" customHeight="false" outlineLevel="0" collapsed="false">
      <c r="A119" s="97"/>
      <c r="B119" s="125" t="s">
        <v>115</v>
      </c>
      <c r="C119" s="125"/>
      <c r="D119" s="125" t="s">
        <v>116</v>
      </c>
      <c r="E119" s="125"/>
      <c r="F119" s="125" t="s">
        <v>117</v>
      </c>
      <c r="G119" s="125"/>
      <c r="H119" s="126" t="s">
        <v>118</v>
      </c>
      <c r="J119" s="97"/>
      <c r="K119" s="125" t="s">
        <v>115</v>
      </c>
      <c r="L119" s="125"/>
      <c r="M119" s="125" t="s">
        <v>116</v>
      </c>
      <c r="N119" s="125"/>
      <c r="O119" s="125" t="s">
        <v>117</v>
      </c>
      <c r="P119" s="125"/>
      <c r="Q119" s="126" t="s">
        <v>118</v>
      </c>
      <c r="S119" s="97"/>
      <c r="T119" s="125" t="s">
        <v>115</v>
      </c>
      <c r="U119" s="125"/>
      <c r="V119" s="125" t="s">
        <v>116</v>
      </c>
      <c r="W119" s="125"/>
      <c r="X119" s="125" t="s">
        <v>117</v>
      </c>
      <c r="Y119" s="125"/>
      <c r="Z119" s="126" t="s">
        <v>118</v>
      </c>
      <c r="AB119" s="97"/>
      <c r="AC119" s="125" t="s">
        <v>115</v>
      </c>
      <c r="AD119" s="125"/>
      <c r="AE119" s="125" t="s">
        <v>116</v>
      </c>
      <c r="AF119" s="125"/>
      <c r="AG119" s="125" t="s">
        <v>117</v>
      </c>
      <c r="AH119" s="125"/>
      <c r="AI119" s="126" t="s">
        <v>118</v>
      </c>
    </row>
    <row r="120" customFormat="false" ht="19.7" hidden="false" customHeight="false" outlineLevel="0" collapsed="false">
      <c r="A120" s="99"/>
      <c r="B120" s="127" t="s">
        <v>119</v>
      </c>
      <c r="C120" s="128" t="s">
        <v>120</v>
      </c>
      <c r="D120" s="127" t="s">
        <v>119</v>
      </c>
      <c r="E120" s="129" t="s">
        <v>120</v>
      </c>
      <c r="F120" s="127" t="s">
        <v>119</v>
      </c>
      <c r="G120" s="129" t="s">
        <v>120</v>
      </c>
      <c r="H120" s="130"/>
      <c r="J120" s="99"/>
      <c r="K120" s="127" t="s">
        <v>119</v>
      </c>
      <c r="L120" s="128" t="s">
        <v>120</v>
      </c>
      <c r="M120" s="127" t="s">
        <v>119</v>
      </c>
      <c r="N120" s="129" t="s">
        <v>120</v>
      </c>
      <c r="O120" s="127" t="s">
        <v>119</v>
      </c>
      <c r="P120" s="129" t="s">
        <v>120</v>
      </c>
      <c r="Q120" s="130"/>
      <c r="S120" s="99"/>
      <c r="T120" s="127" t="s">
        <v>119</v>
      </c>
      <c r="U120" s="128" t="s">
        <v>120</v>
      </c>
      <c r="V120" s="127" t="s">
        <v>119</v>
      </c>
      <c r="W120" s="129" t="s">
        <v>120</v>
      </c>
      <c r="X120" s="127" t="s">
        <v>119</v>
      </c>
      <c r="Y120" s="129" t="s">
        <v>120</v>
      </c>
      <c r="Z120" s="130"/>
      <c r="AB120" s="99"/>
      <c r="AC120" s="127" t="s">
        <v>119</v>
      </c>
      <c r="AD120" s="128" t="s">
        <v>120</v>
      </c>
      <c r="AE120" s="127" t="s">
        <v>119</v>
      </c>
      <c r="AF120" s="129" t="s">
        <v>120</v>
      </c>
      <c r="AG120" s="127" t="s">
        <v>119</v>
      </c>
      <c r="AH120" s="129" t="s">
        <v>120</v>
      </c>
      <c r="AI120" s="130"/>
    </row>
    <row r="121" customFormat="false" ht="17.35" hidden="false" customHeight="false" outlineLevel="0" collapsed="false">
      <c r="A121" s="48" t="s">
        <v>121</v>
      </c>
      <c r="B121" s="131" t="n">
        <f aca="false">B3</f>
        <v>46854.17</v>
      </c>
      <c r="C121" s="132" t="n">
        <f aca="false">B121</f>
        <v>46854.17</v>
      </c>
      <c r="D121" s="131" t="n">
        <f aca="false">D3</f>
        <v>0</v>
      </c>
      <c r="E121" s="132" t="n">
        <f aca="false">D121</f>
        <v>0</v>
      </c>
      <c r="F121" s="131" t="n">
        <f aca="false">F3</f>
        <v>833.33</v>
      </c>
      <c r="G121" s="132" t="n">
        <f aca="false">F121</f>
        <v>833.33</v>
      </c>
      <c r="H121" s="133" t="n">
        <f aca="false">H3</f>
        <v>0</v>
      </c>
      <c r="J121" s="48" t="s">
        <v>121</v>
      </c>
      <c r="K121" s="131" t="n">
        <f aca="false">B3</f>
        <v>46854.17</v>
      </c>
      <c r="L121" s="132" t="n">
        <v>28629.17</v>
      </c>
      <c r="M121" s="131" t="n">
        <f aca="false">D3</f>
        <v>0</v>
      </c>
      <c r="N121" s="132" t="n">
        <f aca="false">M121</f>
        <v>0</v>
      </c>
      <c r="O121" s="131" t="n">
        <f aca="false">F3</f>
        <v>833.33</v>
      </c>
      <c r="P121" s="132" t="n">
        <f aca="false">O121</f>
        <v>833.33</v>
      </c>
      <c r="Q121" s="133" t="n">
        <f aca="false">H3</f>
        <v>0</v>
      </c>
      <c r="S121" s="48" t="s">
        <v>121</v>
      </c>
      <c r="T121" s="131" t="n">
        <f aca="false">B3</f>
        <v>46854.17</v>
      </c>
      <c r="U121" s="132" t="n">
        <f aca="false">T121</f>
        <v>46854.17</v>
      </c>
      <c r="V121" s="131" t="n">
        <f aca="false">D3</f>
        <v>0</v>
      </c>
      <c r="W121" s="132" t="n">
        <f aca="false">V121</f>
        <v>0</v>
      </c>
      <c r="X121" s="131" t="n">
        <f aca="false">F3</f>
        <v>833.33</v>
      </c>
      <c r="Y121" s="132" t="n">
        <f aca="false">X121</f>
        <v>833.33</v>
      </c>
      <c r="Z121" s="133" t="n">
        <f aca="false">H3</f>
        <v>0</v>
      </c>
      <c r="AB121" s="48" t="s">
        <v>121</v>
      </c>
      <c r="AC121" s="131" t="n">
        <f aca="false">B3</f>
        <v>46854.17</v>
      </c>
      <c r="AD121" s="132" t="n">
        <f aca="false">AC121</f>
        <v>46854.17</v>
      </c>
      <c r="AE121" s="131" t="n">
        <f aca="false">D3</f>
        <v>0</v>
      </c>
      <c r="AF121" s="132" t="n">
        <f aca="false">AE121</f>
        <v>0</v>
      </c>
      <c r="AG121" s="131" t="n">
        <f aca="false">F3</f>
        <v>833.33</v>
      </c>
      <c r="AH121" s="132" t="n">
        <f aca="false">AG121</f>
        <v>833.33</v>
      </c>
      <c r="AI121" s="133" t="n">
        <f aca="false">H3</f>
        <v>0</v>
      </c>
    </row>
    <row r="122" customFormat="false" ht="17.35" hidden="false" customHeight="false" outlineLevel="0" collapsed="false">
      <c r="A122" s="55" t="s">
        <v>122</v>
      </c>
      <c r="B122" s="134" t="n">
        <f aca="false">B4</f>
        <v>0</v>
      </c>
      <c r="C122" s="17" t="n">
        <v>0</v>
      </c>
      <c r="D122" s="134" t="n">
        <f aca="false">D4</f>
        <v>0</v>
      </c>
      <c r="E122" s="17" t="n">
        <v>0</v>
      </c>
      <c r="F122" s="134" t="n">
        <f aca="false">F4</f>
        <v>0</v>
      </c>
      <c r="G122" s="135" t="n">
        <v>0</v>
      </c>
      <c r="H122" s="18"/>
      <c r="J122" s="55" t="s">
        <v>122</v>
      </c>
      <c r="K122" s="134" t="n">
        <f aca="false">B4</f>
        <v>0</v>
      </c>
      <c r="L122" s="17" t="n">
        <v>0</v>
      </c>
      <c r="M122" s="134" t="n">
        <f aca="false">D4</f>
        <v>0</v>
      </c>
      <c r="N122" s="17" t="n">
        <f aca="false">M122</f>
        <v>0</v>
      </c>
      <c r="O122" s="134" t="n">
        <f aca="false">F4</f>
        <v>0</v>
      </c>
      <c r="P122" s="135" t="n">
        <f aca="false">O122</f>
        <v>0</v>
      </c>
      <c r="Q122" s="18"/>
      <c r="S122" s="55" t="s">
        <v>122</v>
      </c>
      <c r="T122" s="134" t="n">
        <f aca="false">B4</f>
        <v>0</v>
      </c>
      <c r="U122" s="17" t="n">
        <v>0.25</v>
      </c>
      <c r="V122" s="134" t="n">
        <f aca="false">D4</f>
        <v>0</v>
      </c>
      <c r="W122" s="17" t="n">
        <f aca="false">V122</f>
        <v>0</v>
      </c>
      <c r="X122" s="134" t="n">
        <f aca="false">F4</f>
        <v>0</v>
      </c>
      <c r="Y122" s="135" t="n">
        <f aca="false">X122</f>
        <v>0</v>
      </c>
      <c r="Z122" s="18"/>
      <c r="AB122" s="55" t="s">
        <v>122</v>
      </c>
      <c r="AC122" s="134" t="n">
        <f aca="false">B4</f>
        <v>0</v>
      </c>
      <c r="AD122" s="17" t="n">
        <v>0.25</v>
      </c>
      <c r="AE122" s="134" t="n">
        <f aca="false">D4</f>
        <v>0</v>
      </c>
      <c r="AF122" s="17" t="n">
        <f aca="false">AE122</f>
        <v>0</v>
      </c>
      <c r="AG122" s="134" t="n">
        <f aca="false">F4</f>
        <v>0</v>
      </c>
      <c r="AH122" s="135" t="n">
        <f aca="false">AG122</f>
        <v>0</v>
      </c>
      <c r="AI122" s="18"/>
    </row>
    <row r="123" customFormat="false" ht="17.35" hidden="false" customHeight="false" outlineLevel="0" collapsed="false">
      <c r="A123" s="55" t="s">
        <v>123</v>
      </c>
      <c r="B123" s="136" t="n">
        <f aca="false">B5</f>
        <v>0</v>
      </c>
      <c r="C123" s="132" t="n">
        <v>-9754.17</v>
      </c>
      <c r="D123" s="136" t="n">
        <f aca="false">D5</f>
        <v>0</v>
      </c>
      <c r="E123" s="132" t="n">
        <v>0</v>
      </c>
      <c r="F123" s="136" t="n">
        <f aca="false">F5</f>
        <v>0</v>
      </c>
      <c r="G123" s="132" t="n">
        <v>0</v>
      </c>
      <c r="H123" s="20"/>
      <c r="J123" s="55" t="s">
        <v>123</v>
      </c>
      <c r="K123" s="136" t="n">
        <f aca="false">B5</f>
        <v>0</v>
      </c>
      <c r="L123" s="132" t="n">
        <v>0</v>
      </c>
      <c r="M123" s="136" t="n">
        <f aca="false">D5</f>
        <v>0</v>
      </c>
      <c r="N123" s="132" t="n">
        <f aca="false">M123</f>
        <v>0</v>
      </c>
      <c r="O123" s="136" t="n">
        <f aca="false">F5</f>
        <v>0</v>
      </c>
      <c r="P123" s="132" t="n">
        <f aca="false">O123</f>
        <v>0</v>
      </c>
      <c r="Q123" s="20"/>
      <c r="S123" s="55" t="s">
        <v>123</v>
      </c>
      <c r="T123" s="136" t="n">
        <f aca="false">B5</f>
        <v>0</v>
      </c>
      <c r="U123" s="132" t="n">
        <v>0</v>
      </c>
      <c r="V123" s="136" t="n">
        <f aca="false">D5</f>
        <v>0</v>
      </c>
      <c r="W123" s="132" t="n">
        <f aca="false">V123</f>
        <v>0</v>
      </c>
      <c r="X123" s="136" t="n">
        <f aca="false">F5</f>
        <v>0</v>
      </c>
      <c r="Y123" s="132" t="n">
        <f aca="false">X123</f>
        <v>0</v>
      </c>
      <c r="Z123" s="20"/>
      <c r="AB123" s="55" t="s">
        <v>123</v>
      </c>
      <c r="AC123" s="136" t="n">
        <f aca="false">B5</f>
        <v>0</v>
      </c>
      <c r="AD123" s="132" t="n">
        <v>0</v>
      </c>
      <c r="AE123" s="136" t="n">
        <f aca="false">D5</f>
        <v>0</v>
      </c>
      <c r="AF123" s="132" t="n">
        <f aca="false">AE123</f>
        <v>0</v>
      </c>
      <c r="AG123" s="136" t="n">
        <f aca="false">F5</f>
        <v>0</v>
      </c>
      <c r="AH123" s="132" t="n">
        <f aca="false">AG123</f>
        <v>0</v>
      </c>
      <c r="AI123" s="20"/>
    </row>
    <row r="124" customFormat="false" ht="17.35" hidden="false" customHeight="false" outlineLevel="0" collapsed="false">
      <c r="A124" s="55" t="s">
        <v>124</v>
      </c>
      <c r="B124" s="136" t="n">
        <f aca="false">(B121*B122)+B123</f>
        <v>0</v>
      </c>
      <c r="C124" s="137" t="n">
        <f aca="false">(C121*C122/100)+C123</f>
        <v>-9754.17</v>
      </c>
      <c r="D124" s="136" t="n">
        <f aca="false">(D121*D122)+D123</f>
        <v>0</v>
      </c>
      <c r="E124" s="137" t="n">
        <f aca="false">(E121*E122/100)+E123</f>
        <v>0</v>
      </c>
      <c r="F124" s="136" t="n">
        <f aca="false">(F121*F122)+F123</f>
        <v>0</v>
      </c>
      <c r="G124" s="137" t="n">
        <f aca="false">(G121*G122/100)+G123</f>
        <v>0</v>
      </c>
      <c r="H124" s="20"/>
      <c r="J124" s="55" t="s">
        <v>124</v>
      </c>
      <c r="K124" s="136" t="n">
        <f aca="false">(K121*K122)+K123</f>
        <v>0</v>
      </c>
      <c r="L124" s="137" t="n">
        <f aca="false">(L121*L122)+L123</f>
        <v>0</v>
      </c>
      <c r="M124" s="136" t="n">
        <f aca="false">(M121*M122)+M123</f>
        <v>0</v>
      </c>
      <c r="N124" s="137" t="n">
        <f aca="false">(N121*N122)+N123</f>
        <v>0</v>
      </c>
      <c r="O124" s="136" t="n">
        <f aca="false">(O121*O122)+O123</f>
        <v>0</v>
      </c>
      <c r="P124" s="137" t="n">
        <f aca="false">(P121*P122)+P123</f>
        <v>0</v>
      </c>
      <c r="Q124" s="20"/>
      <c r="S124" s="55" t="s">
        <v>124</v>
      </c>
      <c r="T124" s="136" t="n">
        <f aca="false">(T121*T122)+T123</f>
        <v>0</v>
      </c>
      <c r="U124" s="137" t="n">
        <f aca="false">(U121*U122)+U123</f>
        <v>11713.5425</v>
      </c>
      <c r="V124" s="136" t="n">
        <f aca="false">(V121*V122)+V123</f>
        <v>0</v>
      </c>
      <c r="W124" s="137" t="n">
        <f aca="false">(W121*W122)+W123</f>
        <v>0</v>
      </c>
      <c r="X124" s="136" t="n">
        <f aca="false">(X121*X122)+X123</f>
        <v>0</v>
      </c>
      <c r="Y124" s="137" t="n">
        <f aca="false">(Y121*Y122)+Y123</f>
        <v>0</v>
      </c>
      <c r="Z124" s="20"/>
      <c r="AB124" s="55" t="s">
        <v>124</v>
      </c>
      <c r="AC124" s="136" t="n">
        <f aca="false">(AC121*AC122)+AC123</f>
        <v>0</v>
      </c>
      <c r="AD124" s="137" t="n">
        <f aca="false">(AD121*AD122)+AD123</f>
        <v>11713.5425</v>
      </c>
      <c r="AE124" s="136" t="n">
        <f aca="false">(AE121*AE122)+AE123</f>
        <v>0</v>
      </c>
      <c r="AF124" s="137" t="n">
        <f aca="false">(AF121*AF122)+AF123</f>
        <v>0</v>
      </c>
      <c r="AG124" s="136" t="n">
        <f aca="false">(AG121*AG122)+AG123</f>
        <v>0</v>
      </c>
      <c r="AH124" s="137" t="n">
        <f aca="false">(AH121*AH122)+AH123</f>
        <v>0</v>
      </c>
      <c r="AI124" s="20"/>
    </row>
    <row r="125" customFormat="false" ht="17.35" hidden="false" customHeight="false" outlineLevel="0" collapsed="false">
      <c r="A125" s="74" t="s">
        <v>125</v>
      </c>
      <c r="B125" s="138" t="n">
        <f aca="false">B121-B124</f>
        <v>46854.17</v>
      </c>
      <c r="C125" s="139" t="n">
        <f aca="false">C121-C124</f>
        <v>56608.34</v>
      </c>
      <c r="D125" s="138" t="n">
        <f aca="false">D121-D124</f>
        <v>0</v>
      </c>
      <c r="E125" s="139" t="n">
        <f aca="false">E121-E124</f>
        <v>0</v>
      </c>
      <c r="F125" s="138" t="n">
        <f aca="false">F121-F124</f>
        <v>833.33</v>
      </c>
      <c r="G125" s="139" t="n">
        <f aca="false">G121-G124</f>
        <v>833.33</v>
      </c>
      <c r="H125" s="82"/>
      <c r="J125" s="74" t="s">
        <v>125</v>
      </c>
      <c r="K125" s="138" t="n">
        <f aca="false">K121-K124</f>
        <v>46854.17</v>
      </c>
      <c r="L125" s="139" t="n">
        <f aca="false">L121-L124</f>
        <v>28629.17</v>
      </c>
      <c r="M125" s="138" t="n">
        <f aca="false">M121-M124</f>
        <v>0</v>
      </c>
      <c r="N125" s="139" t="n">
        <f aca="false">N121-N124</f>
        <v>0</v>
      </c>
      <c r="O125" s="138" t="n">
        <f aca="false">O121-O124</f>
        <v>833.33</v>
      </c>
      <c r="P125" s="139" t="n">
        <f aca="false">P121-P124</f>
        <v>833.33</v>
      </c>
      <c r="Q125" s="82"/>
      <c r="S125" s="74" t="s">
        <v>125</v>
      </c>
      <c r="T125" s="138" t="n">
        <f aca="false">T121-T124</f>
        <v>46854.17</v>
      </c>
      <c r="U125" s="139" t="n">
        <f aca="false">U121-U124</f>
        <v>35140.6275</v>
      </c>
      <c r="V125" s="138" t="n">
        <f aca="false">V121-V124</f>
        <v>0</v>
      </c>
      <c r="W125" s="139" t="n">
        <f aca="false">W121-W124</f>
        <v>0</v>
      </c>
      <c r="X125" s="138" t="n">
        <f aca="false">X121-X124</f>
        <v>833.33</v>
      </c>
      <c r="Y125" s="139" t="n">
        <f aca="false">Y121-Y124</f>
        <v>833.33</v>
      </c>
      <c r="Z125" s="82"/>
      <c r="AB125" s="74" t="s">
        <v>125</v>
      </c>
      <c r="AC125" s="138" t="n">
        <f aca="false">AC121-AC124</f>
        <v>46854.17</v>
      </c>
      <c r="AD125" s="139" t="n">
        <f aca="false">AD121-AD124</f>
        <v>35140.6275</v>
      </c>
      <c r="AE125" s="138" t="n">
        <f aca="false">AE121-AE124</f>
        <v>0</v>
      </c>
      <c r="AF125" s="139" t="n">
        <f aca="false">AF121-AF124</f>
        <v>0</v>
      </c>
      <c r="AG125" s="138" t="n">
        <f aca="false">AG121-AG124</f>
        <v>833.33</v>
      </c>
      <c r="AH125" s="139" t="n">
        <f aca="false">AH121-AH124</f>
        <v>833.33</v>
      </c>
      <c r="AI125" s="82"/>
    </row>
    <row r="126" customFormat="false" ht="17.35" hidden="false" customHeight="false" outlineLevel="0" collapsed="false">
      <c r="A126" s="55"/>
      <c r="B126" s="25"/>
      <c r="C126" s="25"/>
      <c r="D126" s="25"/>
      <c r="E126" s="25"/>
      <c r="F126" s="25"/>
      <c r="G126" s="25"/>
      <c r="H126" s="20"/>
      <c r="J126" s="55"/>
      <c r="K126" s="25"/>
      <c r="L126" s="25"/>
      <c r="M126" s="25"/>
      <c r="N126" s="25"/>
      <c r="O126" s="25"/>
      <c r="P126" s="25"/>
      <c r="Q126" s="20"/>
      <c r="S126" s="55"/>
      <c r="T126" s="25"/>
      <c r="U126" s="25"/>
      <c r="V126" s="25"/>
      <c r="W126" s="25"/>
      <c r="X126" s="25"/>
      <c r="Y126" s="25"/>
      <c r="Z126" s="20"/>
      <c r="AB126" s="55"/>
      <c r="AC126" s="25"/>
      <c r="AD126" s="25"/>
      <c r="AE126" s="25"/>
      <c r="AF126" s="25"/>
      <c r="AG126" s="25"/>
      <c r="AH126" s="25"/>
      <c r="AI126" s="20"/>
    </row>
    <row r="127" customFormat="false" ht="19.7" hidden="false" customHeight="false" outlineLevel="0" collapsed="false">
      <c r="A127" s="140"/>
      <c r="B127" s="141"/>
      <c r="C127" s="141"/>
      <c r="D127" s="141"/>
      <c r="E127" s="141"/>
      <c r="F127" s="141"/>
      <c r="G127" s="29" t="s">
        <v>119</v>
      </c>
      <c r="H127" s="142" t="s">
        <v>120</v>
      </c>
      <c r="J127" s="140"/>
      <c r="K127" s="141"/>
      <c r="L127" s="141"/>
      <c r="M127" s="141"/>
      <c r="N127" s="141"/>
      <c r="O127" s="141"/>
      <c r="P127" s="29" t="s">
        <v>119</v>
      </c>
      <c r="Q127" s="142" t="s">
        <v>120</v>
      </c>
      <c r="S127" s="140"/>
      <c r="T127" s="141"/>
      <c r="U127" s="141"/>
      <c r="V127" s="141"/>
      <c r="W127" s="141"/>
      <c r="X127" s="141"/>
      <c r="Y127" s="29" t="s">
        <v>119</v>
      </c>
      <c r="Z127" s="142" t="s">
        <v>120</v>
      </c>
      <c r="AB127" s="140"/>
      <c r="AC127" s="141"/>
      <c r="AD127" s="141"/>
      <c r="AE127" s="141"/>
      <c r="AF127" s="141"/>
      <c r="AG127" s="141"/>
      <c r="AH127" s="29" t="s">
        <v>119</v>
      </c>
      <c r="AI127" s="142" t="s">
        <v>120</v>
      </c>
    </row>
    <row r="128" customFormat="false" ht="17.35" hidden="false" customHeight="false" outlineLevel="0" collapsed="false">
      <c r="A128" s="143" t="s">
        <v>126</v>
      </c>
      <c r="B128" s="144"/>
      <c r="C128" s="144"/>
      <c r="D128" s="144"/>
      <c r="E128" s="144"/>
      <c r="F128" s="144"/>
      <c r="G128" s="145" t="n">
        <f aca="false">H121</f>
        <v>0</v>
      </c>
      <c r="H128" s="146" t="n">
        <f aca="false">SUM(H131:H133)</f>
        <v>0</v>
      </c>
      <c r="J128" s="143" t="s">
        <v>126</v>
      </c>
      <c r="K128" s="144"/>
      <c r="L128" s="144"/>
      <c r="M128" s="144"/>
      <c r="N128" s="144"/>
      <c r="O128" s="144"/>
      <c r="P128" s="145" t="n">
        <f aca="false">Q121</f>
        <v>0</v>
      </c>
      <c r="Q128" s="146" t="n">
        <f aca="false">SUM(Q131:Q133)</f>
        <v>0</v>
      </c>
      <c r="S128" s="143" t="s">
        <v>126</v>
      </c>
      <c r="T128" s="144"/>
      <c r="U128" s="144"/>
      <c r="V128" s="144"/>
      <c r="W128" s="144"/>
      <c r="X128" s="144"/>
      <c r="Y128" s="145" t="n">
        <f aca="false">Z121</f>
        <v>0</v>
      </c>
      <c r="Z128" s="146" t="n">
        <f aca="false">SUM(Z131:Z133)</f>
        <v>0</v>
      </c>
      <c r="AB128" s="143" t="s">
        <v>126</v>
      </c>
      <c r="AC128" s="144"/>
      <c r="AD128" s="144"/>
      <c r="AE128" s="144"/>
      <c r="AF128" s="144"/>
      <c r="AG128" s="144"/>
      <c r="AH128" s="145" t="n">
        <f aca="false">AI121</f>
        <v>0</v>
      </c>
      <c r="AI128" s="146" t="n">
        <f aca="false">SUM(AI131:AI133)</f>
        <v>0</v>
      </c>
    </row>
    <row r="129" customFormat="false" ht="17.35" hidden="false" customHeight="false" outlineLevel="0" collapsed="false">
      <c r="A129" s="55"/>
      <c r="B129" s="25"/>
      <c r="C129" s="25"/>
      <c r="D129" s="25"/>
      <c r="E129" s="25"/>
      <c r="F129" s="25"/>
      <c r="G129" s="147"/>
      <c r="H129" s="148"/>
      <c r="J129" s="55"/>
      <c r="K129" s="25"/>
      <c r="L129" s="25"/>
      <c r="M129" s="25"/>
      <c r="N129" s="25"/>
      <c r="O129" s="25"/>
      <c r="P129" s="147"/>
      <c r="Q129" s="148"/>
      <c r="S129" s="55"/>
      <c r="T129" s="25"/>
      <c r="U129" s="25"/>
      <c r="V129" s="25"/>
      <c r="W129" s="25"/>
      <c r="X129" s="25"/>
      <c r="Y129" s="147"/>
      <c r="Z129" s="148"/>
      <c r="AB129" s="55"/>
      <c r="AC129" s="25"/>
      <c r="AD129" s="25"/>
      <c r="AE129" s="25"/>
      <c r="AF129" s="25"/>
      <c r="AG129" s="25"/>
      <c r="AH129" s="147"/>
      <c r="AI129" s="148"/>
    </row>
    <row r="130" customFormat="false" ht="17.35" hidden="false" customHeight="false" outlineLevel="0" collapsed="false">
      <c r="A130" s="149" t="s">
        <v>127</v>
      </c>
      <c r="B130" s="147" t="s">
        <v>128</v>
      </c>
      <c r="C130" s="147"/>
      <c r="D130" s="147" t="s">
        <v>129</v>
      </c>
      <c r="E130" s="147"/>
      <c r="F130" s="147" t="s">
        <v>123</v>
      </c>
      <c r="G130" s="147"/>
      <c r="H130" s="148" t="s">
        <v>120</v>
      </c>
      <c r="J130" s="149" t="s">
        <v>127</v>
      </c>
      <c r="K130" s="147" t="s">
        <v>128</v>
      </c>
      <c r="L130" s="147"/>
      <c r="M130" s="147" t="s">
        <v>129</v>
      </c>
      <c r="N130" s="147"/>
      <c r="O130" s="147" t="s">
        <v>123</v>
      </c>
      <c r="P130" s="147"/>
      <c r="Q130" s="148" t="s">
        <v>120</v>
      </c>
      <c r="S130" s="149" t="s">
        <v>127</v>
      </c>
      <c r="T130" s="147" t="s">
        <v>128</v>
      </c>
      <c r="U130" s="147"/>
      <c r="V130" s="147" t="s">
        <v>129</v>
      </c>
      <c r="W130" s="147"/>
      <c r="X130" s="147" t="s">
        <v>123</v>
      </c>
      <c r="Y130" s="147"/>
      <c r="Z130" s="148" t="s">
        <v>120</v>
      </c>
      <c r="AB130" s="149" t="s">
        <v>127</v>
      </c>
      <c r="AC130" s="147" t="s">
        <v>128</v>
      </c>
      <c r="AD130" s="147"/>
      <c r="AE130" s="147" t="s">
        <v>129</v>
      </c>
      <c r="AF130" s="147"/>
      <c r="AG130" s="147" t="s">
        <v>123</v>
      </c>
      <c r="AH130" s="147"/>
      <c r="AI130" s="148" t="s">
        <v>120</v>
      </c>
    </row>
    <row r="131" customFormat="false" ht="17.35" hidden="false" customHeight="false" outlineLevel="0" collapsed="false">
      <c r="A131" s="55" t="s">
        <v>130</v>
      </c>
      <c r="B131" s="150" t="n">
        <f aca="false">G128</f>
        <v>0</v>
      </c>
      <c r="C131" s="150"/>
      <c r="D131" s="151" t="n">
        <v>0</v>
      </c>
      <c r="E131" s="151"/>
      <c r="F131" s="150" t="n">
        <v>0</v>
      </c>
      <c r="G131" s="150"/>
      <c r="H131" s="152" t="n">
        <f aca="false">(B131-(B131*D131))-F131</f>
        <v>0</v>
      </c>
      <c r="J131" s="55" t="s">
        <v>130</v>
      </c>
      <c r="K131" s="150" t="n">
        <f aca="false">P128</f>
        <v>0</v>
      </c>
      <c r="L131" s="150"/>
      <c r="M131" s="151" t="n">
        <v>0</v>
      </c>
      <c r="N131" s="151"/>
      <c r="O131" s="150" t="n">
        <v>0</v>
      </c>
      <c r="P131" s="150"/>
      <c r="Q131" s="152" t="n">
        <f aca="false">(K131-(K131*M131))-O131</f>
        <v>0</v>
      </c>
      <c r="S131" s="55" t="s">
        <v>130</v>
      </c>
      <c r="T131" s="150" t="n">
        <f aca="false">Y128</f>
        <v>0</v>
      </c>
      <c r="U131" s="150"/>
      <c r="V131" s="151" t="n">
        <v>0</v>
      </c>
      <c r="W131" s="151"/>
      <c r="X131" s="150" t="n">
        <v>0</v>
      </c>
      <c r="Y131" s="150"/>
      <c r="Z131" s="152" t="n">
        <f aca="false">(T131-(T131*V131))-X131</f>
        <v>0</v>
      </c>
      <c r="AB131" s="55" t="s">
        <v>130</v>
      </c>
      <c r="AC131" s="150" t="n">
        <f aca="false">AH128</f>
        <v>0</v>
      </c>
      <c r="AD131" s="150"/>
      <c r="AE131" s="151" t="n">
        <v>0</v>
      </c>
      <c r="AF131" s="151"/>
      <c r="AG131" s="150" t="n">
        <v>0</v>
      </c>
      <c r="AH131" s="150"/>
      <c r="AI131" s="152" t="n">
        <f aca="false">(AC131-(AC131*AE131))-AG131</f>
        <v>0</v>
      </c>
    </row>
    <row r="132" customFormat="false" ht="17.35" hidden="false" customHeight="false" outlineLevel="0" collapsed="false">
      <c r="A132" s="55" t="s">
        <v>131</v>
      </c>
      <c r="B132" s="150" t="n">
        <v>0</v>
      </c>
      <c r="C132" s="150"/>
      <c r="D132" s="151" t="n">
        <v>0</v>
      </c>
      <c r="E132" s="151"/>
      <c r="F132" s="150" t="n">
        <v>0</v>
      </c>
      <c r="G132" s="150"/>
      <c r="H132" s="152" t="n">
        <f aca="false">(B132-(B132*D132))-F132</f>
        <v>0</v>
      </c>
      <c r="J132" s="55" t="s">
        <v>131</v>
      </c>
      <c r="K132" s="150" t="n">
        <v>0</v>
      </c>
      <c r="L132" s="150"/>
      <c r="M132" s="151" t="n">
        <v>0</v>
      </c>
      <c r="N132" s="151"/>
      <c r="O132" s="150" t="n">
        <v>0</v>
      </c>
      <c r="P132" s="150"/>
      <c r="Q132" s="152" t="n">
        <f aca="false">(K132-(K132*M132))-O132</f>
        <v>0</v>
      </c>
      <c r="S132" s="55" t="s">
        <v>131</v>
      </c>
      <c r="T132" s="150" t="n">
        <v>0</v>
      </c>
      <c r="U132" s="150"/>
      <c r="V132" s="151" t="n">
        <v>0</v>
      </c>
      <c r="W132" s="151"/>
      <c r="X132" s="150" t="n">
        <v>0</v>
      </c>
      <c r="Y132" s="150"/>
      <c r="Z132" s="152" t="n">
        <f aca="false">(T132-(T132*V132))-X132</f>
        <v>0</v>
      </c>
      <c r="AB132" s="55" t="s">
        <v>131</v>
      </c>
      <c r="AC132" s="150" t="n">
        <v>0</v>
      </c>
      <c r="AD132" s="150"/>
      <c r="AE132" s="151" t="n">
        <v>0</v>
      </c>
      <c r="AF132" s="151"/>
      <c r="AG132" s="150" t="n">
        <v>0</v>
      </c>
      <c r="AH132" s="150"/>
      <c r="AI132" s="152" t="n">
        <f aca="false">(AC132-(AC132*AE132))-AG132</f>
        <v>0</v>
      </c>
    </row>
    <row r="133" customFormat="false" ht="17.35" hidden="false" customHeight="false" outlineLevel="0" collapsed="false">
      <c r="A133" s="55" t="s">
        <v>132</v>
      </c>
      <c r="B133" s="150" t="n">
        <v>0</v>
      </c>
      <c r="C133" s="150"/>
      <c r="D133" s="151" t="n">
        <v>0</v>
      </c>
      <c r="E133" s="151"/>
      <c r="F133" s="150" t="n">
        <v>0</v>
      </c>
      <c r="G133" s="150"/>
      <c r="H133" s="152" t="n">
        <f aca="false">(B133-(B133*D133))-F133</f>
        <v>0</v>
      </c>
      <c r="J133" s="55" t="s">
        <v>132</v>
      </c>
      <c r="K133" s="150" t="n">
        <v>0</v>
      </c>
      <c r="L133" s="150"/>
      <c r="M133" s="151" t="n">
        <v>0</v>
      </c>
      <c r="N133" s="151"/>
      <c r="O133" s="150" t="n">
        <v>0</v>
      </c>
      <c r="P133" s="150"/>
      <c r="Q133" s="152" t="n">
        <f aca="false">(K133-(K133*M133))-O133</f>
        <v>0</v>
      </c>
      <c r="S133" s="55" t="s">
        <v>132</v>
      </c>
      <c r="T133" s="150" t="n">
        <v>0</v>
      </c>
      <c r="U133" s="150"/>
      <c r="V133" s="151" t="n">
        <v>0</v>
      </c>
      <c r="W133" s="151"/>
      <c r="X133" s="150" t="n">
        <v>0</v>
      </c>
      <c r="Y133" s="150"/>
      <c r="Z133" s="152" t="n">
        <f aca="false">(T133-(T133*V133))-X133</f>
        <v>0</v>
      </c>
      <c r="AB133" s="55" t="s">
        <v>132</v>
      </c>
      <c r="AC133" s="150" t="n">
        <v>0</v>
      </c>
      <c r="AD133" s="150"/>
      <c r="AE133" s="151" t="n">
        <v>0</v>
      </c>
      <c r="AF133" s="151"/>
      <c r="AG133" s="150" t="n">
        <v>0</v>
      </c>
      <c r="AH133" s="150"/>
      <c r="AI133" s="152" t="n">
        <f aca="false">(AC133-(AC133*AE133))-AG133</f>
        <v>0</v>
      </c>
    </row>
    <row r="134" customFormat="false" ht="17.35" hidden="false" customHeight="false" outlineLevel="0" collapsed="false">
      <c r="A134" s="55"/>
      <c r="B134" s="25"/>
      <c r="C134" s="25"/>
      <c r="D134" s="25"/>
      <c r="E134" s="25"/>
      <c r="F134" s="25"/>
      <c r="G134" s="147"/>
      <c r="H134" s="148"/>
      <c r="J134" s="55"/>
      <c r="K134" s="25"/>
      <c r="L134" s="25"/>
      <c r="M134" s="25"/>
      <c r="N134" s="25"/>
      <c r="O134" s="25"/>
      <c r="P134" s="147"/>
      <c r="Q134" s="148"/>
      <c r="S134" s="55"/>
      <c r="T134" s="25"/>
      <c r="U134" s="25"/>
      <c r="V134" s="25"/>
      <c r="W134" s="25"/>
      <c r="X134" s="25"/>
      <c r="Y134" s="147"/>
      <c r="Z134" s="148"/>
      <c r="AB134" s="55"/>
      <c r="AC134" s="25"/>
      <c r="AD134" s="25"/>
      <c r="AE134" s="25"/>
      <c r="AF134" s="25"/>
      <c r="AG134" s="25"/>
      <c r="AH134" s="147"/>
      <c r="AI134" s="148"/>
    </row>
    <row r="135" customFormat="false" ht="19.7" hidden="false" customHeight="false" outlineLevel="0" collapsed="false">
      <c r="A135" s="153" t="s">
        <v>133</v>
      </c>
      <c r="B135" s="153"/>
      <c r="C135" s="153"/>
      <c r="D135" s="153"/>
      <c r="E135" s="153"/>
      <c r="F135" s="153"/>
      <c r="G135" s="29" t="n">
        <f aca="false">H9</f>
        <v>47687.5</v>
      </c>
      <c r="H135" s="154" t="n">
        <f aca="false">C125+E125+G125+H128</f>
        <v>57441.67</v>
      </c>
      <c r="J135" s="153" t="s">
        <v>133</v>
      </c>
      <c r="K135" s="153"/>
      <c r="L135" s="153"/>
      <c r="M135" s="153"/>
      <c r="N135" s="153"/>
      <c r="O135" s="153"/>
      <c r="P135" s="29" t="n">
        <f aca="false">H9</f>
        <v>47687.5</v>
      </c>
      <c r="Q135" s="154" t="n">
        <f aca="false">L125+N125+P125+Q128</f>
        <v>29462.5</v>
      </c>
      <c r="S135" s="153" t="s">
        <v>133</v>
      </c>
      <c r="T135" s="153"/>
      <c r="U135" s="153"/>
      <c r="V135" s="153"/>
      <c r="W135" s="153"/>
      <c r="X135" s="153"/>
      <c r="Y135" s="29" t="n">
        <f aca="false">H9</f>
        <v>47687.5</v>
      </c>
      <c r="Z135" s="154" t="n">
        <f aca="false">U125+W125+Y125+Z128</f>
        <v>35973.9575</v>
      </c>
      <c r="AB135" s="153" t="s">
        <v>133</v>
      </c>
      <c r="AC135" s="153"/>
      <c r="AD135" s="153"/>
      <c r="AE135" s="153"/>
      <c r="AF135" s="153"/>
      <c r="AG135" s="153"/>
      <c r="AH135" s="29" t="n">
        <f aca="false">H9</f>
        <v>47687.5</v>
      </c>
      <c r="AI135" s="154" t="n">
        <f aca="false">AD125+AF125+AH125+AI128</f>
        <v>35973.9575</v>
      </c>
    </row>
    <row r="136" customFormat="false" ht="17.35" hidden="false" customHeight="false" outlineLevel="0" collapsed="false">
      <c r="A136" s="155" t="s">
        <v>134</v>
      </c>
      <c r="B136" s="155"/>
      <c r="C136" s="155"/>
      <c r="D136" s="155"/>
      <c r="E136" s="155"/>
      <c r="F136" s="155"/>
      <c r="G136" s="21" t="n">
        <f aca="false">H10</f>
        <v>550</v>
      </c>
      <c r="H136" s="20" t="n">
        <f aca="false">G136</f>
        <v>550</v>
      </c>
      <c r="J136" s="155" t="s">
        <v>134</v>
      </c>
      <c r="K136" s="155"/>
      <c r="L136" s="155"/>
      <c r="M136" s="155"/>
      <c r="N136" s="155"/>
      <c r="O136" s="155"/>
      <c r="P136" s="21" t="n">
        <f aca="false">H10</f>
        <v>550</v>
      </c>
      <c r="Q136" s="20" t="n">
        <f aca="false">P136</f>
        <v>550</v>
      </c>
      <c r="S136" s="155" t="s">
        <v>134</v>
      </c>
      <c r="T136" s="155"/>
      <c r="U136" s="155"/>
      <c r="V136" s="155"/>
      <c r="W136" s="155"/>
      <c r="X136" s="155"/>
      <c r="Y136" s="21" t="n">
        <f aca="false">H10</f>
        <v>550</v>
      </c>
      <c r="Z136" s="20" t="n">
        <f aca="false">Y136</f>
        <v>550</v>
      </c>
      <c r="AB136" s="155" t="s">
        <v>134</v>
      </c>
      <c r="AC136" s="155"/>
      <c r="AD136" s="155"/>
      <c r="AE136" s="155"/>
      <c r="AF136" s="155"/>
      <c r="AG136" s="155"/>
      <c r="AH136" s="21" t="n">
        <f aca="false">H10</f>
        <v>550</v>
      </c>
      <c r="AI136" s="20" t="n">
        <f aca="false">AH136</f>
        <v>550</v>
      </c>
    </row>
    <row r="137" customFormat="false" ht="17.35" hidden="false" customHeight="false" outlineLevel="0" collapsed="false">
      <c r="A137" s="155" t="s">
        <v>135</v>
      </c>
      <c r="B137" s="155"/>
      <c r="C137" s="155"/>
      <c r="D137" s="155"/>
      <c r="E137" s="155"/>
      <c r="F137" s="155"/>
      <c r="G137" s="21" t="n">
        <f aca="false">H11</f>
        <v>9647.5</v>
      </c>
      <c r="H137" s="20" t="n">
        <f aca="false">(H135+H136)*20%</f>
        <v>11598.334</v>
      </c>
      <c r="J137" s="155" t="s">
        <v>135</v>
      </c>
      <c r="K137" s="155"/>
      <c r="L137" s="155"/>
      <c r="M137" s="155"/>
      <c r="N137" s="155"/>
      <c r="O137" s="155"/>
      <c r="P137" s="21" t="n">
        <f aca="false">H11</f>
        <v>9647.5</v>
      </c>
      <c r="Q137" s="20" t="n">
        <f aca="false">(Q135+Q136)*20%</f>
        <v>6002.5</v>
      </c>
      <c r="S137" s="155" t="s">
        <v>135</v>
      </c>
      <c r="T137" s="155"/>
      <c r="U137" s="155"/>
      <c r="V137" s="155"/>
      <c r="W137" s="155"/>
      <c r="X137" s="155"/>
      <c r="Y137" s="21" t="n">
        <f aca="false">H11</f>
        <v>9647.5</v>
      </c>
      <c r="Z137" s="20" t="n">
        <f aca="false">(Z135+Z136)*20%</f>
        <v>7304.7915</v>
      </c>
      <c r="AB137" s="155" t="s">
        <v>135</v>
      </c>
      <c r="AC137" s="155"/>
      <c r="AD137" s="155"/>
      <c r="AE137" s="155"/>
      <c r="AF137" s="155"/>
      <c r="AG137" s="155"/>
      <c r="AH137" s="21" t="n">
        <f aca="false">H11</f>
        <v>9647.5</v>
      </c>
      <c r="AI137" s="20" t="n">
        <f aca="false">(AI135+AI136)*20%</f>
        <v>7304.7915</v>
      </c>
    </row>
    <row r="138" customFormat="false" ht="17.35" hidden="false" customHeight="false" outlineLevel="0" collapsed="false">
      <c r="A138" s="155" t="s">
        <v>136</v>
      </c>
      <c r="B138" s="155"/>
      <c r="C138" s="155"/>
      <c r="D138" s="155"/>
      <c r="E138" s="155"/>
      <c r="F138" s="155"/>
      <c r="G138" s="21" t="n">
        <f aca="false">H12</f>
        <v>0</v>
      </c>
      <c r="H138" s="20" t="n">
        <v>0</v>
      </c>
      <c r="J138" s="155" t="s">
        <v>136</v>
      </c>
      <c r="K138" s="155"/>
      <c r="L138" s="155"/>
      <c r="M138" s="155"/>
      <c r="N138" s="155"/>
      <c r="O138" s="155"/>
      <c r="P138" s="21" t="n">
        <f aca="false">H12</f>
        <v>0</v>
      </c>
      <c r="Q138" s="20" t="n">
        <f aca="false">P138</f>
        <v>0</v>
      </c>
      <c r="S138" s="155" t="s">
        <v>136</v>
      </c>
      <c r="T138" s="155"/>
      <c r="U138" s="155"/>
      <c r="V138" s="155"/>
      <c r="W138" s="155"/>
      <c r="X138" s="155"/>
      <c r="Y138" s="21" t="n">
        <f aca="false">H12</f>
        <v>0</v>
      </c>
      <c r="Z138" s="20" t="n">
        <f aca="false">Y138</f>
        <v>0</v>
      </c>
      <c r="AB138" s="155" t="s">
        <v>136</v>
      </c>
      <c r="AC138" s="155"/>
      <c r="AD138" s="155"/>
      <c r="AE138" s="155"/>
      <c r="AF138" s="155"/>
      <c r="AG138" s="155"/>
      <c r="AH138" s="21" t="n">
        <f aca="false">H12</f>
        <v>0</v>
      </c>
      <c r="AI138" s="20" t="n">
        <f aca="false">AH138</f>
        <v>0</v>
      </c>
    </row>
    <row r="139" customFormat="false" ht="17.35" hidden="false" customHeight="false" outlineLevel="0" collapsed="false">
      <c r="A139" s="155" t="s">
        <v>137</v>
      </c>
      <c r="B139" s="155"/>
      <c r="C139" s="155"/>
      <c r="D139" s="155"/>
      <c r="E139" s="155"/>
      <c r="F139" s="155"/>
      <c r="G139" s="21" t="n">
        <f aca="false">H13</f>
        <v>585</v>
      </c>
      <c r="H139" s="20" t="n">
        <f aca="false">G139</f>
        <v>585</v>
      </c>
      <c r="J139" s="155" t="s">
        <v>137</v>
      </c>
      <c r="K139" s="155"/>
      <c r="L139" s="155"/>
      <c r="M139" s="155"/>
      <c r="N139" s="155"/>
      <c r="O139" s="155"/>
      <c r="P139" s="21" t="n">
        <f aca="false">H13</f>
        <v>585</v>
      </c>
      <c r="Q139" s="20" t="n">
        <f aca="false">P139</f>
        <v>585</v>
      </c>
      <c r="S139" s="155" t="s">
        <v>137</v>
      </c>
      <c r="T139" s="155"/>
      <c r="U139" s="155"/>
      <c r="V139" s="155"/>
      <c r="W139" s="155"/>
      <c r="X139" s="155"/>
      <c r="Y139" s="21" t="n">
        <f aca="false">H13</f>
        <v>585</v>
      </c>
      <c r="Z139" s="20" t="n">
        <f aca="false">Y139</f>
        <v>585</v>
      </c>
      <c r="AB139" s="155" t="s">
        <v>137</v>
      </c>
      <c r="AC139" s="155"/>
      <c r="AD139" s="155"/>
      <c r="AE139" s="155"/>
      <c r="AF139" s="155"/>
      <c r="AG139" s="155"/>
      <c r="AH139" s="21" t="n">
        <f aca="false">H13</f>
        <v>585</v>
      </c>
      <c r="AI139" s="20" t="n">
        <f aca="false">AH139</f>
        <v>585</v>
      </c>
    </row>
    <row r="140" customFormat="false" ht="17.35" hidden="false" customHeight="false" outlineLevel="0" collapsed="false">
      <c r="A140" s="155" t="s">
        <v>138</v>
      </c>
      <c r="B140" s="155"/>
      <c r="C140" s="155"/>
      <c r="D140" s="155"/>
      <c r="E140" s="155"/>
      <c r="F140" s="155"/>
      <c r="G140" s="21" t="n">
        <f aca="false">H14</f>
        <v>55</v>
      </c>
      <c r="H140" s="20" t="n">
        <v>55</v>
      </c>
      <c r="J140" s="155" t="s">
        <v>138</v>
      </c>
      <c r="K140" s="155"/>
      <c r="L140" s="155"/>
      <c r="M140" s="155"/>
      <c r="N140" s="155"/>
      <c r="O140" s="155"/>
      <c r="P140" s="21" t="n">
        <f aca="false">H14</f>
        <v>55</v>
      </c>
      <c r="Q140" s="20" t="n">
        <v>55</v>
      </c>
      <c r="S140" s="155" t="s">
        <v>138</v>
      </c>
      <c r="T140" s="155"/>
      <c r="U140" s="155"/>
      <c r="V140" s="155"/>
      <c r="W140" s="155"/>
      <c r="X140" s="155"/>
      <c r="Y140" s="21" t="n">
        <f aca="false">H14</f>
        <v>55</v>
      </c>
      <c r="Z140" s="20" t="n">
        <v>55</v>
      </c>
      <c r="AB140" s="155" t="s">
        <v>138</v>
      </c>
      <c r="AC140" s="155"/>
      <c r="AD140" s="155"/>
      <c r="AE140" s="155"/>
      <c r="AF140" s="155"/>
      <c r="AG140" s="155"/>
      <c r="AH140" s="21" t="n">
        <f aca="false">H14</f>
        <v>55</v>
      </c>
      <c r="AI140" s="20" t="n">
        <v>55</v>
      </c>
    </row>
    <row r="141" customFormat="false" ht="19.7" hidden="false" customHeight="false" outlineLevel="0" collapsed="false">
      <c r="A141" s="155" t="s">
        <v>139</v>
      </c>
      <c r="B141" s="155"/>
      <c r="C141" s="155"/>
      <c r="D141" s="155"/>
      <c r="E141" s="155"/>
      <c r="F141" s="155"/>
      <c r="G141" s="157" t="n">
        <f aca="false">H15</f>
        <v>58525</v>
      </c>
      <c r="H141" s="156" t="n">
        <f aca="false">(H135+H136+H139+H140+H137)-H138</f>
        <v>70230.004</v>
      </c>
      <c r="J141" s="155" t="s">
        <v>139</v>
      </c>
      <c r="K141" s="155"/>
      <c r="L141" s="155"/>
      <c r="M141" s="155"/>
      <c r="N141" s="155"/>
      <c r="O141" s="155"/>
      <c r="P141" s="157" t="n">
        <f aca="false">H15</f>
        <v>58525</v>
      </c>
      <c r="Q141" s="156" t="n">
        <f aca="false">(Q135+Q136+Q139+Q140+Q137)-Q138</f>
        <v>36655</v>
      </c>
      <c r="S141" s="155" t="s">
        <v>139</v>
      </c>
      <c r="T141" s="155"/>
      <c r="U141" s="155"/>
      <c r="V141" s="155"/>
      <c r="W141" s="155"/>
      <c r="X141" s="155"/>
      <c r="Y141" s="157" t="n">
        <f aca="false">H15</f>
        <v>58525</v>
      </c>
      <c r="Z141" s="156" t="n">
        <f aca="false">(Z135+Z136+Z139+Z140+Z137)-Z138</f>
        <v>44468.749</v>
      </c>
      <c r="AB141" s="155" t="s">
        <v>139</v>
      </c>
      <c r="AC141" s="155"/>
      <c r="AD141" s="155"/>
      <c r="AE141" s="155"/>
      <c r="AF141" s="155"/>
      <c r="AG141" s="155"/>
      <c r="AH141" s="157" t="n">
        <f aca="false">H15</f>
        <v>58525</v>
      </c>
      <c r="AI141" s="156" t="n">
        <f aca="false">(AI135+AI136+AI139+AI140+AI137)-AI138</f>
        <v>44468.749</v>
      </c>
    </row>
    <row r="142" customFormat="false" ht="17.35" hidden="false" customHeight="false" outlineLevel="0" collapsed="false">
      <c r="A142" s="155" t="s">
        <v>140</v>
      </c>
      <c r="B142" s="155"/>
      <c r="C142" s="155"/>
      <c r="D142" s="155"/>
      <c r="E142" s="155"/>
      <c r="F142" s="155"/>
      <c r="G142" s="21" t="n">
        <f aca="false">H16</f>
        <v>0</v>
      </c>
      <c r="H142" s="52" t="n">
        <f aca="false">G142</f>
        <v>0</v>
      </c>
      <c r="J142" s="155" t="s">
        <v>140</v>
      </c>
      <c r="K142" s="155"/>
      <c r="L142" s="155"/>
      <c r="M142" s="155"/>
      <c r="N142" s="155"/>
      <c r="O142" s="155"/>
      <c r="P142" s="21" t="n">
        <f aca="false">H16</f>
        <v>0</v>
      </c>
      <c r="Q142" s="52" t="n">
        <f aca="false">P142</f>
        <v>0</v>
      </c>
      <c r="S142" s="155" t="s">
        <v>140</v>
      </c>
      <c r="T142" s="155"/>
      <c r="U142" s="155"/>
      <c r="V142" s="155"/>
      <c r="W142" s="155"/>
      <c r="X142" s="155"/>
      <c r="Y142" s="21" t="n">
        <f aca="false">H16</f>
        <v>0</v>
      </c>
      <c r="Z142" s="52" t="n">
        <f aca="false">Y142</f>
        <v>0</v>
      </c>
      <c r="AB142" s="155" t="s">
        <v>140</v>
      </c>
      <c r="AC142" s="155"/>
      <c r="AD142" s="155"/>
      <c r="AE142" s="155"/>
      <c r="AF142" s="155"/>
      <c r="AG142" s="155"/>
      <c r="AH142" s="21" t="n">
        <f aca="false">H16</f>
        <v>0</v>
      </c>
      <c r="AI142" s="52" t="n">
        <f aca="false">AH142</f>
        <v>0</v>
      </c>
    </row>
    <row r="143" customFormat="false" ht="17.35" hidden="false" customHeight="false" outlineLevel="0" collapsed="false">
      <c r="A143" s="70" t="s">
        <v>141</v>
      </c>
      <c r="B143" s="70"/>
      <c r="C143" s="70"/>
      <c r="D143" s="70"/>
      <c r="E143" s="70"/>
      <c r="F143" s="70"/>
      <c r="G143" s="37"/>
      <c r="H143" s="20"/>
      <c r="J143" s="70" t="s">
        <v>141</v>
      </c>
      <c r="K143" s="70"/>
      <c r="L143" s="70"/>
      <c r="M143" s="70"/>
      <c r="N143" s="70"/>
      <c r="O143" s="70"/>
      <c r="P143" s="37"/>
      <c r="Q143" s="20"/>
      <c r="S143" s="70" t="s">
        <v>141</v>
      </c>
      <c r="T143" s="70"/>
      <c r="U143" s="70"/>
      <c r="V143" s="70"/>
      <c r="W143" s="70"/>
      <c r="X143" s="70"/>
      <c r="Y143" s="37"/>
      <c r="Z143" s="20"/>
      <c r="AB143" s="70" t="s">
        <v>141</v>
      </c>
      <c r="AC143" s="70"/>
      <c r="AD143" s="70"/>
      <c r="AE143" s="70"/>
      <c r="AF143" s="70"/>
      <c r="AG143" s="70"/>
      <c r="AH143" s="37"/>
      <c r="AI143" s="20"/>
    </row>
    <row r="144" customFormat="false" ht="17.35" hidden="false" customHeight="false" outlineLevel="0" collapsed="false">
      <c r="A144" s="158" t="s">
        <v>15</v>
      </c>
      <c r="B144" s="159" t="n">
        <v>0</v>
      </c>
      <c r="C144" s="159"/>
      <c r="D144" s="159"/>
      <c r="E144" s="159"/>
      <c r="F144" s="159"/>
      <c r="G144" s="21" t="n">
        <f aca="false">H18</f>
        <v>0</v>
      </c>
      <c r="H144" s="52" t="n">
        <v>0</v>
      </c>
      <c r="J144" s="158" t="s">
        <v>15</v>
      </c>
      <c r="K144" s="159" t="s">
        <v>142</v>
      </c>
      <c r="L144" s="159"/>
      <c r="M144" s="159"/>
      <c r="N144" s="159"/>
      <c r="O144" s="159"/>
      <c r="P144" s="21" t="n">
        <f aca="false">H18</f>
        <v>0</v>
      </c>
      <c r="Q144" s="52" t="n">
        <f aca="false">P144</f>
        <v>0</v>
      </c>
      <c r="S144" s="158" t="s">
        <v>15</v>
      </c>
      <c r="T144" s="159" t="s">
        <v>142</v>
      </c>
      <c r="U144" s="159"/>
      <c r="V144" s="159"/>
      <c r="W144" s="159"/>
      <c r="X144" s="159"/>
      <c r="Y144" s="21" t="n">
        <f aca="false">H18</f>
        <v>0</v>
      </c>
      <c r="Z144" s="52" t="n">
        <f aca="false">Y144</f>
        <v>0</v>
      </c>
      <c r="AB144" s="158" t="s">
        <v>15</v>
      </c>
      <c r="AC144" s="159" t="s">
        <v>142</v>
      </c>
      <c r="AD144" s="159"/>
      <c r="AE144" s="159"/>
      <c r="AF144" s="159"/>
      <c r="AG144" s="159"/>
      <c r="AH144" s="21" t="n">
        <f aca="false">H18</f>
        <v>0</v>
      </c>
      <c r="AI144" s="52" t="n">
        <f aca="false">AH144</f>
        <v>0</v>
      </c>
    </row>
    <row r="145" customFormat="false" ht="17.35" hidden="false" customHeight="false" outlineLevel="0" collapsed="false">
      <c r="A145" s="158" t="s">
        <v>17</v>
      </c>
      <c r="B145" s="159" t="s">
        <v>142</v>
      </c>
      <c r="C145" s="159"/>
      <c r="D145" s="159"/>
      <c r="E145" s="159"/>
      <c r="F145" s="159"/>
      <c r="G145" s="21" t="n">
        <f aca="false">H19</f>
        <v>0</v>
      </c>
      <c r="H145" s="52" t="n">
        <v>0</v>
      </c>
      <c r="I145" s="1" t="n">
        <f aca="false">(G142+G145+G146+G144)</f>
        <v>0</v>
      </c>
      <c r="J145" s="158" t="s">
        <v>17</v>
      </c>
      <c r="K145" s="159" t="s">
        <v>142</v>
      </c>
      <c r="L145" s="159"/>
      <c r="M145" s="159"/>
      <c r="N145" s="159"/>
      <c r="O145" s="159"/>
      <c r="P145" s="21" t="n">
        <f aca="false">H19</f>
        <v>0</v>
      </c>
      <c r="Q145" s="52" t="n">
        <f aca="false">P145</f>
        <v>0</v>
      </c>
      <c r="S145" s="158" t="s">
        <v>17</v>
      </c>
      <c r="T145" s="159" t="s">
        <v>142</v>
      </c>
      <c r="U145" s="159"/>
      <c r="V145" s="159"/>
      <c r="W145" s="159"/>
      <c r="X145" s="159"/>
      <c r="Y145" s="21" t="n">
        <f aca="false">H19</f>
        <v>0</v>
      </c>
      <c r="Z145" s="52" t="n">
        <f aca="false">Y145</f>
        <v>0</v>
      </c>
      <c r="AB145" s="158" t="s">
        <v>17</v>
      </c>
      <c r="AC145" s="159" t="s">
        <v>142</v>
      </c>
      <c r="AD145" s="159"/>
      <c r="AE145" s="159"/>
      <c r="AF145" s="159"/>
      <c r="AG145" s="159"/>
      <c r="AH145" s="21" t="n">
        <f aca="false">H19</f>
        <v>0</v>
      </c>
      <c r="AI145" s="52" t="n">
        <f aca="false">AH145</f>
        <v>0</v>
      </c>
    </row>
    <row r="146" customFormat="false" ht="17.35" hidden="false" customHeight="false" outlineLevel="0" collapsed="false">
      <c r="A146" s="160" t="s">
        <v>18</v>
      </c>
      <c r="B146" s="161" t="s">
        <v>142</v>
      </c>
      <c r="C146" s="161"/>
      <c r="D146" s="161"/>
      <c r="E146" s="161"/>
      <c r="F146" s="161"/>
      <c r="G146" s="21" t="n">
        <f aca="false">H20</f>
        <v>0</v>
      </c>
      <c r="H146" s="52" t="n">
        <v>0</v>
      </c>
      <c r="I146" s="1" t="n">
        <f aca="false">(H142+H144+H145+H146)</f>
        <v>0</v>
      </c>
      <c r="J146" s="160" t="s">
        <v>18</v>
      </c>
      <c r="K146" s="161" t="s">
        <v>142</v>
      </c>
      <c r="L146" s="161"/>
      <c r="M146" s="161"/>
      <c r="N146" s="161"/>
      <c r="O146" s="161"/>
      <c r="P146" s="21" t="n">
        <f aca="false">H20</f>
        <v>0</v>
      </c>
      <c r="Q146" s="52" t="n">
        <f aca="false">P146</f>
        <v>0</v>
      </c>
      <c r="S146" s="160" t="s">
        <v>18</v>
      </c>
      <c r="T146" s="161" t="s">
        <v>142</v>
      </c>
      <c r="U146" s="161"/>
      <c r="V146" s="161"/>
      <c r="W146" s="161"/>
      <c r="X146" s="161"/>
      <c r="Y146" s="21" t="n">
        <f aca="false">H20</f>
        <v>0</v>
      </c>
      <c r="Z146" s="52" t="n">
        <f aca="false">Y146</f>
        <v>0</v>
      </c>
      <c r="AB146" s="160" t="s">
        <v>18</v>
      </c>
      <c r="AC146" s="161" t="s">
        <v>142</v>
      </c>
      <c r="AD146" s="161"/>
      <c r="AE146" s="161"/>
      <c r="AF146" s="161"/>
      <c r="AG146" s="161"/>
      <c r="AH146" s="21" t="n">
        <f aca="false">H20</f>
        <v>0</v>
      </c>
      <c r="AI146" s="52" t="n">
        <f aca="false">AH146</f>
        <v>0</v>
      </c>
    </row>
    <row r="147" customFormat="false" ht="19.7" hidden="false" customHeight="false" outlineLevel="0" collapsed="false">
      <c r="A147" s="155" t="s">
        <v>143</v>
      </c>
      <c r="B147" s="155"/>
      <c r="C147" s="155"/>
      <c r="D147" s="155"/>
      <c r="E147" s="155"/>
      <c r="F147" s="155"/>
      <c r="G147" s="157" t="n">
        <f aca="false">G141-((G144*1.2)+(G145*1.2)+(G146*1.2)+(G142*1.2))</f>
        <v>58525</v>
      </c>
      <c r="H147" s="162" t="n">
        <f aca="false">H141-((H144*1.2)+(H145*1.2)+(H146*1.2)+(H142*1.2))</f>
        <v>70230.004</v>
      </c>
      <c r="J147" s="155" t="s">
        <v>143</v>
      </c>
      <c r="K147" s="155"/>
      <c r="L147" s="155"/>
      <c r="M147" s="155"/>
      <c r="N147" s="155"/>
      <c r="O147" s="155"/>
      <c r="P147" s="157" t="n">
        <f aca="false">P141-((P144*1.2)+(P145*1.2)+(P146*1.2)+(P142*1.2))</f>
        <v>58525</v>
      </c>
      <c r="Q147" s="162" t="n">
        <f aca="false">Q141-((Q144*1.2)+(Q145*1.2)+(Q146*1.2)+(Q142*1.2))</f>
        <v>36655</v>
      </c>
      <c r="S147" s="155" t="s">
        <v>143</v>
      </c>
      <c r="T147" s="155"/>
      <c r="U147" s="155"/>
      <c r="V147" s="155"/>
      <c r="W147" s="155"/>
      <c r="X147" s="155"/>
      <c r="Y147" s="157" t="n">
        <f aca="false">Y141-((Y144*1.2)+(Y145*1.2)+(Y146*1.2)+(Y142*1.2))</f>
        <v>58525</v>
      </c>
      <c r="Z147" s="162" t="n">
        <f aca="false">Z141-((Z144*1.2)+(Z145*1.2)+(Z146*1.2)+(Z142*1.2))</f>
        <v>44468.749</v>
      </c>
      <c r="AB147" s="155" t="s">
        <v>143</v>
      </c>
      <c r="AC147" s="155"/>
      <c r="AD147" s="155"/>
      <c r="AE147" s="155"/>
      <c r="AF147" s="155"/>
      <c r="AG147" s="155"/>
      <c r="AH147" s="157" t="n">
        <f aca="false">AH141-((AH144*1.2)+(AH145*1.2)+(AH146*1.2)+(AH142*1.2))</f>
        <v>58525</v>
      </c>
      <c r="AI147" s="162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55" t="s">
        <v>144</v>
      </c>
      <c r="B148" s="155"/>
      <c r="C148" s="155"/>
      <c r="D148" s="155"/>
      <c r="E148" s="155"/>
      <c r="F148" s="155"/>
      <c r="G148" s="21"/>
      <c r="H148" s="52" t="n">
        <f aca="false">((H147-G147)-(H137-G137))+((I146-I145)*0.2)</f>
        <v>9754.17</v>
      </c>
      <c r="I148" s="1" t="n">
        <f aca="false">(H148-G81)/1.2</f>
        <v>8128.475</v>
      </c>
      <c r="J148" s="155" t="s">
        <v>144</v>
      </c>
      <c r="K148" s="155"/>
      <c r="L148" s="155"/>
      <c r="M148" s="155"/>
      <c r="N148" s="155"/>
      <c r="O148" s="155"/>
      <c r="P148" s="21"/>
      <c r="Q148" s="52" t="n">
        <f aca="false">Q147-P147</f>
        <v>-21870</v>
      </c>
      <c r="S148" s="155" t="s">
        <v>144</v>
      </c>
      <c r="T148" s="155"/>
      <c r="U148" s="155"/>
      <c r="V148" s="155"/>
      <c r="W148" s="155"/>
      <c r="X148" s="155"/>
      <c r="Y148" s="21"/>
      <c r="Z148" s="52" t="n">
        <f aca="false">Z147-Y147</f>
        <v>-14056.251</v>
      </c>
      <c r="AB148" s="155" t="s">
        <v>144</v>
      </c>
      <c r="AC148" s="155"/>
      <c r="AD148" s="155"/>
      <c r="AE148" s="155"/>
      <c r="AF148" s="155"/>
      <c r="AG148" s="155"/>
      <c r="AH148" s="21"/>
      <c r="AI148" s="52" t="n">
        <f aca="false">AI147-AH147</f>
        <v>-14056.251</v>
      </c>
    </row>
    <row r="149" customFormat="false" ht="17.35" hidden="false" customHeight="false" outlineLevel="0" collapsed="false">
      <c r="A149" s="55"/>
      <c r="B149" s="25"/>
      <c r="C149" s="25"/>
      <c r="D149" s="25"/>
      <c r="E149" s="45"/>
      <c r="F149" s="45"/>
      <c r="G149" s="45"/>
      <c r="H149" s="20"/>
      <c r="J149" s="55"/>
      <c r="K149" s="25"/>
      <c r="L149" s="25"/>
      <c r="M149" s="25"/>
      <c r="N149" s="45"/>
      <c r="O149" s="45"/>
      <c r="P149" s="45"/>
      <c r="Q149" s="20"/>
      <c r="S149" s="55"/>
      <c r="T149" s="25"/>
      <c r="U149" s="25"/>
      <c r="V149" s="25"/>
      <c r="W149" s="45"/>
      <c r="X149" s="45"/>
      <c r="Y149" s="45"/>
      <c r="Z149" s="20"/>
      <c r="AB149" s="55"/>
      <c r="AC149" s="25"/>
      <c r="AD149" s="25"/>
      <c r="AE149" s="25"/>
      <c r="AF149" s="45"/>
      <c r="AG149" s="45"/>
      <c r="AH149" s="45"/>
      <c r="AI149" s="20"/>
    </row>
    <row r="150" customFormat="false" ht="22.05" hidden="false" customHeight="false" outlineLevel="0" collapsed="false">
      <c r="A150" s="58" t="s">
        <v>145</v>
      </c>
      <c r="B150" s="58"/>
      <c r="C150" s="58"/>
      <c r="D150" s="58"/>
      <c r="E150" s="58"/>
      <c r="F150" s="58"/>
      <c r="G150" s="58"/>
      <c r="H150" s="58"/>
      <c r="J150" s="58" t="s">
        <v>145</v>
      </c>
      <c r="K150" s="58"/>
      <c r="L150" s="58"/>
      <c r="M150" s="58"/>
      <c r="N150" s="58"/>
      <c r="O150" s="58"/>
      <c r="P150" s="58"/>
      <c r="Q150" s="58"/>
      <c r="S150" s="58" t="s">
        <v>145</v>
      </c>
      <c r="T150" s="58"/>
      <c r="U150" s="58"/>
      <c r="V150" s="58"/>
      <c r="W150" s="58"/>
      <c r="X150" s="58"/>
      <c r="Y150" s="58"/>
      <c r="Z150" s="58"/>
      <c r="AB150" s="58" t="s">
        <v>145</v>
      </c>
      <c r="AC150" s="58"/>
      <c r="AD150" s="58"/>
      <c r="AE150" s="58"/>
      <c r="AF150" s="58"/>
      <c r="AG150" s="58"/>
      <c r="AH150" s="58"/>
      <c r="AI150" s="58"/>
    </row>
    <row r="151" customFormat="false" ht="17.35" hidden="false" customHeight="false" outlineLevel="0" collapsed="false">
      <c r="A151" s="55"/>
      <c r="B151" s="25"/>
      <c r="C151" s="25"/>
      <c r="D151" s="25"/>
      <c r="E151" s="45"/>
      <c r="F151" s="45"/>
      <c r="G151" s="45"/>
      <c r="H151" s="20"/>
      <c r="J151" s="55"/>
      <c r="K151" s="25"/>
      <c r="L151" s="25"/>
      <c r="M151" s="25"/>
      <c r="N151" s="45"/>
      <c r="O151" s="45"/>
      <c r="P151" s="45"/>
      <c r="Q151" s="20"/>
      <c r="S151" s="55"/>
      <c r="T151" s="25"/>
      <c r="U151" s="25"/>
      <c r="V151" s="25"/>
      <c r="W151" s="45"/>
      <c r="X151" s="45"/>
      <c r="Y151" s="45"/>
      <c r="Z151" s="20"/>
      <c r="AB151" s="55"/>
      <c r="AC151" s="25"/>
      <c r="AD151" s="25"/>
      <c r="AE151" s="25"/>
      <c r="AF151" s="45"/>
      <c r="AG151" s="45"/>
      <c r="AH151" s="45"/>
      <c r="AI151" s="20"/>
    </row>
    <row r="152" customFormat="false" ht="17.35" hidden="false" customHeight="false" outlineLevel="0" collapsed="false">
      <c r="A152" s="55" t="s">
        <v>146</v>
      </c>
      <c r="B152" s="25"/>
      <c r="C152" s="25"/>
      <c r="D152" s="45"/>
      <c r="E152" s="72" t="n">
        <v>2000</v>
      </c>
      <c r="F152" s="72"/>
      <c r="G152" s="72" t="n">
        <v>1000</v>
      </c>
      <c r="H152" s="72"/>
      <c r="J152" s="55" t="s">
        <v>146</v>
      </c>
      <c r="K152" s="25"/>
      <c r="L152" s="25"/>
      <c r="M152" s="45"/>
      <c r="N152" s="72" t="n">
        <v>10000</v>
      </c>
      <c r="O152" s="72"/>
      <c r="P152" s="72" t="n">
        <v>5000</v>
      </c>
      <c r="Q152" s="72"/>
      <c r="S152" s="55" t="s">
        <v>146</v>
      </c>
      <c r="T152" s="25"/>
      <c r="U152" s="25"/>
      <c r="V152" s="45"/>
      <c r="W152" s="72" t="n">
        <v>10000</v>
      </c>
      <c r="X152" s="72"/>
      <c r="Y152" s="72" t="n">
        <v>5000</v>
      </c>
      <c r="Z152" s="72"/>
      <c r="AB152" s="55" t="s">
        <v>146</v>
      </c>
      <c r="AC152" s="25"/>
      <c r="AD152" s="25"/>
      <c r="AE152" s="45"/>
      <c r="AF152" s="72" t="n">
        <v>10000</v>
      </c>
      <c r="AG152" s="72"/>
      <c r="AH152" s="72" t="n">
        <v>5000</v>
      </c>
      <c r="AI152" s="72"/>
    </row>
    <row r="153" customFormat="false" ht="17.35" hidden="false" customHeight="false" outlineLevel="0" collapsed="false">
      <c r="A153" s="55" t="s">
        <v>147</v>
      </c>
      <c r="B153" s="25"/>
      <c r="C153" s="25"/>
      <c r="D153" s="45"/>
      <c r="E153" s="38" t="n">
        <f aca="false">G153</f>
        <v>500</v>
      </c>
      <c r="F153" s="38"/>
      <c r="G153" s="72" t="n">
        <v>500</v>
      </c>
      <c r="H153" s="72"/>
      <c r="J153" s="55" t="s">
        <v>147</v>
      </c>
      <c r="K153" s="25"/>
      <c r="L153" s="25"/>
      <c r="M153" s="45"/>
      <c r="N153" s="38" t="n">
        <f aca="false">P153</f>
        <v>7000</v>
      </c>
      <c r="O153" s="38"/>
      <c r="P153" s="72" t="n">
        <v>7000</v>
      </c>
      <c r="Q153" s="72"/>
      <c r="S153" s="55" t="s">
        <v>147</v>
      </c>
      <c r="T153" s="25"/>
      <c r="U153" s="25"/>
      <c r="V153" s="45"/>
      <c r="W153" s="38" t="n">
        <f aca="false">Y153</f>
        <v>7000</v>
      </c>
      <c r="X153" s="38"/>
      <c r="Y153" s="72" t="n">
        <v>7000</v>
      </c>
      <c r="Z153" s="72"/>
      <c r="AB153" s="55" t="s">
        <v>147</v>
      </c>
      <c r="AC153" s="25"/>
      <c r="AD153" s="25"/>
      <c r="AE153" s="45"/>
      <c r="AF153" s="38" t="n">
        <f aca="false">AH153</f>
        <v>7000</v>
      </c>
      <c r="AG153" s="38"/>
      <c r="AH153" s="72" t="n">
        <v>7000</v>
      </c>
      <c r="AI153" s="72"/>
    </row>
    <row r="154" customFormat="false" ht="17.35" hidden="false" customHeight="false" outlineLevel="0" collapsed="false">
      <c r="A154" s="55" t="s">
        <v>148</v>
      </c>
      <c r="B154" s="25"/>
      <c r="C154" s="25"/>
      <c r="D154" s="45"/>
      <c r="E154" s="38" t="n">
        <f aca="false">E152-E153</f>
        <v>1500</v>
      </c>
      <c r="F154" s="38"/>
      <c r="G154" s="163" t="n">
        <f aca="false">G152-G153</f>
        <v>500</v>
      </c>
      <c r="H154" s="163"/>
      <c r="J154" s="55" t="s">
        <v>148</v>
      </c>
      <c r="K154" s="25"/>
      <c r="L154" s="25"/>
      <c r="M154" s="45"/>
      <c r="N154" s="38" t="n">
        <f aca="false">N152-N153</f>
        <v>3000</v>
      </c>
      <c r="O154" s="38"/>
      <c r="P154" s="163" t="n">
        <f aca="false">P152-P153</f>
        <v>-2000</v>
      </c>
      <c r="Q154" s="163"/>
      <c r="S154" s="55" t="s">
        <v>148</v>
      </c>
      <c r="T154" s="25"/>
      <c r="U154" s="25"/>
      <c r="V154" s="45"/>
      <c r="W154" s="38" t="n">
        <f aca="false">W152-W153</f>
        <v>3000</v>
      </c>
      <c r="X154" s="38"/>
      <c r="Y154" s="163" t="n">
        <f aca="false">Y152-Y153</f>
        <v>-2000</v>
      </c>
      <c r="Z154" s="163"/>
      <c r="AB154" s="55" t="s">
        <v>148</v>
      </c>
      <c r="AC154" s="25"/>
      <c r="AD154" s="25"/>
      <c r="AE154" s="45"/>
      <c r="AF154" s="38" t="n">
        <f aca="false">AF152-AF153</f>
        <v>3000</v>
      </c>
      <c r="AG154" s="38"/>
      <c r="AH154" s="163" t="n">
        <f aca="false">AH152-AH153</f>
        <v>-2000</v>
      </c>
      <c r="AI154" s="163"/>
    </row>
    <row r="155" customFormat="false" ht="17.35" hidden="false" customHeight="false" outlineLevel="0" collapsed="false">
      <c r="A155" s="55" t="s">
        <v>149</v>
      </c>
      <c r="B155" s="25"/>
      <c r="C155" s="25"/>
      <c r="D155" s="45"/>
      <c r="E155" s="38" t="n">
        <f aca="false">E154-G154</f>
        <v>1000</v>
      </c>
      <c r="F155" s="38"/>
      <c r="G155" s="45"/>
      <c r="H155" s="20"/>
      <c r="J155" s="55" t="s">
        <v>149</v>
      </c>
      <c r="K155" s="25"/>
      <c r="L155" s="25"/>
      <c r="M155" s="45"/>
      <c r="N155" s="38" t="n">
        <f aca="false">N154-P154</f>
        <v>5000</v>
      </c>
      <c r="O155" s="38"/>
      <c r="P155" s="45"/>
      <c r="Q155" s="20"/>
      <c r="S155" s="55" t="s">
        <v>149</v>
      </c>
      <c r="T155" s="25"/>
      <c r="U155" s="25"/>
      <c r="V155" s="45"/>
      <c r="W155" s="38" t="n">
        <f aca="false">W154-Y154</f>
        <v>5000</v>
      </c>
      <c r="X155" s="38"/>
      <c r="Y155" s="45"/>
      <c r="Z155" s="20"/>
      <c r="AB155" s="55" t="s">
        <v>149</v>
      </c>
      <c r="AC155" s="25"/>
      <c r="AD155" s="25"/>
      <c r="AE155" s="45"/>
      <c r="AF155" s="38" t="n">
        <f aca="false">AF154-AH154</f>
        <v>5000</v>
      </c>
      <c r="AG155" s="38"/>
      <c r="AH155" s="45"/>
      <c r="AI155" s="20"/>
    </row>
    <row r="156" customFormat="false" ht="17.35" hidden="false" customHeight="false" outlineLevel="0" collapsed="false">
      <c r="A156" s="55"/>
      <c r="B156" s="25"/>
      <c r="C156" s="25"/>
      <c r="D156" s="45"/>
      <c r="E156" s="25"/>
      <c r="F156" s="45"/>
      <c r="G156" s="45"/>
      <c r="H156" s="20"/>
      <c r="J156" s="55"/>
      <c r="K156" s="25"/>
      <c r="L156" s="25"/>
      <c r="M156" s="45"/>
      <c r="N156" s="25"/>
      <c r="O156" s="45"/>
      <c r="P156" s="45"/>
      <c r="Q156" s="20"/>
      <c r="S156" s="55"/>
      <c r="T156" s="25"/>
      <c r="U156" s="25"/>
      <c r="V156" s="45"/>
      <c r="W156" s="25"/>
      <c r="X156" s="45"/>
      <c r="Y156" s="45"/>
      <c r="Z156" s="20"/>
      <c r="AB156" s="55"/>
      <c r="AC156" s="25"/>
      <c r="AD156" s="25"/>
      <c r="AE156" s="45"/>
      <c r="AF156" s="25"/>
      <c r="AG156" s="45"/>
      <c r="AH156" s="45"/>
      <c r="AI156" s="20"/>
    </row>
    <row r="157" customFormat="false" ht="17.35" hidden="false" customHeight="false" outlineLevel="0" collapsed="false">
      <c r="A157" s="48" t="s">
        <v>150</v>
      </c>
      <c r="B157" s="49"/>
      <c r="C157" s="49"/>
      <c r="D157" s="93"/>
      <c r="E157" s="49"/>
      <c r="F157" s="93"/>
      <c r="G157" s="164" t="n">
        <f aca="false">A114</f>
        <v>2000</v>
      </c>
      <c r="H157" s="164"/>
      <c r="J157" s="48" t="s">
        <v>150</v>
      </c>
      <c r="K157" s="49"/>
      <c r="L157" s="49"/>
      <c r="M157" s="93"/>
      <c r="N157" s="49"/>
      <c r="O157" s="93"/>
      <c r="P157" s="164" t="n">
        <f aca="false">J114</f>
        <v>1000</v>
      </c>
      <c r="Q157" s="164"/>
      <c r="S157" s="48" t="s">
        <v>150</v>
      </c>
      <c r="T157" s="49"/>
      <c r="U157" s="49"/>
      <c r="V157" s="93"/>
      <c r="W157" s="49"/>
      <c r="X157" s="93"/>
      <c r="Y157" s="164" t="n">
        <f aca="false">S114</f>
        <v>1000</v>
      </c>
      <c r="Z157" s="164"/>
      <c r="AB157" s="48" t="s">
        <v>150</v>
      </c>
      <c r="AC157" s="49"/>
      <c r="AD157" s="49"/>
      <c r="AE157" s="93"/>
      <c r="AF157" s="49"/>
      <c r="AG157" s="93"/>
      <c r="AH157" s="164" t="n">
        <f aca="false">AB114</f>
        <v>1000</v>
      </c>
      <c r="AI157" s="164"/>
    </row>
    <row r="158" customFormat="false" ht="19.7" hidden="false" customHeight="false" outlineLevel="0" collapsed="false">
      <c r="A158" s="165" t="s">
        <v>151</v>
      </c>
      <c r="B158" s="25"/>
      <c r="C158" s="25"/>
      <c r="D158" s="94"/>
      <c r="E158" s="25"/>
      <c r="F158" s="94"/>
      <c r="G158" s="166" t="n">
        <f aca="false">H147-G154-G157</f>
        <v>67730.004</v>
      </c>
      <c r="H158" s="166"/>
      <c r="J158" s="165" t="s">
        <v>151</v>
      </c>
      <c r="K158" s="25"/>
      <c r="L158" s="25"/>
      <c r="M158" s="94"/>
      <c r="N158" s="25"/>
      <c r="O158" s="94"/>
      <c r="P158" s="166" t="n">
        <f aca="false">Q147-P154-P157</f>
        <v>37655</v>
      </c>
      <c r="Q158" s="166"/>
      <c r="S158" s="165" t="s">
        <v>151</v>
      </c>
      <c r="T158" s="25"/>
      <c r="U158" s="25"/>
      <c r="V158" s="94"/>
      <c r="W158" s="25"/>
      <c r="X158" s="94"/>
      <c r="Y158" s="166" t="n">
        <f aca="false">Z147-Y154-Y157</f>
        <v>45468.749</v>
      </c>
      <c r="Z158" s="166"/>
      <c r="AB158" s="165" t="s">
        <v>151</v>
      </c>
      <c r="AC158" s="25"/>
      <c r="AD158" s="25"/>
      <c r="AE158" s="94"/>
      <c r="AF158" s="25"/>
      <c r="AG158" s="94"/>
      <c r="AH158" s="166" t="n">
        <f aca="false">AI147-AH154-AH157</f>
        <v>45468.749</v>
      </c>
      <c r="AI158" s="166"/>
    </row>
    <row r="159" customFormat="false" ht="17.35" hidden="false" customHeight="false" outlineLevel="0" collapsed="false">
      <c r="A159" s="74" t="s">
        <v>152</v>
      </c>
      <c r="B159" s="75"/>
      <c r="C159" s="75"/>
      <c r="D159" s="116"/>
      <c r="E159" s="75"/>
      <c r="F159" s="116"/>
      <c r="G159" s="167" t="str">
        <f aca="false">B114</f>
        <v>199.99</v>
      </c>
      <c r="H159" s="167"/>
      <c r="J159" s="74" t="s">
        <v>152</v>
      </c>
      <c r="K159" s="75"/>
      <c r="L159" s="75"/>
      <c r="M159" s="116"/>
      <c r="N159" s="75"/>
      <c r="O159" s="116"/>
      <c r="P159" s="167" t="n">
        <f aca="false">K114</f>
        <v>239.99</v>
      </c>
      <c r="Q159" s="167"/>
      <c r="S159" s="74" t="s">
        <v>152</v>
      </c>
      <c r="T159" s="75"/>
      <c r="U159" s="75"/>
      <c r="V159" s="116"/>
      <c r="W159" s="75"/>
      <c r="X159" s="116"/>
      <c r="Y159" s="167" t="n">
        <f aca="false">T114</f>
        <v>199.99</v>
      </c>
      <c r="Z159" s="167"/>
      <c r="AB159" s="74" t="s">
        <v>152</v>
      </c>
      <c r="AC159" s="75"/>
      <c r="AD159" s="75"/>
      <c r="AE159" s="116"/>
      <c r="AF159" s="75"/>
      <c r="AG159" s="116"/>
      <c r="AH159" s="167" t="n">
        <f aca="false">AC114</f>
        <v>239.99</v>
      </c>
      <c r="AI159" s="167"/>
    </row>
    <row r="160" customFormat="false" ht="17.35" hidden="false" customHeight="false" outlineLevel="0" collapsed="false">
      <c r="A160" s="55"/>
      <c r="B160" s="25"/>
      <c r="C160" s="25"/>
      <c r="D160" s="25"/>
      <c r="E160" s="45"/>
      <c r="F160" s="45"/>
      <c r="G160" s="45"/>
      <c r="H160" s="20"/>
      <c r="J160" s="55"/>
      <c r="K160" s="25"/>
      <c r="L160" s="25"/>
      <c r="M160" s="25"/>
      <c r="N160" s="45"/>
      <c r="O160" s="45"/>
      <c r="P160" s="45"/>
      <c r="Q160" s="20"/>
      <c r="S160" s="55"/>
      <c r="T160" s="25"/>
      <c r="U160" s="25"/>
      <c r="V160" s="25"/>
      <c r="W160" s="45"/>
      <c r="X160" s="45"/>
      <c r="Y160" s="45"/>
      <c r="Z160" s="20"/>
      <c r="AB160" s="55"/>
      <c r="AC160" s="25"/>
      <c r="AD160" s="25"/>
      <c r="AE160" s="25"/>
      <c r="AF160" s="45"/>
      <c r="AG160" s="45"/>
      <c r="AH160" s="45"/>
      <c r="AI160" s="20"/>
    </row>
    <row r="161" customFormat="false" ht="17.35" hidden="false" customHeight="false" outlineLevel="0" collapsed="false">
      <c r="A161" s="55"/>
      <c r="B161" s="25"/>
      <c r="C161" s="25"/>
      <c r="D161" s="25"/>
      <c r="E161" s="45"/>
      <c r="F161" s="45"/>
      <c r="G161" s="45"/>
      <c r="H161" s="20"/>
      <c r="J161" s="55"/>
      <c r="K161" s="25"/>
      <c r="L161" s="25"/>
      <c r="M161" s="25"/>
      <c r="N161" s="45"/>
      <c r="O161" s="45"/>
      <c r="P161" s="45"/>
      <c r="Q161" s="20"/>
      <c r="S161" s="55"/>
      <c r="T161" s="25"/>
      <c r="U161" s="25"/>
      <c r="V161" s="25"/>
      <c r="W161" s="45"/>
      <c r="X161" s="45"/>
      <c r="Y161" s="45"/>
      <c r="Z161" s="20"/>
      <c r="AB161" s="55"/>
      <c r="AC161" s="25"/>
      <c r="AD161" s="25"/>
      <c r="AE161" s="25"/>
      <c r="AF161" s="45"/>
      <c r="AG161" s="45"/>
      <c r="AH161" s="45"/>
      <c r="AI161" s="20"/>
    </row>
    <row r="162" customFormat="false" ht="22.05" hidden="false" customHeight="false" outlineLevel="0" collapsed="false">
      <c r="A162" s="58" t="s">
        <v>153</v>
      </c>
      <c r="B162" s="58"/>
      <c r="C162" s="58"/>
      <c r="D162" s="58"/>
      <c r="E162" s="58"/>
      <c r="F162" s="58"/>
      <c r="G162" s="58"/>
      <c r="H162" s="58"/>
      <c r="J162" s="58" t="s">
        <v>153</v>
      </c>
      <c r="K162" s="58"/>
      <c r="L162" s="58"/>
      <c r="M162" s="58"/>
      <c r="N162" s="58"/>
      <c r="O162" s="58"/>
      <c r="P162" s="58"/>
      <c r="Q162" s="58"/>
      <c r="S162" s="58" t="s">
        <v>153</v>
      </c>
      <c r="T162" s="58"/>
      <c r="U162" s="58"/>
      <c r="V162" s="58"/>
      <c r="W162" s="58"/>
      <c r="X162" s="58"/>
      <c r="Y162" s="58"/>
      <c r="Z162" s="58"/>
      <c r="AB162" s="58" t="s">
        <v>153</v>
      </c>
      <c r="AC162" s="58"/>
      <c r="AD162" s="58"/>
      <c r="AE162" s="58"/>
      <c r="AF162" s="58"/>
      <c r="AG162" s="58"/>
      <c r="AH162" s="58"/>
      <c r="AI162" s="58"/>
    </row>
    <row r="163" customFormat="false" ht="17.35" hidden="false" customHeight="false" outlineLevel="0" collapsed="false">
      <c r="A163" s="55"/>
      <c r="B163" s="25"/>
      <c r="C163" s="25"/>
      <c r="D163" s="25"/>
      <c r="E163" s="45"/>
      <c r="F163" s="45"/>
      <c r="G163" s="45"/>
      <c r="H163" s="20"/>
      <c r="J163" s="55"/>
      <c r="K163" s="25"/>
      <c r="L163" s="25"/>
      <c r="M163" s="25"/>
      <c r="N163" s="45"/>
      <c r="O163" s="45"/>
      <c r="P163" s="45"/>
      <c r="Q163" s="20"/>
      <c r="S163" s="55"/>
      <c r="T163" s="25"/>
      <c r="U163" s="25"/>
      <c r="V163" s="25"/>
      <c r="W163" s="45"/>
      <c r="X163" s="45"/>
      <c r="Y163" s="45"/>
      <c r="Z163" s="20"/>
      <c r="AB163" s="55"/>
      <c r="AC163" s="25"/>
      <c r="AD163" s="25"/>
      <c r="AE163" s="25"/>
      <c r="AF163" s="45"/>
      <c r="AG163" s="45"/>
      <c r="AH163" s="45"/>
      <c r="AI163" s="20"/>
    </row>
    <row r="164" customFormat="false" ht="17.35" hidden="false" customHeight="false" outlineLevel="0" collapsed="false">
      <c r="A164" s="55" t="s">
        <v>29</v>
      </c>
      <c r="B164" s="168" t="n">
        <v>0</v>
      </c>
      <c r="C164" s="168"/>
      <c r="D164" s="25"/>
      <c r="E164" s="45"/>
      <c r="F164" s="45"/>
      <c r="G164" s="45"/>
      <c r="H164" s="20"/>
      <c r="J164" s="55" t="s">
        <v>29</v>
      </c>
      <c r="K164" s="168" t="n">
        <v>0</v>
      </c>
      <c r="L164" s="168"/>
      <c r="M164" s="25"/>
      <c r="N164" s="45"/>
      <c r="O164" s="45"/>
      <c r="P164" s="45"/>
      <c r="Q164" s="20"/>
      <c r="S164" s="55" t="s">
        <v>29</v>
      </c>
      <c r="T164" s="168" t="n">
        <v>0</v>
      </c>
      <c r="U164" s="168"/>
      <c r="V164" s="25"/>
      <c r="W164" s="45"/>
      <c r="X164" s="45"/>
      <c r="Y164" s="45"/>
      <c r="Z164" s="20"/>
      <c r="AB164" s="55" t="s">
        <v>29</v>
      </c>
      <c r="AC164" s="168" t="n">
        <v>0</v>
      </c>
      <c r="AD164" s="168"/>
      <c r="AE164" s="25"/>
      <c r="AF164" s="45"/>
      <c r="AG164" s="45"/>
      <c r="AH164" s="45"/>
      <c r="AI164" s="20"/>
    </row>
    <row r="165" customFormat="false" ht="17.35" hidden="false" customHeight="false" outlineLevel="0" collapsed="false">
      <c r="A165" s="55"/>
      <c r="B165" s="25"/>
      <c r="C165" s="25"/>
      <c r="D165" s="25"/>
      <c r="E165" s="45"/>
      <c r="F165" s="45"/>
      <c r="G165" s="45"/>
      <c r="H165" s="20"/>
      <c r="J165" s="55"/>
      <c r="K165" s="25"/>
      <c r="L165" s="25"/>
      <c r="M165" s="25"/>
      <c r="N165" s="45"/>
      <c r="O165" s="45"/>
      <c r="P165" s="45"/>
      <c r="Q165" s="20"/>
      <c r="S165" s="55"/>
      <c r="T165" s="25"/>
      <c r="U165" s="25"/>
      <c r="V165" s="25"/>
      <c r="W165" s="45"/>
      <c r="X165" s="45"/>
      <c r="Y165" s="45"/>
      <c r="Z165" s="20"/>
      <c r="AB165" s="55"/>
      <c r="AC165" s="25"/>
      <c r="AD165" s="25"/>
      <c r="AE165" s="25"/>
      <c r="AF165" s="45"/>
      <c r="AG165" s="45"/>
      <c r="AH165" s="45"/>
      <c r="AI165" s="20"/>
    </row>
    <row r="166" customFormat="false" ht="17.35" hidden="false" customHeight="false" outlineLevel="0" collapsed="false">
      <c r="A166" s="169" t="s">
        <v>154</v>
      </c>
      <c r="B166" s="170" t="s">
        <v>155</v>
      </c>
      <c r="C166" s="170"/>
      <c r="D166" s="170"/>
      <c r="E166" s="170" t="s">
        <v>156</v>
      </c>
      <c r="F166" s="45"/>
      <c r="G166" s="45"/>
      <c r="H166" s="20"/>
      <c r="J166" s="169" t="s">
        <v>154</v>
      </c>
      <c r="K166" s="170" t="s">
        <v>155</v>
      </c>
      <c r="L166" s="170"/>
      <c r="M166" s="170"/>
      <c r="N166" s="170" t="s">
        <v>156</v>
      </c>
      <c r="O166" s="45"/>
      <c r="P166" s="45"/>
      <c r="Q166" s="20"/>
      <c r="S166" s="169" t="s">
        <v>154</v>
      </c>
      <c r="T166" s="170" t="s">
        <v>155</v>
      </c>
      <c r="U166" s="170"/>
      <c r="V166" s="170"/>
      <c r="W166" s="170" t="s">
        <v>156</v>
      </c>
      <c r="X166" s="45"/>
      <c r="Y166" s="45"/>
      <c r="Z166" s="20"/>
      <c r="AB166" s="169" t="s">
        <v>154</v>
      </c>
      <c r="AC166" s="170" t="s">
        <v>155</v>
      </c>
      <c r="AD166" s="170"/>
      <c r="AE166" s="170"/>
      <c r="AF166" s="170" t="s">
        <v>156</v>
      </c>
      <c r="AG166" s="45"/>
      <c r="AH166" s="45"/>
      <c r="AI166" s="20"/>
    </row>
    <row r="167" customFormat="false" ht="17.35" hidden="false" customHeight="false" outlineLevel="0" collapsed="false">
      <c r="A167" s="171" t="n">
        <f aca="false">B95</f>
        <v>2120.60185988035</v>
      </c>
      <c r="B167" s="172" t="n">
        <f aca="false">B94</f>
        <v>89.6483823529412</v>
      </c>
      <c r="C167" s="170"/>
      <c r="D167" s="170"/>
      <c r="E167" s="172" t="n">
        <f aca="false">B96</f>
        <v>2210.2502422333</v>
      </c>
      <c r="F167" s="45"/>
      <c r="G167" s="45"/>
      <c r="H167" s="20"/>
      <c r="J167" s="173" t="n">
        <f aca="false">K95</f>
        <v>1506.2831870777</v>
      </c>
      <c r="K167" s="172" t="n">
        <f aca="false">K94</f>
        <v>104.5044</v>
      </c>
      <c r="L167" s="170"/>
      <c r="M167" s="170"/>
      <c r="N167" s="172" t="n">
        <f aca="false">K96</f>
        <v>1610.7875870777</v>
      </c>
      <c r="O167" s="45"/>
      <c r="P167" s="45"/>
      <c r="Q167" s="20"/>
      <c r="S167" s="173" t="n">
        <f aca="false">T95</f>
        <v>1390.35860282039</v>
      </c>
      <c r="T167" s="172" t="n">
        <f aca="false">T94</f>
        <v>82.7523529411765</v>
      </c>
      <c r="U167" s="170"/>
      <c r="V167" s="170"/>
      <c r="W167" s="172" t="n">
        <f aca="false">T96</f>
        <v>1473.11095576156</v>
      </c>
      <c r="X167" s="45"/>
      <c r="Y167" s="45"/>
      <c r="Z167" s="20"/>
      <c r="AB167" s="173" t="n">
        <f aca="false">AC95</f>
        <v>1390.35860282039</v>
      </c>
      <c r="AC167" s="172" t="n">
        <f aca="false">AC94</f>
        <v>99.3028235294118</v>
      </c>
      <c r="AD167" s="170"/>
      <c r="AE167" s="170"/>
      <c r="AF167" s="172" t="n">
        <f aca="false">AC96</f>
        <v>1489.6614263498</v>
      </c>
      <c r="AG167" s="45"/>
      <c r="AH167" s="45"/>
      <c r="AI167" s="20"/>
    </row>
    <row r="168" customFormat="false" ht="17.35" hidden="false" customHeight="false" outlineLevel="0" collapsed="false">
      <c r="A168" s="55"/>
      <c r="B168" s="25"/>
      <c r="C168" s="25"/>
      <c r="D168" s="25"/>
      <c r="E168" s="45"/>
      <c r="F168" s="45"/>
      <c r="G168" s="45"/>
      <c r="H168" s="20"/>
      <c r="J168" s="55"/>
      <c r="K168" s="25"/>
      <c r="L168" s="25"/>
      <c r="M168" s="25"/>
      <c r="N168" s="45"/>
      <c r="O168" s="45"/>
      <c r="P168" s="45"/>
      <c r="Q168" s="20"/>
      <c r="S168" s="55"/>
      <c r="T168" s="25"/>
      <c r="U168" s="25"/>
      <c r="V168" s="25"/>
      <c r="W168" s="45"/>
      <c r="X168" s="45"/>
      <c r="Y168" s="45"/>
      <c r="Z168" s="20"/>
      <c r="AB168" s="55"/>
      <c r="AC168" s="25"/>
      <c r="AD168" s="25"/>
      <c r="AE168" s="25"/>
      <c r="AF168" s="45"/>
      <c r="AG168" s="45"/>
      <c r="AH168" s="45"/>
      <c r="AI168" s="20"/>
    </row>
    <row r="169" customFormat="false" ht="17.35" hidden="false" customHeight="false" outlineLevel="0" collapsed="false">
      <c r="A169" s="55" t="s">
        <v>28</v>
      </c>
      <c r="B169" s="25" t="s">
        <v>33</v>
      </c>
      <c r="C169" s="25"/>
      <c r="D169" s="45"/>
      <c r="E169" s="25" t="s">
        <v>157</v>
      </c>
      <c r="F169" s="45"/>
      <c r="G169" s="45"/>
      <c r="H169" s="20"/>
      <c r="J169" s="55" t="s">
        <v>28</v>
      </c>
      <c r="K169" s="25" t="s">
        <v>33</v>
      </c>
      <c r="L169" s="25"/>
      <c r="M169" s="45"/>
      <c r="N169" s="25" t="s">
        <v>157</v>
      </c>
      <c r="O169" s="45"/>
      <c r="P169" s="45"/>
      <c r="Q169" s="20"/>
      <c r="S169" s="55" t="s">
        <v>28</v>
      </c>
      <c r="T169" s="25" t="s">
        <v>33</v>
      </c>
      <c r="U169" s="25"/>
      <c r="V169" s="45"/>
      <c r="W169" s="25" t="s">
        <v>157</v>
      </c>
      <c r="X169" s="45"/>
      <c r="Y169" s="45"/>
      <c r="Z169" s="20"/>
      <c r="AB169" s="55" t="s">
        <v>28</v>
      </c>
      <c r="AC169" s="25" t="s">
        <v>33</v>
      </c>
      <c r="AD169" s="25"/>
      <c r="AE169" s="45"/>
      <c r="AF169" s="25" t="s">
        <v>157</v>
      </c>
      <c r="AG169" s="45"/>
      <c r="AH169" s="45"/>
      <c r="AI169" s="20"/>
    </row>
    <row r="170" customFormat="false" ht="17.35" hidden="false" customHeight="false" outlineLevel="0" collapsed="false">
      <c r="A170" s="63" t="n">
        <f aca="false">K29</f>
        <v>35</v>
      </c>
      <c r="B170" s="174" t="n">
        <f aca="false">K30</f>
        <v>35000</v>
      </c>
      <c r="C170" s="175"/>
      <c r="D170" s="45"/>
      <c r="E170" s="73" t="n">
        <f aca="false">IF(A111="YES", A40, 0)</f>
        <v>9000</v>
      </c>
      <c r="F170" s="45"/>
      <c r="G170" s="45"/>
      <c r="H170" s="20"/>
      <c r="J170" s="63" t="n">
        <f aca="false">K29</f>
        <v>35</v>
      </c>
      <c r="K170" s="176" t="n">
        <f aca="false">K30</f>
        <v>35000</v>
      </c>
      <c r="L170" s="175"/>
      <c r="M170" s="45"/>
      <c r="N170" s="73" t="n">
        <f aca="false">IF(A111="YES", A40, 0)</f>
        <v>9000</v>
      </c>
      <c r="O170" s="45"/>
      <c r="P170" s="45"/>
      <c r="Q170" s="20"/>
      <c r="S170" s="63" t="n">
        <f aca="false">K29</f>
        <v>35</v>
      </c>
      <c r="T170" s="176" t="n">
        <f aca="false">K30</f>
        <v>35000</v>
      </c>
      <c r="U170" s="175"/>
      <c r="V170" s="45"/>
      <c r="W170" s="73" t="n">
        <f aca="false">IF(A111="YES", A40, 0)</f>
        <v>9000</v>
      </c>
      <c r="X170" s="45"/>
      <c r="Y170" s="45"/>
      <c r="Z170" s="20"/>
      <c r="AB170" s="63" t="n">
        <f aca="false">K29</f>
        <v>35</v>
      </c>
      <c r="AC170" s="176" t="n">
        <f aca="false">K30</f>
        <v>35000</v>
      </c>
      <c r="AD170" s="175"/>
      <c r="AE170" s="45"/>
      <c r="AF170" s="73" t="n">
        <f aca="false">IF(A111="YES", A40, 0)</f>
        <v>9000</v>
      </c>
      <c r="AG170" s="45"/>
      <c r="AH170" s="45"/>
      <c r="AI170" s="20"/>
    </row>
    <row r="171" customFormat="false" ht="17.35" hidden="false" customHeight="false" outlineLevel="0" collapsed="false">
      <c r="A171" s="55"/>
      <c r="B171" s="25"/>
      <c r="C171" s="25"/>
      <c r="D171" s="45"/>
      <c r="E171" s="25"/>
      <c r="F171" s="45"/>
      <c r="G171" s="45"/>
      <c r="H171" s="20"/>
      <c r="J171" s="55"/>
      <c r="K171" s="25"/>
      <c r="L171" s="25"/>
      <c r="M171" s="45"/>
      <c r="N171" s="25"/>
      <c r="O171" s="45"/>
      <c r="P171" s="45"/>
      <c r="Q171" s="20"/>
      <c r="S171" s="55"/>
      <c r="T171" s="25"/>
      <c r="U171" s="25"/>
      <c r="V171" s="45"/>
      <c r="W171" s="25"/>
      <c r="X171" s="45"/>
      <c r="Y171" s="45"/>
      <c r="Z171" s="20"/>
      <c r="AB171" s="55"/>
      <c r="AC171" s="25"/>
      <c r="AD171" s="25"/>
      <c r="AE171" s="45"/>
      <c r="AF171" s="25"/>
      <c r="AG171" s="45"/>
      <c r="AH171" s="45"/>
      <c r="AI171" s="20"/>
    </row>
    <row r="172" customFormat="false" ht="17.35" hidden="false" customHeight="false" outlineLevel="0" collapsed="false">
      <c r="A172" s="55" t="s">
        <v>158</v>
      </c>
      <c r="B172" s="25" t="s">
        <v>159</v>
      </c>
      <c r="C172" s="25"/>
      <c r="D172" s="45"/>
      <c r="E172" s="25" t="s">
        <v>160</v>
      </c>
      <c r="F172" s="45"/>
      <c r="G172" s="45"/>
      <c r="H172" s="20"/>
      <c r="J172" s="55" t="s">
        <v>158</v>
      </c>
      <c r="K172" s="25" t="s">
        <v>159</v>
      </c>
      <c r="L172" s="25"/>
      <c r="M172" s="45"/>
      <c r="N172" s="25" t="s">
        <v>160</v>
      </c>
      <c r="O172" s="45"/>
      <c r="P172" s="45"/>
      <c r="Q172" s="20"/>
      <c r="S172" s="55" t="s">
        <v>158</v>
      </c>
      <c r="T172" s="25" t="s">
        <v>159</v>
      </c>
      <c r="U172" s="25"/>
      <c r="V172" s="45"/>
      <c r="W172" s="25" t="s">
        <v>160</v>
      </c>
      <c r="X172" s="45"/>
      <c r="Y172" s="45"/>
      <c r="Z172" s="20"/>
      <c r="AB172" s="55" t="s">
        <v>158</v>
      </c>
      <c r="AC172" s="25" t="s">
        <v>159</v>
      </c>
      <c r="AD172" s="25"/>
      <c r="AE172" s="45"/>
      <c r="AF172" s="25" t="s">
        <v>160</v>
      </c>
      <c r="AG172" s="45"/>
      <c r="AH172" s="45"/>
      <c r="AI172" s="20"/>
    </row>
    <row r="173" customFormat="false" ht="17.35" hidden="false" customHeight="false" outlineLevel="0" collapsed="false">
      <c r="A173" s="69" t="n">
        <f aca="false">H141-H137-H139-H140</f>
        <v>57991.67</v>
      </c>
      <c r="B173" s="37" t="n">
        <f aca="false">H137</f>
        <v>11598.334</v>
      </c>
      <c r="C173" s="67"/>
      <c r="D173" s="45"/>
      <c r="E173" s="73" t="n">
        <f aca="false">H139+H140</f>
        <v>640</v>
      </c>
      <c r="F173" s="45"/>
      <c r="G173" s="45"/>
      <c r="H173" s="20"/>
      <c r="J173" s="69" t="n">
        <f aca="false">Q141-Q137-Q139-Q140</f>
        <v>30012.5</v>
      </c>
      <c r="K173" s="37" t="n">
        <f aca="false">Q137</f>
        <v>6002.5</v>
      </c>
      <c r="L173" s="67"/>
      <c r="M173" s="45"/>
      <c r="N173" s="73" t="n">
        <f aca="false">Q139+Q140</f>
        <v>640</v>
      </c>
      <c r="O173" s="45"/>
      <c r="P173" s="45"/>
      <c r="Q173" s="20"/>
      <c r="S173" s="69" t="n">
        <f aca="false">Z141-Z137-Z139-Z140</f>
        <v>36523.9575</v>
      </c>
      <c r="T173" s="37" t="n">
        <f aca="false">Z137</f>
        <v>7304.7915</v>
      </c>
      <c r="U173" s="67"/>
      <c r="V173" s="45"/>
      <c r="W173" s="73" t="n">
        <f aca="false">Z139+Z140</f>
        <v>640</v>
      </c>
      <c r="X173" s="45"/>
      <c r="Y173" s="45"/>
      <c r="Z173" s="20"/>
      <c r="AB173" s="69" t="n">
        <f aca="false">AI141-AI137-AI139-AI140</f>
        <v>36523.9575</v>
      </c>
      <c r="AC173" s="37" t="n">
        <f aca="false">AI137</f>
        <v>7304.7915</v>
      </c>
      <c r="AD173" s="67"/>
      <c r="AE173" s="45"/>
      <c r="AF173" s="73" t="n">
        <f aca="false">AI139+AI140</f>
        <v>640</v>
      </c>
      <c r="AG173" s="45"/>
      <c r="AH173" s="45"/>
      <c r="AI173" s="20"/>
    </row>
    <row r="174" customFormat="false" ht="17.35" hidden="false" customHeight="false" outlineLevel="0" collapsed="false">
      <c r="A174" s="55"/>
      <c r="B174" s="25"/>
      <c r="C174" s="25"/>
      <c r="D174" s="45"/>
      <c r="E174" s="25"/>
      <c r="F174" s="45"/>
      <c r="G174" s="45"/>
      <c r="H174" s="20"/>
      <c r="J174" s="55"/>
      <c r="K174" s="25"/>
      <c r="L174" s="25"/>
      <c r="M174" s="45"/>
      <c r="N174" s="25"/>
      <c r="O174" s="45"/>
      <c r="P174" s="45"/>
      <c r="Q174" s="20"/>
      <c r="S174" s="55"/>
      <c r="T174" s="25"/>
      <c r="U174" s="25"/>
      <c r="V174" s="45"/>
      <c r="W174" s="25"/>
      <c r="X174" s="45"/>
      <c r="Y174" s="45"/>
      <c r="Z174" s="20"/>
      <c r="AB174" s="55"/>
      <c r="AC174" s="25"/>
      <c r="AD174" s="25"/>
      <c r="AE174" s="45"/>
      <c r="AF174" s="25"/>
      <c r="AG174" s="45"/>
      <c r="AH174" s="45"/>
      <c r="AI174" s="20"/>
    </row>
    <row r="175" customFormat="false" ht="17.35" hidden="false" customHeight="false" outlineLevel="0" collapsed="false">
      <c r="A175" s="55" t="s">
        <v>161</v>
      </c>
      <c r="B175" s="25" t="s">
        <v>108</v>
      </c>
      <c r="C175" s="25"/>
      <c r="D175" s="45"/>
      <c r="E175" s="25" t="s">
        <v>109</v>
      </c>
      <c r="F175" s="45"/>
      <c r="G175" s="45"/>
      <c r="H175" s="20"/>
      <c r="J175" s="55" t="s">
        <v>161</v>
      </c>
      <c r="K175" s="25" t="s">
        <v>108</v>
      </c>
      <c r="L175" s="25"/>
      <c r="M175" s="45"/>
      <c r="N175" s="25" t="s">
        <v>109</v>
      </c>
      <c r="O175" s="45"/>
      <c r="P175" s="45"/>
      <c r="Q175" s="20"/>
      <c r="S175" s="55" t="s">
        <v>161</v>
      </c>
      <c r="T175" s="25" t="s">
        <v>108</v>
      </c>
      <c r="U175" s="25"/>
      <c r="V175" s="45"/>
      <c r="W175" s="25" t="s">
        <v>109</v>
      </c>
      <c r="X175" s="45"/>
      <c r="Y175" s="45"/>
      <c r="Z175" s="20"/>
      <c r="AB175" s="55" t="s">
        <v>161</v>
      </c>
      <c r="AC175" s="25" t="s">
        <v>108</v>
      </c>
      <c r="AD175" s="25"/>
      <c r="AE175" s="45"/>
      <c r="AF175" s="25" t="s">
        <v>109</v>
      </c>
      <c r="AG175" s="45"/>
      <c r="AH175" s="45"/>
      <c r="AI175" s="20"/>
    </row>
    <row r="176" customFormat="false" ht="17.35" hidden="false" customHeight="false" outlineLevel="0" collapsed="false">
      <c r="A176" s="69" t="n">
        <f aca="false">H147</f>
        <v>70230.004</v>
      </c>
      <c r="B176" s="37" t="n">
        <f aca="false">B111</f>
        <v>1000</v>
      </c>
      <c r="C176" s="37"/>
      <c r="D176" s="45"/>
      <c r="E176" s="37" t="n">
        <f aca="false">E111</f>
        <v>1000</v>
      </c>
      <c r="F176" s="45"/>
      <c r="G176" s="45"/>
      <c r="H176" s="177"/>
      <c r="J176" s="69" t="n">
        <f aca="false">Q141</f>
        <v>36655</v>
      </c>
      <c r="K176" s="37" t="n">
        <f aca="false">K111</f>
        <v>1000</v>
      </c>
      <c r="L176" s="37"/>
      <c r="M176" s="45"/>
      <c r="N176" s="37" t="n">
        <f aca="false">N111</f>
        <v>0</v>
      </c>
      <c r="O176" s="45"/>
      <c r="P176" s="45"/>
      <c r="Q176" s="177"/>
      <c r="S176" s="69" t="n">
        <f aca="false">Z141</f>
        <v>44468.749</v>
      </c>
      <c r="T176" s="37" t="n">
        <f aca="false">T111</f>
        <v>1000</v>
      </c>
      <c r="U176" s="37"/>
      <c r="V176" s="45"/>
      <c r="W176" s="37" t="n">
        <f aca="false">W111</f>
        <v>0</v>
      </c>
      <c r="X176" s="45"/>
      <c r="Y176" s="45"/>
      <c r="Z176" s="177"/>
      <c r="AB176" s="69" t="n">
        <f aca="false">AI141</f>
        <v>44468.749</v>
      </c>
      <c r="AC176" s="37" t="n">
        <f aca="false">AC111</f>
        <v>1000</v>
      </c>
      <c r="AD176" s="37"/>
      <c r="AE176" s="45"/>
      <c r="AF176" s="37" t="n">
        <f aca="false">AF111</f>
        <v>0</v>
      </c>
      <c r="AG176" s="45"/>
      <c r="AH176" s="45"/>
      <c r="AI176" s="177"/>
    </row>
    <row r="177" customFormat="false" ht="17.35" hidden="false" customHeight="false" outlineLevel="0" collapsed="false">
      <c r="A177" s="55"/>
      <c r="B177" s="25"/>
      <c r="C177" s="25"/>
      <c r="D177" s="45"/>
      <c r="E177" s="25"/>
      <c r="F177" s="45"/>
      <c r="G177" s="45"/>
      <c r="H177" s="20"/>
      <c r="J177" s="55"/>
      <c r="K177" s="25"/>
      <c r="L177" s="25"/>
      <c r="M177" s="45"/>
      <c r="N177" s="25"/>
      <c r="O177" s="45"/>
      <c r="P177" s="45"/>
      <c r="Q177" s="20"/>
      <c r="S177" s="55"/>
      <c r="T177" s="25"/>
      <c r="U177" s="25"/>
      <c r="V177" s="45"/>
      <c r="W177" s="25"/>
      <c r="X177" s="45"/>
      <c r="Y177" s="45"/>
      <c r="Z177" s="20"/>
      <c r="AB177" s="55"/>
      <c r="AC177" s="25"/>
      <c r="AD177" s="25"/>
      <c r="AE177" s="45"/>
      <c r="AF177" s="25"/>
      <c r="AG177" s="45"/>
      <c r="AH177" s="45"/>
      <c r="AI177" s="20"/>
    </row>
    <row r="178" customFormat="false" ht="17.35" hidden="false" customHeight="false" outlineLevel="0" collapsed="false">
      <c r="A178" s="55" t="s">
        <v>110</v>
      </c>
      <c r="B178" s="25" t="s">
        <v>146</v>
      </c>
      <c r="C178" s="25"/>
      <c r="D178" s="45"/>
      <c r="E178" s="25" t="s">
        <v>151</v>
      </c>
      <c r="F178" s="45"/>
      <c r="G178" s="45"/>
      <c r="H178" s="20"/>
      <c r="J178" s="55" t="s">
        <v>110</v>
      </c>
      <c r="K178" s="25" t="s">
        <v>146</v>
      </c>
      <c r="L178" s="25"/>
      <c r="M178" s="45"/>
      <c r="N178" s="25" t="s">
        <v>151</v>
      </c>
      <c r="O178" s="45"/>
      <c r="P178" s="45"/>
      <c r="Q178" s="20"/>
      <c r="S178" s="55" t="s">
        <v>110</v>
      </c>
      <c r="T178" s="25" t="s">
        <v>146</v>
      </c>
      <c r="U178" s="25"/>
      <c r="V178" s="45"/>
      <c r="W178" s="25" t="s">
        <v>151</v>
      </c>
      <c r="X178" s="45"/>
      <c r="Y178" s="45"/>
      <c r="Z178" s="20"/>
      <c r="AB178" s="55" t="s">
        <v>110</v>
      </c>
      <c r="AC178" s="25" t="s">
        <v>146</v>
      </c>
      <c r="AD178" s="25"/>
      <c r="AE178" s="45"/>
      <c r="AF178" s="25" t="s">
        <v>151</v>
      </c>
      <c r="AG178" s="45"/>
      <c r="AH178" s="45"/>
      <c r="AI178" s="20"/>
    </row>
    <row r="179" customFormat="false" ht="17.35" hidden="false" customHeight="false" outlineLevel="0" collapsed="false">
      <c r="A179" s="70" t="n">
        <f aca="false">B176+E176</f>
        <v>2000</v>
      </c>
      <c r="B179" s="37" t="n">
        <f aca="false">G154</f>
        <v>500</v>
      </c>
      <c r="C179" s="37"/>
      <c r="D179" s="45"/>
      <c r="E179" s="37" t="n">
        <f aca="false">A176-A179-B179</f>
        <v>67730.004</v>
      </c>
      <c r="F179" s="45"/>
      <c r="G179" s="45"/>
      <c r="H179" s="177"/>
      <c r="J179" s="70" t="n">
        <f aca="false">K176+N176</f>
        <v>1000</v>
      </c>
      <c r="K179" s="37" t="n">
        <f aca="false">P154</f>
        <v>-2000</v>
      </c>
      <c r="L179" s="37"/>
      <c r="M179" s="45"/>
      <c r="N179" s="37" t="n">
        <f aca="false">J176-J179-K179</f>
        <v>37655</v>
      </c>
      <c r="O179" s="45"/>
      <c r="P179" s="45"/>
      <c r="Q179" s="177"/>
      <c r="S179" s="70" t="n">
        <f aca="false">T176+W176</f>
        <v>1000</v>
      </c>
      <c r="T179" s="37" t="n">
        <f aca="false">Y154</f>
        <v>-2000</v>
      </c>
      <c r="U179" s="37"/>
      <c r="V179" s="45"/>
      <c r="W179" s="37" t="n">
        <f aca="false">S176-S179-T179</f>
        <v>45468.749</v>
      </c>
      <c r="X179" s="45"/>
      <c r="Y179" s="45"/>
      <c r="Z179" s="177"/>
      <c r="AB179" s="70" t="n">
        <f aca="false">AC176+AF176</f>
        <v>1000</v>
      </c>
      <c r="AC179" s="37" t="n">
        <f aca="false">AH154</f>
        <v>-2000</v>
      </c>
      <c r="AD179" s="37"/>
      <c r="AE179" s="45"/>
      <c r="AF179" s="37" t="n">
        <f aca="false">AB176-AB179-AC179</f>
        <v>45468.749</v>
      </c>
      <c r="AG179" s="45"/>
      <c r="AH179" s="45"/>
      <c r="AI179" s="177"/>
    </row>
    <row r="180" customFormat="false" ht="17.35" hidden="false" customHeight="false" outlineLevel="0" collapsed="false">
      <c r="A180" s="55"/>
      <c r="B180" s="25"/>
      <c r="C180" s="25"/>
      <c r="D180" s="45"/>
      <c r="E180" s="25"/>
      <c r="F180" s="45"/>
      <c r="G180" s="45"/>
      <c r="H180" s="20"/>
      <c r="J180" s="55"/>
      <c r="K180" s="25"/>
      <c r="L180" s="25"/>
      <c r="M180" s="45"/>
      <c r="N180" s="25"/>
      <c r="O180" s="45"/>
      <c r="P180" s="45"/>
      <c r="Q180" s="20"/>
      <c r="S180" s="55"/>
      <c r="T180" s="25"/>
      <c r="U180" s="25"/>
      <c r="V180" s="45"/>
      <c r="W180" s="25"/>
      <c r="X180" s="45"/>
      <c r="Y180" s="45"/>
      <c r="Z180" s="20"/>
      <c r="AB180" s="55"/>
      <c r="AC180" s="25"/>
      <c r="AD180" s="25"/>
      <c r="AE180" s="45"/>
      <c r="AF180" s="25"/>
      <c r="AG180" s="45"/>
      <c r="AH180" s="45"/>
      <c r="AI180" s="20"/>
    </row>
    <row r="181" customFormat="false" ht="17.35" hidden="false" customHeight="false" outlineLevel="0" collapsed="false">
      <c r="A181" s="55" t="s">
        <v>162</v>
      </c>
      <c r="B181" s="25" t="s">
        <v>152</v>
      </c>
      <c r="C181" s="25"/>
      <c r="D181" s="45"/>
      <c r="E181" s="25" t="s">
        <v>163</v>
      </c>
      <c r="F181" s="45"/>
      <c r="G181" s="45"/>
      <c r="H181" s="20"/>
      <c r="J181" s="55" t="s">
        <v>162</v>
      </c>
      <c r="K181" s="25" t="s">
        <v>152</v>
      </c>
      <c r="L181" s="25"/>
      <c r="M181" s="45"/>
      <c r="N181" s="25" t="s">
        <v>163</v>
      </c>
      <c r="O181" s="45"/>
      <c r="P181" s="45"/>
      <c r="Q181" s="20"/>
      <c r="S181" s="55" t="s">
        <v>162</v>
      </c>
      <c r="T181" s="25" t="s">
        <v>152</v>
      </c>
      <c r="U181" s="25"/>
      <c r="V181" s="45"/>
      <c r="W181" s="25" t="s">
        <v>163</v>
      </c>
      <c r="X181" s="45"/>
      <c r="Y181" s="45"/>
      <c r="Z181" s="20"/>
      <c r="AB181" s="55" t="s">
        <v>162</v>
      </c>
      <c r="AC181" s="25" t="s">
        <v>152</v>
      </c>
      <c r="AD181" s="25"/>
      <c r="AE181" s="45"/>
      <c r="AF181" s="25" t="s">
        <v>163</v>
      </c>
      <c r="AG181" s="45"/>
      <c r="AH181" s="45"/>
      <c r="AI181" s="20"/>
    </row>
    <row r="182" customFormat="false" ht="17.35" hidden="false" customHeight="false" outlineLevel="0" collapsed="false">
      <c r="A182" s="70" t="n">
        <f aca="false">(A167*B59)+E185-E179-A185</f>
        <v>13370.4592359321</v>
      </c>
      <c r="B182" s="37" t="str">
        <f aca="false">B114</f>
        <v>199.99</v>
      </c>
      <c r="C182" s="37"/>
      <c r="D182" s="45"/>
      <c r="E182" s="37" t="n">
        <f aca="false">E179+A182+B182+A185</f>
        <v>81310.4532359321</v>
      </c>
      <c r="F182" s="45"/>
      <c r="G182" s="45"/>
      <c r="H182" s="177"/>
      <c r="J182" s="70" t="n">
        <f aca="false">(J167*K59)+N185-N179-J185</f>
        <v>22558.6283606416</v>
      </c>
      <c r="K182" s="37" t="n">
        <f aca="false">K114</f>
        <v>239.99</v>
      </c>
      <c r="L182" s="37"/>
      <c r="M182" s="45"/>
      <c r="N182" s="37" t="n">
        <f aca="false">N179+J182+K182+J185</f>
        <v>60473.6183606416</v>
      </c>
      <c r="O182" s="45"/>
      <c r="P182" s="45"/>
      <c r="Q182" s="177"/>
      <c r="S182" s="70" t="n">
        <f aca="false">(S167*T59)+W185-W179-S185</f>
        <v>10803.4434958931</v>
      </c>
      <c r="T182" s="37" t="n">
        <f aca="false">T114</f>
        <v>199.99</v>
      </c>
      <c r="U182" s="37"/>
      <c r="V182" s="45"/>
      <c r="W182" s="37" t="n">
        <f aca="false">W179+S182+T182+S185</f>
        <v>56482.1824958931</v>
      </c>
      <c r="X182" s="45"/>
      <c r="Y182" s="45"/>
      <c r="Z182" s="177"/>
      <c r="AB182" s="70" t="n">
        <f aca="false">(AB167*AC59)+AF185-AF179-AB185</f>
        <v>10803.4434958931</v>
      </c>
      <c r="AC182" s="37" t="n">
        <f aca="false">AC114</f>
        <v>239.99</v>
      </c>
      <c r="AD182" s="37"/>
      <c r="AE182" s="45"/>
      <c r="AF182" s="37" t="n">
        <f aca="false">AF179+AB182+AC182+AB185</f>
        <v>56522.1824958931</v>
      </c>
      <c r="AG182" s="45"/>
      <c r="AH182" s="45"/>
      <c r="AI182" s="177"/>
    </row>
    <row r="183" customFormat="false" ht="17.35" hidden="false" customHeight="false" outlineLevel="0" collapsed="false">
      <c r="A183" s="55"/>
      <c r="B183" s="25"/>
      <c r="C183" s="25"/>
      <c r="D183" s="45"/>
      <c r="E183" s="25"/>
      <c r="F183" s="45"/>
      <c r="G183" s="45"/>
      <c r="H183" s="20"/>
      <c r="J183" s="55"/>
      <c r="K183" s="25"/>
      <c r="L183" s="25"/>
      <c r="M183" s="45"/>
      <c r="N183" s="25"/>
      <c r="O183" s="45"/>
      <c r="P183" s="45"/>
      <c r="Q183" s="20"/>
      <c r="S183" s="55"/>
      <c r="T183" s="25"/>
      <c r="U183" s="25"/>
      <c r="V183" s="45"/>
      <c r="W183" s="25"/>
      <c r="X183" s="45"/>
      <c r="Y183" s="45"/>
      <c r="Z183" s="20"/>
      <c r="AB183" s="55"/>
      <c r="AC183" s="25"/>
      <c r="AD183" s="25"/>
      <c r="AE183" s="45"/>
      <c r="AF183" s="25"/>
      <c r="AG183" s="45"/>
      <c r="AH183" s="45"/>
      <c r="AI183" s="20"/>
    </row>
    <row r="184" customFormat="false" ht="17.35" hidden="false" customHeight="false" outlineLevel="0" collapsed="false">
      <c r="A184" s="55" t="s">
        <v>164</v>
      </c>
      <c r="B184" s="25" t="s">
        <v>165</v>
      </c>
      <c r="C184" s="25"/>
      <c r="D184" s="45"/>
      <c r="E184" s="25" t="s">
        <v>166</v>
      </c>
      <c r="F184" s="45"/>
      <c r="G184" s="45"/>
      <c r="H184" s="20"/>
      <c r="J184" s="55" t="s">
        <v>164</v>
      </c>
      <c r="K184" s="25" t="s">
        <v>165</v>
      </c>
      <c r="L184" s="25"/>
      <c r="M184" s="45"/>
      <c r="N184" s="25" t="s">
        <v>166</v>
      </c>
      <c r="O184" s="45"/>
      <c r="P184" s="45"/>
      <c r="Q184" s="20"/>
      <c r="S184" s="55" t="s">
        <v>164</v>
      </c>
      <c r="T184" s="25" t="s">
        <v>165</v>
      </c>
      <c r="U184" s="25"/>
      <c r="V184" s="45"/>
      <c r="W184" s="25" t="s">
        <v>166</v>
      </c>
      <c r="X184" s="45"/>
      <c r="Y184" s="45"/>
      <c r="Z184" s="20"/>
      <c r="AB184" s="55" t="s">
        <v>164</v>
      </c>
      <c r="AC184" s="25" t="s">
        <v>165</v>
      </c>
      <c r="AD184" s="25"/>
      <c r="AE184" s="45"/>
      <c r="AF184" s="25" t="s">
        <v>166</v>
      </c>
      <c r="AG184" s="45"/>
      <c r="AH184" s="45"/>
      <c r="AI184" s="20"/>
    </row>
    <row r="185" customFormat="false" ht="17.35" hidden="false" customHeight="false" outlineLevel="0" collapsed="false">
      <c r="A185" s="70" t="n">
        <f aca="false">B60</f>
        <v>10</v>
      </c>
      <c r="B185" s="37" t="n">
        <f aca="false">A179+(B182*1.2)</f>
        <v>2239.988</v>
      </c>
      <c r="C185" s="37"/>
      <c r="D185" s="45"/>
      <c r="E185" s="37" t="n">
        <f aca="false">E170+A185</f>
        <v>9010</v>
      </c>
      <c r="F185" s="45"/>
      <c r="G185" s="45"/>
      <c r="H185" s="177"/>
      <c r="J185" s="70" t="n">
        <f aca="false">K60</f>
        <v>20</v>
      </c>
      <c r="K185" s="37" t="n">
        <f aca="false">J179+K182</f>
        <v>1239.99</v>
      </c>
      <c r="L185" s="37"/>
      <c r="M185" s="45"/>
      <c r="N185" s="37" t="n">
        <f aca="false">N170+J185</f>
        <v>9020</v>
      </c>
      <c r="O185" s="45"/>
      <c r="P185" s="45"/>
      <c r="Q185" s="177"/>
      <c r="S185" s="70" t="n">
        <f aca="false">T60</f>
        <v>10</v>
      </c>
      <c r="T185" s="37" t="n">
        <f aca="false">S179+T182</f>
        <v>1199.99</v>
      </c>
      <c r="U185" s="37"/>
      <c r="V185" s="45"/>
      <c r="W185" s="37" t="n">
        <f aca="false">W170+S185</f>
        <v>9010</v>
      </c>
      <c r="X185" s="45"/>
      <c r="Y185" s="45"/>
      <c r="Z185" s="177"/>
      <c r="AB185" s="70" t="n">
        <f aca="false">AC60</f>
        <v>10</v>
      </c>
      <c r="AC185" s="37" t="n">
        <f aca="false">AB179+AC182</f>
        <v>1239.99</v>
      </c>
      <c r="AD185" s="37"/>
      <c r="AE185" s="45"/>
      <c r="AF185" s="37" t="n">
        <f aca="false">AF170+AB185</f>
        <v>9010</v>
      </c>
      <c r="AG185" s="45"/>
      <c r="AH185" s="45"/>
      <c r="AI185" s="177"/>
    </row>
    <row r="186" customFormat="false" ht="17.35" hidden="false" customHeight="false" outlineLevel="0" collapsed="false">
      <c r="A186" s="55"/>
      <c r="B186" s="25"/>
      <c r="C186" s="25"/>
      <c r="D186" s="25"/>
      <c r="E186" s="45"/>
      <c r="F186" s="45"/>
      <c r="G186" s="45"/>
      <c r="H186" s="20"/>
      <c r="J186" s="55"/>
      <c r="K186" s="25"/>
      <c r="L186" s="25"/>
      <c r="M186" s="25"/>
      <c r="N186" s="45"/>
      <c r="O186" s="45"/>
      <c r="P186" s="45"/>
      <c r="Q186" s="20"/>
      <c r="S186" s="55"/>
      <c r="T186" s="25"/>
      <c r="U186" s="25"/>
      <c r="V186" s="25"/>
      <c r="W186" s="45"/>
      <c r="X186" s="178"/>
      <c r="Y186" s="178"/>
      <c r="Z186" s="20"/>
      <c r="AB186" s="55"/>
      <c r="AC186" s="25"/>
      <c r="AD186" s="25"/>
      <c r="AE186" s="25"/>
      <c r="AF186" s="45"/>
      <c r="AG186" s="45"/>
      <c r="AH186" s="45"/>
      <c r="AI186" s="20"/>
    </row>
    <row r="187" customFormat="false" ht="17.35" hidden="false" customHeight="false" outlineLevel="0" collapsed="false">
      <c r="A187" s="55" t="s">
        <v>167</v>
      </c>
      <c r="B187" s="25" t="s">
        <v>168</v>
      </c>
      <c r="C187" s="25"/>
      <c r="D187" s="25"/>
      <c r="E187" s="38" t="s">
        <v>169</v>
      </c>
      <c r="F187" s="45"/>
      <c r="G187" s="45"/>
      <c r="H187" s="20"/>
      <c r="J187" s="55" t="s">
        <v>167</v>
      </c>
      <c r="K187" s="25" t="s">
        <v>168</v>
      </c>
      <c r="L187" s="25"/>
      <c r="M187" s="25"/>
      <c r="N187" s="38" t="s">
        <v>169</v>
      </c>
      <c r="O187" s="45"/>
      <c r="P187" s="45"/>
      <c r="Q187" s="20"/>
      <c r="S187" s="55" t="s">
        <v>167</v>
      </c>
      <c r="T187" s="25" t="s">
        <v>168</v>
      </c>
      <c r="U187" s="25"/>
      <c r="V187" s="25"/>
      <c r="W187" s="38" t="s">
        <v>169</v>
      </c>
      <c r="X187" s="178"/>
      <c r="Y187" s="178"/>
      <c r="Z187" s="20"/>
      <c r="AB187" s="55" t="s">
        <v>167</v>
      </c>
      <c r="AC187" s="25" t="s">
        <v>168</v>
      </c>
      <c r="AD187" s="25"/>
      <c r="AE187" s="25"/>
      <c r="AF187" s="38" t="s">
        <v>169</v>
      </c>
      <c r="AG187" s="178"/>
      <c r="AH187" s="178"/>
      <c r="AI187" s="20"/>
    </row>
    <row r="188" customFormat="false" ht="17.35" hidden="false" customHeight="false" outlineLevel="0" collapsed="false">
      <c r="A188" s="70" t="n">
        <f aca="false">IF(E105="YES", J18*0.000002, 0)*100</f>
        <v>11.577</v>
      </c>
      <c r="B188" s="37" t="n">
        <f aca="false">(G158*B67)/1.2</f>
        <v>552.65801875</v>
      </c>
      <c r="C188" s="25"/>
      <c r="D188" s="25"/>
      <c r="E188" s="37" t="n">
        <f aca="false">(E40*A108)*0.1</f>
        <v>70.3395</v>
      </c>
      <c r="F188" s="45"/>
      <c r="G188" s="45"/>
      <c r="H188" s="20"/>
      <c r="J188" s="70" t="n">
        <f aca="false">IF(N105="YES", H15*0.000002, 0)</f>
        <v>0.11705</v>
      </c>
      <c r="K188" s="37" t="n">
        <f aca="false">(P158*K67)/1.2</f>
        <v>2320.75086805556</v>
      </c>
      <c r="L188" s="25"/>
      <c r="M188" s="25"/>
      <c r="N188" s="37" t="n">
        <f aca="false">(E40*J108)*0.1</f>
        <v>70.3395</v>
      </c>
      <c r="O188" s="45"/>
      <c r="P188" s="45"/>
      <c r="Q188" s="20"/>
      <c r="S188" s="70" t="n">
        <f aca="false">IF(W105="YES", Z15*0.000002, 0)</f>
        <v>0</v>
      </c>
      <c r="T188" s="37" t="n">
        <f aca="false">(Y158*T67)/1.2</f>
        <v>371.012361631944</v>
      </c>
      <c r="U188" s="25"/>
      <c r="V188" s="25"/>
      <c r="W188" s="37" t="n">
        <f aca="false">(E40*S108)*0.1</f>
        <v>46.893</v>
      </c>
      <c r="X188" s="178"/>
      <c r="Y188" s="178"/>
      <c r="Z188" s="20"/>
      <c r="AB188" s="70" t="n">
        <f aca="false">IF(AF105="YES", AI15*0.000002, 0)</f>
        <v>0</v>
      </c>
      <c r="AC188" s="37" t="n">
        <f aca="false">(AH158*AC67)/1.2</f>
        <v>371.012361631944</v>
      </c>
      <c r="AD188" s="25"/>
      <c r="AE188" s="25"/>
      <c r="AF188" s="37" t="n">
        <f aca="false">(E40*AB108)*0.1</f>
        <v>46.893</v>
      </c>
      <c r="AG188" s="178"/>
      <c r="AH188" s="178"/>
      <c r="AI188" s="20"/>
    </row>
    <row r="189" customFormat="false" ht="17.35" hidden="false" customHeight="false" outlineLevel="0" collapsed="false">
      <c r="A189" s="70"/>
      <c r="B189" s="37"/>
      <c r="C189" s="25"/>
      <c r="D189" s="25"/>
      <c r="E189" s="45"/>
      <c r="F189" s="45"/>
      <c r="G189" s="45"/>
      <c r="H189" s="20"/>
      <c r="J189" s="70"/>
      <c r="K189" s="37"/>
      <c r="L189" s="25"/>
      <c r="M189" s="25"/>
      <c r="N189" s="45"/>
      <c r="O189" s="45"/>
      <c r="P189" s="45"/>
      <c r="Q189" s="20"/>
      <c r="S189" s="70"/>
      <c r="T189" s="37"/>
      <c r="U189" s="25"/>
      <c r="V189" s="25"/>
      <c r="W189" s="45"/>
      <c r="X189" s="178"/>
      <c r="Y189" s="178"/>
      <c r="Z189" s="20"/>
      <c r="AB189" s="70"/>
      <c r="AC189" s="37"/>
      <c r="AD189" s="25"/>
      <c r="AE189" s="25"/>
      <c r="AF189" s="45"/>
      <c r="AG189" s="178"/>
      <c r="AH189" s="178"/>
      <c r="AI189" s="20"/>
    </row>
    <row r="190" customFormat="false" ht="17.35" hidden="false" customHeight="false" outlineLevel="0" collapsed="false">
      <c r="A190" s="78" t="s">
        <v>170</v>
      </c>
      <c r="B190" s="38" t="s">
        <v>171</v>
      </c>
      <c r="C190" s="25"/>
      <c r="D190" s="25"/>
      <c r="E190" s="38" t="s">
        <v>172</v>
      </c>
      <c r="F190" s="45"/>
      <c r="G190" s="45"/>
      <c r="H190" s="20"/>
      <c r="J190" s="78" t="s">
        <v>170</v>
      </c>
      <c r="K190" s="38" t="s">
        <v>171</v>
      </c>
      <c r="L190" s="25"/>
      <c r="M190" s="25"/>
      <c r="N190" s="38" t="s">
        <v>172</v>
      </c>
      <c r="O190" s="45"/>
      <c r="P190" s="45"/>
      <c r="Q190" s="20"/>
      <c r="S190" s="78" t="s">
        <v>170</v>
      </c>
      <c r="T190" s="38" t="s">
        <v>171</v>
      </c>
      <c r="U190" s="25"/>
      <c r="V190" s="25"/>
      <c r="W190" s="38" t="s">
        <v>172</v>
      </c>
      <c r="X190" s="178"/>
      <c r="Y190" s="178"/>
      <c r="Z190" s="20"/>
      <c r="AB190" s="78" t="s">
        <v>170</v>
      </c>
      <c r="AC190" s="38" t="s">
        <v>171</v>
      </c>
      <c r="AD190" s="25"/>
      <c r="AE190" s="25"/>
      <c r="AF190" s="38" t="s">
        <v>172</v>
      </c>
      <c r="AG190" s="178"/>
      <c r="AH190" s="178"/>
      <c r="AI190" s="20"/>
    </row>
    <row r="191" customFormat="false" ht="17.35" hidden="false" customHeight="false" outlineLevel="0" collapsed="false">
      <c r="A191" s="70" t="n">
        <f aca="false">B182-100</f>
        <v>99.99</v>
      </c>
      <c r="B191" s="37" t="n">
        <f aca="false">B188+E188+A191</f>
        <v>722.98751875</v>
      </c>
      <c r="C191" s="25"/>
      <c r="D191" s="25"/>
      <c r="E191" s="37" t="n">
        <f aca="false">H148</f>
        <v>9754.17</v>
      </c>
      <c r="F191" s="45"/>
      <c r="G191" s="45"/>
      <c r="H191" s="20"/>
      <c r="J191" s="70" t="n">
        <f aca="false">K185-100</f>
        <v>1139.99</v>
      </c>
      <c r="K191" s="37" t="n">
        <f aca="false">K188+N188+J191</f>
        <v>3531.08036805556</v>
      </c>
      <c r="L191" s="25"/>
      <c r="M191" s="25"/>
      <c r="N191" s="37" t="n">
        <f aca="false">Q148</f>
        <v>-21870</v>
      </c>
      <c r="O191" s="45"/>
      <c r="P191" s="45"/>
      <c r="Q191" s="20"/>
      <c r="S191" s="70" t="n">
        <f aca="false">T185-100</f>
        <v>1099.99</v>
      </c>
      <c r="T191" s="37" t="n">
        <f aca="false">T188+W188+S191</f>
        <v>1517.89536163194</v>
      </c>
      <c r="U191" s="25"/>
      <c r="V191" s="25"/>
      <c r="W191" s="37" t="n">
        <f aca="false">Z148</f>
        <v>-14056.251</v>
      </c>
      <c r="X191" s="178"/>
      <c r="Y191" s="178"/>
      <c r="Z191" s="20"/>
      <c r="AB191" s="70" t="n">
        <f aca="false">AC185-100</f>
        <v>1139.99</v>
      </c>
      <c r="AC191" s="37" t="n">
        <f aca="false">AC188+AF188+AB191</f>
        <v>1557.89536163194</v>
      </c>
      <c r="AD191" s="25"/>
      <c r="AE191" s="25"/>
      <c r="AF191" s="37" t="n">
        <f aca="false">AI148</f>
        <v>-14056.251</v>
      </c>
      <c r="AG191" s="178"/>
      <c r="AH191" s="178"/>
      <c r="AI191" s="20"/>
    </row>
    <row r="192" customFormat="false" ht="17.35" hidden="false" customHeight="false" outlineLevel="0" collapsed="false">
      <c r="A192" s="55"/>
      <c r="B192" s="25"/>
      <c r="C192" s="25"/>
      <c r="D192" s="25"/>
      <c r="E192" s="45"/>
      <c r="F192" s="45"/>
      <c r="G192" s="45"/>
      <c r="H192" s="20"/>
      <c r="J192" s="55"/>
      <c r="K192" s="25"/>
      <c r="L192" s="25"/>
      <c r="M192" s="25"/>
      <c r="N192" s="45"/>
      <c r="O192" s="45"/>
      <c r="P192" s="45"/>
      <c r="Q192" s="20"/>
      <c r="S192" s="55"/>
      <c r="T192" s="25"/>
      <c r="U192" s="25"/>
      <c r="V192" s="25"/>
      <c r="W192" s="45"/>
      <c r="X192" s="45"/>
      <c r="Y192" s="45"/>
      <c r="Z192" s="20"/>
      <c r="AB192" s="55"/>
      <c r="AC192" s="25"/>
      <c r="AD192" s="25"/>
      <c r="AE192" s="25"/>
      <c r="AF192" s="45"/>
      <c r="AG192" s="45"/>
      <c r="AH192" s="45"/>
      <c r="AI192" s="20"/>
    </row>
    <row r="193" customFormat="false" ht="17.35" hidden="false" customHeight="false" outlineLevel="0" collapsed="false">
      <c r="A193" s="83" t="s">
        <v>173</v>
      </c>
      <c r="B193" s="25"/>
      <c r="C193" s="25"/>
      <c r="D193" s="84"/>
      <c r="E193" s="84"/>
      <c r="F193" s="84"/>
      <c r="G193" s="84"/>
      <c r="H193" s="85"/>
      <c r="J193" s="83" t="s">
        <v>173</v>
      </c>
      <c r="K193" s="25"/>
      <c r="L193" s="25"/>
      <c r="M193" s="84"/>
      <c r="N193" s="84"/>
      <c r="O193" s="84"/>
      <c r="P193" s="84"/>
      <c r="Q193" s="85"/>
      <c r="S193" s="83" t="s">
        <v>173</v>
      </c>
      <c r="T193" s="25"/>
      <c r="U193" s="25"/>
      <c r="V193" s="84"/>
      <c r="W193" s="84"/>
      <c r="X193" s="84"/>
      <c r="Y193" s="84"/>
      <c r="Z193" s="85"/>
      <c r="AB193" s="83" t="s">
        <v>173</v>
      </c>
      <c r="AC193" s="25"/>
      <c r="AD193" s="25"/>
      <c r="AE193" s="84"/>
      <c r="AF193" s="84"/>
      <c r="AG193" s="84"/>
      <c r="AH193" s="84"/>
      <c r="AI193" s="85"/>
    </row>
    <row r="194" customFormat="false" ht="17.35" hidden="false" customHeight="false" outlineLevel="0" collapsed="false">
      <c r="A194" s="55"/>
      <c r="B194" s="87"/>
      <c r="C194" s="87"/>
      <c r="D194" s="25"/>
      <c r="E194" s="45"/>
      <c r="F194" s="45"/>
      <c r="G194" s="45"/>
      <c r="H194" s="20"/>
      <c r="J194" s="55"/>
      <c r="K194" s="87"/>
      <c r="L194" s="87"/>
      <c r="M194" s="25"/>
      <c r="N194" s="45"/>
      <c r="O194" s="45"/>
      <c r="P194" s="45"/>
      <c r="Q194" s="20"/>
      <c r="S194" s="55"/>
      <c r="T194" s="87"/>
      <c r="U194" s="87"/>
      <c r="V194" s="25"/>
      <c r="W194" s="45"/>
      <c r="X194" s="45"/>
      <c r="Y194" s="45"/>
      <c r="Z194" s="20"/>
      <c r="AB194" s="55"/>
      <c r="AC194" s="87"/>
      <c r="AD194" s="87"/>
      <c r="AE194" s="25"/>
      <c r="AF194" s="45"/>
      <c r="AG194" s="45"/>
      <c r="AH194" s="45"/>
      <c r="AI194" s="20"/>
    </row>
    <row r="195" customFormat="false" ht="19.7" hidden="false" customHeight="false" outlineLevel="0" collapsed="false">
      <c r="A195" s="88" t="s">
        <v>28</v>
      </c>
      <c r="B195" s="89" t="s">
        <v>33</v>
      </c>
      <c r="C195" s="89"/>
      <c r="D195" s="89"/>
      <c r="E195" s="45"/>
      <c r="F195" s="45"/>
      <c r="G195" s="45"/>
      <c r="H195" s="20"/>
      <c r="J195" s="88" t="s">
        <v>28</v>
      </c>
      <c r="K195" s="89" t="s">
        <v>33</v>
      </c>
      <c r="L195" s="89"/>
      <c r="M195" s="89"/>
      <c r="N195" s="45"/>
      <c r="O195" s="45"/>
      <c r="P195" s="45"/>
      <c r="Q195" s="20"/>
      <c r="S195" s="88" t="s">
        <v>28</v>
      </c>
      <c r="T195" s="89" t="s">
        <v>33</v>
      </c>
      <c r="U195" s="89"/>
      <c r="V195" s="89"/>
      <c r="W195" s="45"/>
      <c r="X195" s="45"/>
      <c r="Y195" s="45"/>
      <c r="Z195" s="20"/>
      <c r="AB195" s="88" t="s">
        <v>28</v>
      </c>
      <c r="AC195" s="89" t="s">
        <v>33</v>
      </c>
      <c r="AD195" s="89"/>
      <c r="AE195" s="89"/>
      <c r="AF195" s="45"/>
      <c r="AG195" s="45"/>
      <c r="AH195" s="45"/>
      <c r="AI195" s="20"/>
    </row>
    <row r="196" customFormat="false" ht="19.5" hidden="false" customHeight="true" outlineLevel="0" collapsed="false">
      <c r="A196" s="88"/>
      <c r="B196" s="90" t="n">
        <f aca="false">K30</f>
        <v>35000</v>
      </c>
      <c r="C196" s="90"/>
      <c r="D196" s="90"/>
      <c r="E196" s="45"/>
      <c r="F196" s="45"/>
      <c r="G196" s="45"/>
      <c r="H196" s="20"/>
      <c r="J196" s="88"/>
      <c r="K196" s="90" t="n">
        <f aca="false">K30</f>
        <v>35000</v>
      </c>
      <c r="L196" s="90"/>
      <c r="M196" s="90"/>
      <c r="N196" s="45"/>
      <c r="O196" s="45"/>
      <c r="P196" s="45"/>
      <c r="Q196" s="20"/>
      <c r="S196" s="88"/>
      <c r="T196" s="90" t="n">
        <f aca="false">K30</f>
        <v>35000</v>
      </c>
      <c r="U196" s="90"/>
      <c r="V196" s="90"/>
      <c r="W196" s="45"/>
      <c r="X196" s="45"/>
      <c r="Y196" s="45"/>
      <c r="Z196" s="20"/>
      <c r="AB196" s="88"/>
      <c r="AC196" s="90" t="n">
        <f aca="false">K30</f>
        <v>35000</v>
      </c>
      <c r="AD196" s="90"/>
      <c r="AE196" s="90"/>
      <c r="AF196" s="45"/>
      <c r="AG196" s="45"/>
      <c r="AH196" s="45"/>
      <c r="AI196" s="20"/>
    </row>
    <row r="197" customFormat="false" ht="17.35" hidden="false" customHeight="false" outlineLevel="0" collapsed="false">
      <c r="A197" s="91" t="n">
        <f aca="false">K29</f>
        <v>35</v>
      </c>
      <c r="B197" s="92" t="n">
        <f aca="false">B96</f>
        <v>2210.2502422333</v>
      </c>
      <c r="C197" s="92"/>
      <c r="D197" s="92"/>
      <c r="E197" s="45"/>
      <c r="F197" s="45"/>
      <c r="G197" s="45"/>
      <c r="H197" s="20"/>
      <c r="J197" s="91" t="n">
        <f aca="false">K29</f>
        <v>35</v>
      </c>
      <c r="K197" s="92" t="n">
        <f aca="false">K96</f>
        <v>1610.7875870777</v>
      </c>
      <c r="L197" s="92"/>
      <c r="M197" s="92"/>
      <c r="N197" s="45"/>
      <c r="O197" s="45"/>
      <c r="P197" s="45"/>
      <c r="Q197" s="20"/>
      <c r="S197" s="91" t="n">
        <f aca="false">K29</f>
        <v>35</v>
      </c>
      <c r="T197" s="92" t="n">
        <f aca="false">T96</f>
        <v>1473.11095576156</v>
      </c>
      <c r="U197" s="92"/>
      <c r="V197" s="92"/>
      <c r="W197" s="45"/>
      <c r="X197" s="45"/>
      <c r="Y197" s="45"/>
      <c r="Z197" s="20"/>
      <c r="AB197" s="91" t="n">
        <f aca="false">K29</f>
        <v>35</v>
      </c>
      <c r="AC197" s="92" t="n">
        <f aca="false">AC96</f>
        <v>1489.6614263498</v>
      </c>
      <c r="AD197" s="92"/>
      <c r="AE197" s="92"/>
      <c r="AF197" s="45"/>
      <c r="AG197" s="45"/>
      <c r="AH197" s="45"/>
      <c r="AI197" s="20"/>
    </row>
    <row r="198" customFormat="false" ht="17.35" hidden="false" customHeight="false" outlineLevel="0" collapsed="false">
      <c r="A198" s="55"/>
      <c r="B198" s="25"/>
      <c r="C198" s="25"/>
      <c r="D198" s="25"/>
      <c r="E198" s="45"/>
      <c r="F198" s="45"/>
      <c r="G198" s="45"/>
      <c r="H198" s="20"/>
      <c r="J198" s="55"/>
      <c r="K198" s="25"/>
      <c r="L198" s="25"/>
      <c r="M198" s="25"/>
      <c r="N198" s="45"/>
      <c r="O198" s="45"/>
      <c r="P198" s="45"/>
      <c r="Q198" s="20"/>
      <c r="S198" s="55"/>
      <c r="T198" s="25"/>
      <c r="U198" s="25"/>
      <c r="V198" s="25"/>
      <c r="W198" s="45"/>
      <c r="X198" s="45"/>
      <c r="Y198" s="45"/>
      <c r="Z198" s="20"/>
      <c r="AB198" s="55"/>
      <c r="AC198" s="25"/>
      <c r="AD198" s="25"/>
      <c r="AE198" s="25"/>
      <c r="AF198" s="45"/>
      <c r="AG198" s="45"/>
      <c r="AH198" s="45"/>
      <c r="AI198" s="20"/>
    </row>
    <row r="199" customFormat="false" ht="17.35" hidden="false" customHeight="false" outlineLevel="0" collapsed="false">
      <c r="A199" s="55"/>
      <c r="B199" s="25"/>
      <c r="C199" s="25"/>
      <c r="D199" s="25"/>
      <c r="E199" s="45"/>
      <c r="F199" s="45"/>
      <c r="G199" s="45"/>
      <c r="H199" s="20"/>
      <c r="J199" s="55"/>
      <c r="K199" s="25"/>
      <c r="L199" s="25"/>
      <c r="M199" s="25"/>
      <c r="N199" s="45"/>
      <c r="O199" s="45"/>
      <c r="P199" s="45"/>
      <c r="Q199" s="20"/>
      <c r="S199" s="55"/>
      <c r="T199" s="25"/>
      <c r="U199" s="25"/>
      <c r="V199" s="25"/>
      <c r="W199" s="45"/>
      <c r="X199" s="45"/>
      <c r="Y199" s="45"/>
      <c r="Z199" s="20"/>
      <c r="AB199" s="55"/>
      <c r="AC199" s="25"/>
      <c r="AD199" s="25"/>
      <c r="AE199" s="25"/>
      <c r="AF199" s="45"/>
      <c r="AG199" s="45"/>
      <c r="AH199" s="45"/>
      <c r="AI199" s="20"/>
    </row>
    <row r="200" customFormat="false" ht="17.35" hidden="false" customHeight="false" outlineLevel="0" collapsed="false">
      <c r="A200" s="55"/>
      <c r="B200" s="25"/>
      <c r="C200" s="25"/>
      <c r="D200" s="25"/>
      <c r="E200" s="45"/>
      <c r="F200" s="45"/>
      <c r="G200" s="45"/>
      <c r="H200" s="20"/>
      <c r="J200" s="55"/>
      <c r="K200" s="25"/>
      <c r="L200" s="25"/>
      <c r="M200" s="25"/>
      <c r="N200" s="45"/>
      <c r="O200" s="45"/>
      <c r="P200" s="45"/>
      <c r="Q200" s="20"/>
      <c r="S200" s="55"/>
      <c r="T200" s="25"/>
      <c r="U200" s="25"/>
      <c r="V200" s="25"/>
      <c r="W200" s="45"/>
      <c r="X200" s="45"/>
      <c r="Y200" s="45"/>
      <c r="Z200" s="20"/>
      <c r="AB200" s="55"/>
      <c r="AC200" s="25"/>
      <c r="AD200" s="25"/>
      <c r="AE200" s="25"/>
      <c r="AF200" s="45"/>
      <c r="AG200" s="45"/>
      <c r="AH200" s="45"/>
      <c r="AI200" s="20"/>
    </row>
    <row r="201" customFormat="false" ht="17.35" hidden="false" customHeight="false" outlineLevel="0" collapsed="false">
      <c r="A201" s="55"/>
      <c r="B201" s="25"/>
      <c r="C201" s="25"/>
      <c r="D201" s="25"/>
      <c r="E201" s="45"/>
      <c r="F201" s="45"/>
      <c r="G201" s="45"/>
      <c r="H201" s="20"/>
      <c r="J201" s="55"/>
      <c r="K201" s="25"/>
      <c r="L201" s="25"/>
      <c r="M201" s="25"/>
      <c r="N201" s="45"/>
      <c r="O201" s="45"/>
      <c r="P201" s="45"/>
      <c r="Q201" s="20"/>
      <c r="S201" s="55"/>
      <c r="T201" s="25"/>
      <c r="U201" s="25"/>
      <c r="V201" s="25"/>
      <c r="W201" s="45"/>
      <c r="X201" s="45"/>
      <c r="Y201" s="45"/>
      <c r="Z201" s="20"/>
      <c r="AB201" s="55"/>
      <c r="AC201" s="25"/>
      <c r="AD201" s="25"/>
      <c r="AE201" s="25"/>
      <c r="AF201" s="45"/>
      <c r="AG201" s="45"/>
      <c r="AH201" s="45"/>
      <c r="AI201" s="20"/>
    </row>
    <row r="202" customFormat="false" ht="17.35" hidden="false" customHeight="false" outlineLevel="0" collapsed="false">
      <c r="A202" s="74"/>
      <c r="B202" s="75"/>
      <c r="C202" s="75"/>
      <c r="D202" s="75"/>
      <c r="E202" s="75"/>
      <c r="F202" s="75"/>
      <c r="G202" s="75"/>
      <c r="H202" s="82"/>
      <c r="J202" s="74"/>
      <c r="K202" s="75"/>
      <c r="L202" s="75"/>
      <c r="M202" s="75"/>
      <c r="N202" s="75"/>
      <c r="O202" s="75"/>
      <c r="P202" s="75"/>
      <c r="Q202" s="82"/>
      <c r="S202" s="74"/>
      <c r="T202" s="75"/>
      <c r="U202" s="75"/>
      <c r="V202" s="75"/>
      <c r="W202" s="75"/>
      <c r="X202" s="75"/>
      <c r="Y202" s="75"/>
      <c r="Z202" s="82"/>
      <c r="AB202" s="74"/>
      <c r="AC202" s="75"/>
      <c r="AD202" s="75"/>
      <c r="AE202" s="75"/>
      <c r="AF202" s="75"/>
      <c r="AG202" s="75"/>
      <c r="AH202" s="75"/>
      <c r="AI202" s="82"/>
    </row>
    <row r="206" customFormat="false" ht="22.05" hidden="false" customHeight="false" outlineLevel="0" collapsed="false">
      <c r="A206" s="179" t="s">
        <v>153</v>
      </c>
      <c r="B206" s="179"/>
      <c r="C206" s="179"/>
      <c r="D206" s="179"/>
      <c r="E206" s="179"/>
      <c r="F206" s="179"/>
      <c r="G206" s="179"/>
      <c r="H206" s="179"/>
    </row>
    <row r="207" customFormat="false" ht="17.35" hidden="false" customHeight="false" outlineLevel="0" collapsed="false">
      <c r="A207" s="55"/>
      <c r="B207" s="25"/>
      <c r="C207" s="25"/>
      <c r="D207" s="25"/>
      <c r="E207" s="94"/>
      <c r="F207" s="94"/>
      <c r="G207" s="94"/>
      <c r="H207" s="20"/>
    </row>
    <row r="208" customFormat="false" ht="17.35" hidden="false" customHeight="false" outlineLevel="0" collapsed="false">
      <c r="A208" s="180" t="s">
        <v>98</v>
      </c>
      <c r="B208" s="181" t="s">
        <v>174</v>
      </c>
      <c r="C208" s="181"/>
      <c r="D208" s="181"/>
      <c r="E208" s="181" t="s">
        <v>175</v>
      </c>
      <c r="F208" s="182"/>
      <c r="G208" s="94"/>
      <c r="H208" s="20"/>
    </row>
    <row r="209" customFormat="false" ht="17.35" hidden="false" customHeight="false" outlineLevel="0" collapsed="false">
      <c r="A209" s="169" t="s">
        <v>207</v>
      </c>
      <c r="B209" s="170" t="n">
        <f aca="false">A197</f>
        <v>35</v>
      </c>
      <c r="C209" s="170"/>
      <c r="D209" s="170"/>
      <c r="E209" s="170" t="n">
        <f aca="false">B196</f>
        <v>35000</v>
      </c>
      <c r="F209" s="182"/>
      <c r="G209" s="94"/>
      <c r="H209" s="20"/>
    </row>
    <row r="210" customFormat="false" ht="17.35" hidden="false" customHeight="false" outlineLevel="0" collapsed="false">
      <c r="A210" s="55"/>
      <c r="B210" s="25"/>
      <c r="C210" s="25"/>
      <c r="D210" s="25"/>
      <c r="E210" s="94"/>
      <c r="F210" s="94"/>
      <c r="G210" s="94"/>
      <c r="H210" s="20"/>
    </row>
    <row r="211" customFormat="false" ht="17.35" hidden="false" customHeight="false" outlineLevel="0" collapsed="false">
      <c r="A211" s="180" t="s">
        <v>154</v>
      </c>
      <c r="B211" s="181" t="s">
        <v>155</v>
      </c>
      <c r="C211" s="181"/>
      <c r="D211" s="181"/>
      <c r="E211" s="181" t="s">
        <v>156</v>
      </c>
      <c r="F211" s="94"/>
      <c r="G211" s="94"/>
      <c r="H211" s="20"/>
    </row>
    <row r="212" customFormat="false" ht="17.35" hidden="false" customHeight="false" outlineLevel="0" collapsed="false">
      <c r="A212" s="173" t="n">
        <f aca="false">A167</f>
        <v>2120.60185988035</v>
      </c>
      <c r="B212" s="172" t="n">
        <f aca="false">B167</f>
        <v>89.6483823529412</v>
      </c>
      <c r="C212" s="170"/>
      <c r="D212" s="170"/>
      <c r="E212" s="172" t="n">
        <f aca="false">E167</f>
        <v>2210.2502422333</v>
      </c>
      <c r="F212" s="94"/>
      <c r="G212" s="94"/>
      <c r="H212" s="20"/>
    </row>
    <row r="213" customFormat="false" ht="17.35" hidden="false" customHeight="false" outlineLevel="0" collapsed="false">
      <c r="A213" s="55"/>
      <c r="B213" s="25"/>
      <c r="C213" s="25"/>
      <c r="D213" s="25"/>
      <c r="E213" s="94"/>
      <c r="F213" s="94"/>
      <c r="G213" s="94"/>
      <c r="H213" s="20"/>
    </row>
    <row r="214" customFormat="false" ht="17.35" hidden="false" customHeight="false" outlineLevel="0" collapsed="false">
      <c r="A214" s="55" t="s">
        <v>158</v>
      </c>
      <c r="B214" s="25" t="s">
        <v>159</v>
      </c>
      <c r="C214" s="25"/>
      <c r="D214" s="94"/>
      <c r="E214" s="25" t="s">
        <v>160</v>
      </c>
      <c r="F214" s="94"/>
      <c r="G214" s="94"/>
      <c r="H214" s="20"/>
    </row>
    <row r="215" customFormat="false" ht="17.35" hidden="false" customHeight="false" outlineLevel="0" collapsed="false">
      <c r="A215" s="69" t="n">
        <f aca="false">A173</f>
        <v>57991.67</v>
      </c>
      <c r="B215" s="37" t="n">
        <f aca="false">B173</f>
        <v>11598.334</v>
      </c>
      <c r="C215" s="67"/>
      <c r="D215" s="94"/>
      <c r="E215" s="73" t="n">
        <f aca="false">E173</f>
        <v>640</v>
      </c>
      <c r="F215" s="94"/>
      <c r="G215" s="94"/>
      <c r="H215" s="20"/>
    </row>
    <row r="216" customFormat="false" ht="17.35" hidden="false" customHeight="false" outlineLevel="0" collapsed="false">
      <c r="A216" s="55"/>
      <c r="B216" s="25"/>
      <c r="C216" s="25"/>
      <c r="D216" s="94"/>
      <c r="E216" s="25"/>
      <c r="F216" s="94"/>
      <c r="G216" s="94"/>
      <c r="H216" s="20"/>
    </row>
    <row r="217" customFormat="false" ht="17.35" hidden="false" customHeight="false" outlineLevel="0" collapsed="false">
      <c r="A217" s="55" t="s">
        <v>161</v>
      </c>
      <c r="B217" s="25" t="s">
        <v>108</v>
      </c>
      <c r="C217" s="25"/>
      <c r="D217" s="94"/>
      <c r="E217" s="25" t="s">
        <v>109</v>
      </c>
      <c r="F217" s="94"/>
      <c r="G217" s="94"/>
      <c r="H217" s="20"/>
    </row>
    <row r="218" customFormat="false" ht="17.35" hidden="false" customHeight="false" outlineLevel="0" collapsed="false">
      <c r="A218" s="69" t="n">
        <f aca="false">A176</f>
        <v>70230.004</v>
      </c>
      <c r="B218" s="37" t="n">
        <f aca="false">B176</f>
        <v>1000</v>
      </c>
      <c r="C218" s="37"/>
      <c r="D218" s="94"/>
      <c r="E218" s="37" t="n">
        <f aca="false">E176</f>
        <v>1000</v>
      </c>
      <c r="F218" s="94"/>
      <c r="G218" s="94"/>
      <c r="H218" s="177"/>
    </row>
    <row r="219" customFormat="false" ht="17.35" hidden="false" customHeight="false" outlineLevel="0" collapsed="false">
      <c r="A219" s="55"/>
      <c r="B219" s="25"/>
      <c r="C219" s="25"/>
      <c r="D219" s="94"/>
      <c r="E219" s="25"/>
      <c r="F219" s="94"/>
      <c r="G219" s="94"/>
      <c r="H219" s="20"/>
    </row>
    <row r="220" customFormat="false" ht="17.35" hidden="false" customHeight="false" outlineLevel="0" collapsed="false">
      <c r="A220" s="55" t="s">
        <v>110</v>
      </c>
      <c r="B220" s="25" t="s">
        <v>146</v>
      </c>
      <c r="C220" s="25"/>
      <c r="D220" s="94"/>
      <c r="E220" s="25" t="s">
        <v>151</v>
      </c>
      <c r="F220" s="94"/>
      <c r="G220" s="94"/>
      <c r="H220" s="20"/>
    </row>
    <row r="221" customFormat="false" ht="17.35" hidden="false" customHeight="false" outlineLevel="0" collapsed="false">
      <c r="A221" s="70" t="n">
        <f aca="false">A179</f>
        <v>2000</v>
      </c>
      <c r="B221" s="37" t="n">
        <f aca="false">B179</f>
        <v>500</v>
      </c>
      <c r="C221" s="37"/>
      <c r="D221" s="94"/>
      <c r="E221" s="37" t="n">
        <f aca="false">E179</f>
        <v>67730.004</v>
      </c>
      <c r="F221" s="94"/>
      <c r="G221" s="94"/>
      <c r="H221" s="177"/>
    </row>
    <row r="222" customFormat="false" ht="17.35" hidden="false" customHeight="false" outlineLevel="0" collapsed="false">
      <c r="A222" s="55"/>
      <c r="B222" s="25"/>
      <c r="C222" s="25"/>
      <c r="D222" s="94"/>
      <c r="E222" s="25"/>
      <c r="F222" s="94"/>
      <c r="G222" s="94"/>
      <c r="H222" s="20"/>
    </row>
    <row r="223" customFormat="false" ht="17.35" hidden="false" customHeight="false" outlineLevel="0" collapsed="false">
      <c r="A223" s="55" t="s">
        <v>162</v>
      </c>
      <c r="B223" s="25" t="s">
        <v>152</v>
      </c>
      <c r="C223" s="25"/>
      <c r="D223" s="94"/>
      <c r="E223" s="25" t="s">
        <v>163</v>
      </c>
      <c r="F223" s="94"/>
      <c r="G223" s="94"/>
      <c r="H223" s="20"/>
    </row>
    <row r="224" customFormat="false" ht="17.35" hidden="false" customHeight="false" outlineLevel="0" collapsed="false">
      <c r="A224" s="70" t="n">
        <f aca="false">A182</f>
        <v>13370.4592359321</v>
      </c>
      <c r="B224" s="37" t="str">
        <f aca="false">B182</f>
        <v>199.99</v>
      </c>
      <c r="C224" s="37"/>
      <c r="D224" s="94"/>
      <c r="E224" s="37" t="n">
        <f aca="false">E182</f>
        <v>81310.4532359321</v>
      </c>
      <c r="F224" s="94"/>
      <c r="G224" s="94"/>
      <c r="H224" s="177"/>
    </row>
    <row r="225" customFormat="false" ht="17.35" hidden="false" customHeight="false" outlineLevel="0" collapsed="false">
      <c r="A225" s="55"/>
      <c r="B225" s="25"/>
      <c r="C225" s="25"/>
      <c r="D225" s="94"/>
      <c r="E225" s="25"/>
      <c r="F225" s="94"/>
      <c r="G225" s="94"/>
      <c r="H225" s="20"/>
    </row>
    <row r="226" customFormat="false" ht="17.35" hidden="false" customHeight="false" outlineLevel="0" collapsed="false">
      <c r="A226" s="55" t="s">
        <v>164</v>
      </c>
      <c r="B226" s="25" t="s">
        <v>165</v>
      </c>
      <c r="C226" s="25"/>
      <c r="D226" s="94"/>
      <c r="E226" s="25" t="s">
        <v>177</v>
      </c>
      <c r="F226" s="94"/>
      <c r="G226" s="94"/>
      <c r="H226" s="20"/>
    </row>
    <row r="227" customFormat="false" ht="17.35" hidden="false" customHeight="false" outlineLevel="0" collapsed="false">
      <c r="A227" s="70" t="n">
        <f aca="false">A185</f>
        <v>10</v>
      </c>
      <c r="B227" s="37" t="n">
        <f aca="false">B185</f>
        <v>2239.988</v>
      </c>
      <c r="C227" s="37"/>
      <c r="D227" s="94"/>
      <c r="E227" s="37" t="n">
        <f aca="false">B59</f>
        <v>34</v>
      </c>
      <c r="F227" s="94"/>
      <c r="G227" s="94"/>
      <c r="H227" s="177"/>
    </row>
    <row r="228" customFormat="false" ht="17.35" hidden="false" customHeight="false" outlineLevel="0" collapsed="false">
      <c r="A228" s="55"/>
      <c r="B228" s="25"/>
      <c r="C228" s="25"/>
      <c r="D228" s="25"/>
      <c r="E228" s="94"/>
      <c r="F228" s="94"/>
      <c r="G228" s="94"/>
      <c r="H228" s="20"/>
    </row>
    <row r="229" customFormat="false" ht="17.35" hidden="false" customHeight="false" outlineLevel="0" collapsed="false">
      <c r="A229" s="55" t="s">
        <v>154</v>
      </c>
      <c r="B229" s="25" t="s">
        <v>155</v>
      </c>
      <c r="C229" s="25"/>
      <c r="D229" s="25"/>
      <c r="E229" s="25" t="s">
        <v>156</v>
      </c>
      <c r="F229" s="94"/>
      <c r="G229" s="94"/>
      <c r="H229" s="20"/>
    </row>
    <row r="230" customFormat="false" ht="17.35" hidden="false" customHeight="false" outlineLevel="0" collapsed="false">
      <c r="A230" s="70" t="n">
        <f aca="false">A167</f>
        <v>2120.60185988035</v>
      </c>
      <c r="B230" s="37" t="n">
        <f aca="false">B167</f>
        <v>89.6483823529412</v>
      </c>
      <c r="C230" s="67"/>
      <c r="D230" s="67"/>
      <c r="E230" s="37" t="n">
        <f aca="false">E167</f>
        <v>2210.2502422333</v>
      </c>
      <c r="F230" s="94"/>
      <c r="G230" s="94"/>
      <c r="H230" s="20"/>
    </row>
    <row r="231" customFormat="false" ht="17.35" hidden="false" customHeight="false" outlineLevel="0" collapsed="false">
      <c r="A231" s="55"/>
      <c r="B231" s="25"/>
      <c r="C231" s="25"/>
      <c r="D231" s="25"/>
      <c r="E231" s="94"/>
      <c r="F231" s="94"/>
      <c r="G231" s="94"/>
      <c r="H231" s="20"/>
    </row>
    <row r="232" customFormat="false" ht="17.35" hidden="false" customHeight="false" outlineLevel="0" collapsed="false">
      <c r="A232" s="55" t="s">
        <v>157</v>
      </c>
      <c r="B232" s="25" t="s">
        <v>179</v>
      </c>
      <c r="C232" s="25"/>
      <c r="D232" s="25"/>
      <c r="E232" s="25" t="s">
        <v>181</v>
      </c>
      <c r="F232" s="94"/>
      <c r="G232" s="94"/>
      <c r="H232" s="20"/>
    </row>
    <row r="233" customFormat="false" ht="17.35" hidden="false" customHeight="false" outlineLevel="0" collapsed="false">
      <c r="A233" s="70" t="n">
        <f aca="false">E170</f>
        <v>9000</v>
      </c>
      <c r="B233" s="37" t="n">
        <f aca="false">E185</f>
        <v>9010</v>
      </c>
      <c r="C233" s="25"/>
      <c r="D233" s="25"/>
      <c r="E233" s="37" t="n">
        <f aca="false">A188</f>
        <v>11.577</v>
      </c>
      <c r="F233" s="94"/>
      <c r="G233" s="94"/>
      <c r="H233" s="20"/>
    </row>
    <row r="234" customFormat="false" ht="17.35" hidden="false" customHeight="false" outlineLevel="0" collapsed="false">
      <c r="A234" s="70"/>
      <c r="B234" s="37"/>
      <c r="C234" s="25"/>
      <c r="D234" s="25"/>
      <c r="E234" s="37"/>
      <c r="F234" s="94"/>
      <c r="G234" s="94"/>
      <c r="H234" s="20"/>
    </row>
    <row r="235" customFormat="false" ht="17.35" hidden="false" customHeight="false" outlineLevel="0" collapsed="false">
      <c r="A235" s="78" t="s">
        <v>102</v>
      </c>
      <c r="B235" s="37"/>
      <c r="C235" s="25"/>
      <c r="D235" s="25"/>
      <c r="E235" s="37"/>
      <c r="F235" s="94"/>
      <c r="G235" s="94"/>
      <c r="H235" s="20"/>
    </row>
    <row r="236" customFormat="false" ht="17.35" hidden="false" customHeight="false" outlineLevel="0" collapsed="false">
      <c r="A236" s="70"/>
      <c r="B236" s="37"/>
      <c r="C236" s="25"/>
      <c r="D236" s="25"/>
      <c r="E236" s="37"/>
      <c r="F236" s="94"/>
      <c r="G236" s="94"/>
      <c r="H236" s="20"/>
    </row>
    <row r="237" customFormat="false" ht="17.35" hidden="false" customHeight="false" outlineLevel="0" collapsed="false">
      <c r="A237" s="70"/>
      <c r="B237" s="37"/>
      <c r="C237" s="25"/>
      <c r="D237" s="25"/>
      <c r="E237" s="37"/>
      <c r="F237" s="94"/>
      <c r="G237" s="94"/>
      <c r="H237" s="20"/>
    </row>
    <row r="238" customFormat="false" ht="22.05" hidden="false" customHeight="false" outlineLevel="0" collapsed="false">
      <c r="A238" s="184" t="s">
        <v>183</v>
      </c>
      <c r="B238" s="184"/>
      <c r="C238" s="184"/>
      <c r="D238" s="184"/>
      <c r="E238" s="184"/>
      <c r="F238" s="184"/>
      <c r="G238" s="184"/>
      <c r="H238" s="184"/>
    </row>
    <row r="239" customFormat="false" ht="17.35" hidden="false" customHeight="false" outlineLevel="0" collapsed="false">
      <c r="A239" s="55" t="s">
        <v>184</v>
      </c>
      <c r="B239" s="25" t="s">
        <v>168</v>
      </c>
      <c r="C239" s="25"/>
      <c r="D239" s="25"/>
      <c r="E239" s="38" t="s">
        <v>169</v>
      </c>
      <c r="F239" s="94"/>
      <c r="G239" s="94"/>
      <c r="H239" s="20"/>
    </row>
    <row r="240" customFormat="false" ht="17.35" hidden="false" customHeight="false" outlineLevel="0" collapsed="false">
      <c r="A240" s="70" t="n">
        <f aca="false">H148</f>
        <v>9754.17</v>
      </c>
      <c r="B240" s="37" t="n">
        <f aca="false">B68</f>
        <v>552.65801875</v>
      </c>
      <c r="C240" s="25"/>
      <c r="D240" s="25"/>
      <c r="E240" s="37" t="n">
        <f aca="false">E188</f>
        <v>70.3395</v>
      </c>
      <c r="F240" s="94"/>
      <c r="G240" s="94"/>
      <c r="H240" s="20"/>
    </row>
    <row r="241" customFormat="false" ht="17.35" hidden="false" customHeight="false" outlineLevel="0" collapsed="false">
      <c r="A241" s="70"/>
      <c r="B241" s="37"/>
      <c r="C241" s="25"/>
      <c r="D241" s="25"/>
      <c r="E241" s="94"/>
      <c r="F241" s="94"/>
      <c r="G241" s="94"/>
      <c r="H241" s="20"/>
    </row>
    <row r="242" customFormat="false" ht="17.35" hidden="false" customHeight="false" outlineLevel="0" collapsed="false">
      <c r="A242" s="78" t="s">
        <v>170</v>
      </c>
      <c r="B242" s="38" t="s">
        <v>171</v>
      </c>
      <c r="C242" s="25"/>
      <c r="D242" s="25"/>
      <c r="E242" s="38"/>
      <c r="F242" s="94"/>
      <c r="G242" s="94"/>
      <c r="H242" s="20"/>
    </row>
    <row r="243" customFormat="false" ht="17.35" hidden="false" customHeight="false" outlineLevel="0" collapsed="false">
      <c r="A243" s="70" t="n">
        <f aca="false">A191</f>
        <v>99.99</v>
      </c>
      <c r="B243" s="37" t="n">
        <f aca="false">B240+E240+A243+A240</f>
        <v>10477.15751875</v>
      </c>
      <c r="C243" s="25"/>
      <c r="D243" s="25"/>
      <c r="E243" s="37"/>
      <c r="F243" s="94"/>
      <c r="G243" s="94"/>
      <c r="H243" s="20"/>
    </row>
    <row r="244" customFormat="false" ht="17.35" hidden="false" customHeight="false" outlineLevel="0" collapsed="false">
      <c r="A244" s="55"/>
      <c r="B244" s="25"/>
      <c r="C244" s="25"/>
      <c r="D244" s="25"/>
      <c r="E244" s="94"/>
      <c r="F244" s="94"/>
      <c r="G244" s="94"/>
      <c r="H244" s="20"/>
    </row>
    <row r="245" customFormat="false" ht="17.35" hidden="false" customHeight="false" outlineLevel="0" collapsed="false">
      <c r="A245" s="74"/>
      <c r="B245" s="75"/>
      <c r="C245" s="75"/>
      <c r="D245" s="75"/>
      <c r="E245" s="75"/>
      <c r="F245" s="75"/>
      <c r="G245" s="75"/>
      <c r="H245" s="82"/>
    </row>
    <row r="251" customFormat="false" ht="22.05" hidden="false" customHeight="false" outlineLevel="0" collapsed="false">
      <c r="A251" s="179" t="s">
        <v>185</v>
      </c>
      <c r="B251" s="179"/>
      <c r="C251" s="179"/>
      <c r="D251" s="179"/>
      <c r="E251" s="179"/>
      <c r="F251" s="179"/>
      <c r="G251" s="179"/>
      <c r="H251" s="179"/>
    </row>
    <row r="252" customFormat="false" ht="17.35" hidden="false" customHeight="false" outlineLevel="0" collapsed="false">
      <c r="A252" s="55"/>
      <c r="B252" s="178"/>
      <c r="C252" s="178"/>
      <c r="D252" s="178"/>
      <c r="E252" s="45"/>
      <c r="F252" s="45"/>
      <c r="G252" s="45"/>
      <c r="H252" s="20"/>
    </row>
    <row r="253" customFormat="false" ht="17.35" hidden="false" customHeight="false" outlineLevel="0" collapsed="false">
      <c r="A253" s="180" t="s">
        <v>186</v>
      </c>
      <c r="B253" s="185" t="n">
        <f aca="false">K35</f>
        <v>0.065</v>
      </c>
      <c r="C253" s="186"/>
      <c r="D253" s="187" t="s">
        <v>187</v>
      </c>
      <c r="E253" s="187"/>
      <c r="F253" s="185" t="n">
        <f aca="false">B83</f>
        <v>0.115</v>
      </c>
      <c r="G253" s="45"/>
      <c r="H253" s="20"/>
    </row>
    <row r="254" customFormat="false" ht="17.35" hidden="false" customHeight="false" outlineLevel="0" collapsed="false">
      <c r="A254" s="180" t="s">
        <v>188</v>
      </c>
      <c r="B254" s="188"/>
      <c r="C254" s="186"/>
      <c r="D254" s="187" t="s">
        <v>189</v>
      </c>
      <c r="E254" s="187"/>
      <c r="F254" s="188" t="n">
        <f aca="false">F261+F267+F269+B270+B271</f>
        <v>663.1896225</v>
      </c>
      <c r="G254" s="45"/>
      <c r="H254" s="20"/>
    </row>
    <row r="255" customFormat="false" ht="17.35" hidden="false" customHeight="false" outlineLevel="0" collapsed="false">
      <c r="A255" s="180" t="s">
        <v>190</v>
      </c>
      <c r="B255" s="188" t="n">
        <f aca="false">F262+B263</f>
        <v>803.385</v>
      </c>
      <c r="C255" s="186"/>
      <c r="D255" s="187" t="s">
        <v>191</v>
      </c>
      <c r="E255" s="187"/>
      <c r="F255" s="188" t="n">
        <f aca="false">(B254-F254)+B255</f>
        <v>140.1953775</v>
      </c>
      <c r="G255" s="45"/>
      <c r="H255" s="20"/>
    </row>
    <row r="256" customFormat="false" ht="17.35" hidden="false" customHeight="false" outlineLevel="0" collapsed="false">
      <c r="A256" s="189"/>
      <c r="B256" s="187"/>
      <c r="C256" s="190"/>
      <c r="D256" s="190"/>
      <c r="E256" s="190"/>
      <c r="F256" s="190"/>
      <c r="G256" s="191"/>
      <c r="H256" s="192"/>
    </row>
    <row r="257" customFormat="false" ht="17.35" hidden="false" customHeight="false" outlineLevel="0" collapsed="false">
      <c r="A257" s="55" t="s">
        <v>186</v>
      </c>
      <c r="B257" s="193" t="n">
        <f aca="false">B253</f>
        <v>0.065</v>
      </c>
      <c r="C257" s="186"/>
      <c r="D257" s="186"/>
      <c r="E257" s="186"/>
      <c r="F257" s="186"/>
      <c r="G257" s="45"/>
      <c r="H257" s="20"/>
    </row>
    <row r="258" customFormat="false" ht="17.35" hidden="false" customHeight="false" outlineLevel="0" collapsed="false">
      <c r="A258" s="194"/>
      <c r="B258" s="195"/>
      <c r="C258" s="196"/>
      <c r="D258" s="196"/>
      <c r="E258" s="191"/>
      <c r="F258" s="191"/>
      <c r="G258" s="191"/>
      <c r="H258" s="192"/>
    </row>
    <row r="259" customFormat="false" ht="17.35" hidden="false" customHeight="false" outlineLevel="0" collapsed="false">
      <c r="A259" s="55" t="s">
        <v>192</v>
      </c>
      <c r="B259" s="193" t="n">
        <f aca="false">B64</f>
        <v>0.05</v>
      </c>
      <c r="C259" s="178"/>
      <c r="D259" s="38" t="s">
        <v>193</v>
      </c>
      <c r="E259" s="38"/>
      <c r="F259" s="193" t="n">
        <v>0</v>
      </c>
      <c r="G259" s="45"/>
      <c r="H259" s="20"/>
    </row>
    <row r="260" customFormat="false" ht="17.35" hidden="false" customHeight="false" outlineLevel="0" collapsed="false">
      <c r="A260" s="123" t="s">
        <v>187</v>
      </c>
      <c r="B260" s="197" t="n">
        <f aca="false">B83</f>
        <v>0.115</v>
      </c>
      <c r="C260" s="198"/>
      <c r="D260" s="38" t="s">
        <v>188</v>
      </c>
      <c r="E260" s="38"/>
      <c r="F260" s="199" t="n">
        <f aca="false">(B89*B59)-(C89*B59)</f>
        <v>72100.4632359321</v>
      </c>
      <c r="G260" s="45"/>
      <c r="H260" s="20"/>
    </row>
    <row r="261" customFormat="false" ht="17.35" hidden="false" customHeight="false" outlineLevel="0" collapsed="false">
      <c r="A261" s="55" t="s">
        <v>194</v>
      </c>
      <c r="B261" s="197" t="n">
        <f aca="false">B67</f>
        <v>0.00979166666666667</v>
      </c>
      <c r="C261" s="178"/>
      <c r="D261" s="38" t="s">
        <v>194</v>
      </c>
      <c r="E261" s="38"/>
      <c r="F261" s="152" t="n">
        <f aca="false">B68*1.2</f>
        <v>663.1896225</v>
      </c>
      <c r="G261" s="45"/>
      <c r="H261" s="20"/>
    </row>
    <row r="262" customFormat="false" ht="17.35" hidden="false" customHeight="false" outlineLevel="0" collapsed="false">
      <c r="A262" s="55" t="s">
        <v>195</v>
      </c>
      <c r="B262" s="193" t="n">
        <f aca="false">A108</f>
        <v>0.3</v>
      </c>
      <c r="C262" s="178"/>
      <c r="D262" s="38" t="s">
        <v>195</v>
      </c>
      <c r="E262" s="38"/>
      <c r="F262" s="199" t="n">
        <f aca="false">E240*10</f>
        <v>703.395</v>
      </c>
      <c r="G262" s="45"/>
      <c r="H262" s="20"/>
    </row>
    <row r="263" customFormat="false" ht="17.35" hidden="false" customHeight="false" outlineLevel="0" collapsed="false">
      <c r="A263" s="55" t="s">
        <v>196</v>
      </c>
      <c r="B263" s="199" t="n">
        <f aca="false">A243</f>
        <v>99.99</v>
      </c>
      <c r="C263" s="178"/>
      <c r="D263" s="200" t="s">
        <v>191</v>
      </c>
      <c r="E263" s="200"/>
      <c r="F263" s="199" t="n">
        <f aca="false">(B254-F254)+B255</f>
        <v>140.1953775</v>
      </c>
      <c r="G263" s="45"/>
      <c r="H263" s="20"/>
    </row>
    <row r="264" customFormat="false" ht="17.35" hidden="false" customHeight="false" outlineLevel="0" collapsed="false">
      <c r="A264" s="70"/>
      <c r="B264" s="201"/>
      <c r="C264" s="178"/>
      <c r="D264" s="178"/>
      <c r="E264" s="201"/>
      <c r="F264" s="45"/>
      <c r="G264" s="45"/>
      <c r="H264" s="20"/>
    </row>
    <row r="265" customFormat="false" ht="22.05" hidden="false" customHeight="false" outlineLevel="0" collapsed="false">
      <c r="A265" s="184" t="s">
        <v>197</v>
      </c>
      <c r="B265" s="184"/>
      <c r="C265" s="184"/>
      <c r="D265" s="184"/>
      <c r="E265" s="184"/>
      <c r="F265" s="184"/>
      <c r="G265" s="184"/>
      <c r="H265" s="184"/>
    </row>
    <row r="266" customFormat="false" ht="17.35" hidden="false" customHeight="false" outlineLevel="0" collapsed="false">
      <c r="A266" s="55" t="s">
        <v>198</v>
      </c>
      <c r="B266" s="152" t="n">
        <v>0</v>
      </c>
      <c r="C266" s="178"/>
      <c r="D266" s="202" t="s">
        <v>199</v>
      </c>
      <c r="E266" s="202"/>
      <c r="F266" s="152" t="n">
        <v>0</v>
      </c>
      <c r="G266" s="45"/>
      <c r="H266" s="20"/>
    </row>
    <row r="267" customFormat="false" ht="17.35" hidden="false" customHeight="false" outlineLevel="0" collapsed="false">
      <c r="A267" s="70"/>
      <c r="B267" s="199"/>
      <c r="C267" s="178"/>
      <c r="D267" s="38" t="s">
        <v>200</v>
      </c>
      <c r="E267" s="38"/>
      <c r="F267" s="199" t="n">
        <f aca="false">B266+F266*B209</f>
        <v>0</v>
      </c>
      <c r="G267" s="45"/>
      <c r="H267" s="20"/>
    </row>
    <row r="268" customFormat="false" ht="17.35" hidden="false" customHeight="false" outlineLevel="0" collapsed="false">
      <c r="A268" s="78" t="s">
        <v>201</v>
      </c>
      <c r="B268" s="203" t="s">
        <v>4</v>
      </c>
      <c r="C268" s="178"/>
      <c r="D268" s="38" t="s">
        <v>202</v>
      </c>
      <c r="E268" s="38"/>
      <c r="F268" s="203" t="n">
        <f aca="false">B70</f>
        <v>0</v>
      </c>
      <c r="G268" s="45"/>
      <c r="H268" s="20"/>
    </row>
    <row r="269" customFormat="false" ht="17.35" hidden="false" customHeight="false" outlineLevel="0" collapsed="false">
      <c r="A269" s="78"/>
      <c r="B269" s="204"/>
      <c r="C269" s="178"/>
      <c r="D269" s="38" t="s">
        <v>203</v>
      </c>
      <c r="E269" s="38"/>
      <c r="F269" s="199" t="n">
        <f aca="false">B91</f>
        <v>0</v>
      </c>
      <c r="G269" s="45"/>
      <c r="H269" s="20"/>
    </row>
    <row r="270" customFormat="false" ht="17.35" hidden="false" customHeight="false" outlineLevel="0" collapsed="false">
      <c r="A270" s="78" t="s">
        <v>204</v>
      </c>
      <c r="B270" s="152" t="n">
        <v>0</v>
      </c>
      <c r="C270" s="178"/>
      <c r="D270" s="178"/>
      <c r="E270" s="201"/>
      <c r="F270" s="45"/>
      <c r="G270" s="45"/>
      <c r="H270" s="20"/>
    </row>
    <row r="271" customFormat="false" ht="17.35" hidden="false" customHeight="false" outlineLevel="0" collapsed="false">
      <c r="A271" s="55" t="s">
        <v>205</v>
      </c>
      <c r="B271" s="152" t="n">
        <v>0</v>
      </c>
      <c r="C271" s="178"/>
      <c r="D271" s="178"/>
      <c r="E271" s="45"/>
      <c r="F271" s="45"/>
      <c r="G271" s="45"/>
      <c r="H271" s="20"/>
      <c r="J271" s="1" t="n">
        <v>4</v>
      </c>
    </row>
    <row r="272" customFormat="false" ht="17.35" hidden="false" customHeight="false" outlineLevel="0" collapsed="false">
      <c r="A272" s="74"/>
      <c r="B272" s="75"/>
      <c r="C272" s="75"/>
      <c r="D272" s="75"/>
      <c r="E272" s="75"/>
      <c r="F272" s="75"/>
      <c r="G272" s="75"/>
      <c r="H272" s="82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operator="between" showDropDown="false" showErrorMessage="true" showInputMessage="true" sqref="B105 K105 T105 AC105" type="list">
      <formula1>#ref!</formula1>
      <formula2>0</formula2>
    </dataValidation>
    <dataValidation allowBlank="true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operator="between" showDropDown="false" showErrorMessage="true" showInputMessage="true" sqref="B108:D108 K108:M108 T108:V108 AC108:AE108" type="list">
      <formula1>#ref!</formula1>
      <formula2>0</formula2>
    </dataValidation>
    <dataValidation allowBlank="true" operator="between" showDropDown="false" showErrorMessage="true" showInputMessage="true" sqref="N105 W105 AF105 J111 S111 AB111" type="list">
      <formula1>#ref!</formula1>
      <formula2>0</formula2>
    </dataValidation>
    <dataValidation allowBlank="true" operator="between" showDropDown="false" showErrorMessage="true" showInputMessage="true" sqref="B26 E105 A111" type="list">
      <formula1>HirePurchaseNonRegulated!$K$9:$K$10</formula1>
      <formula2>0</formula2>
    </dataValidation>
    <dataValidation allowBlank="true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69" colorId="64" zoomScale="75" zoomScaleNormal="75" zoomScalePageLayoutView="100" workbookViewId="0">
      <selection pane="topLeft" activeCell="B95" activeCellId="0" sqref="B95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4" t="s">
        <v>324</v>
      </c>
      <c r="B1" s="4"/>
      <c r="C1" s="4"/>
      <c r="D1" s="4"/>
      <c r="E1" s="4"/>
      <c r="F1" s="4"/>
      <c r="G1" s="4"/>
      <c r="H1" s="4"/>
      <c r="I1" s="2"/>
      <c r="J1" s="2"/>
    </row>
    <row r="2" customFormat="false" ht="19.7" hidden="false" customHeight="false" outlineLevel="0" collapsed="false">
      <c r="A2" s="99"/>
      <c r="B2" s="8" t="s">
        <v>115</v>
      </c>
      <c r="C2" s="8"/>
      <c r="D2" s="8" t="s">
        <v>116</v>
      </c>
      <c r="E2" s="8"/>
      <c r="F2" s="8" t="s">
        <v>117</v>
      </c>
      <c r="G2" s="8"/>
      <c r="H2" s="9" t="s">
        <v>118</v>
      </c>
      <c r="I2" s="2"/>
      <c r="J2" s="2"/>
    </row>
    <row r="3" customFormat="false" ht="17.35" hidden="false" customHeight="false" outlineLevel="0" collapsed="false">
      <c r="A3" s="55" t="s">
        <v>121</v>
      </c>
      <c r="B3" s="13" t="n">
        <v>46854.17</v>
      </c>
      <c r="C3" s="13" t="n">
        <v>0</v>
      </c>
      <c r="D3" s="13" t="n">
        <v>0</v>
      </c>
      <c r="E3" s="13"/>
      <c r="F3" s="13" t="n">
        <v>833.33</v>
      </c>
      <c r="G3" s="13"/>
      <c r="H3" s="14" t="n">
        <v>0</v>
      </c>
      <c r="I3" s="2"/>
      <c r="J3" s="2"/>
    </row>
    <row r="4" customFormat="false" ht="17.35" hidden="false" customHeight="false" outlineLevel="0" collapsed="false">
      <c r="A4" s="55" t="s">
        <v>122</v>
      </c>
      <c r="B4" s="17" t="n">
        <v>0</v>
      </c>
      <c r="C4" s="17" t="n">
        <v>0</v>
      </c>
      <c r="D4" s="17" t="n">
        <v>0</v>
      </c>
      <c r="E4" s="17"/>
      <c r="F4" s="17" t="n">
        <v>0</v>
      </c>
      <c r="G4" s="17"/>
      <c r="H4" s="18"/>
      <c r="I4" s="2"/>
      <c r="J4" s="2"/>
    </row>
    <row r="5" customFormat="false" ht="17.35" hidden="false" customHeight="false" outlineLevel="0" collapsed="false">
      <c r="A5" s="55" t="s">
        <v>123</v>
      </c>
      <c r="B5" s="13" t="n">
        <v>0</v>
      </c>
      <c r="C5" s="13" t="n">
        <v>0</v>
      </c>
      <c r="D5" s="13" t="n">
        <v>0</v>
      </c>
      <c r="E5" s="13"/>
      <c r="F5" s="13" t="n">
        <v>0</v>
      </c>
      <c r="G5" s="13"/>
      <c r="H5" s="20"/>
      <c r="I5" s="2"/>
      <c r="J5" s="2"/>
    </row>
    <row r="6" customFormat="false" ht="17.35" hidden="false" customHeight="false" outlineLevel="0" collapsed="false">
      <c r="A6" s="55" t="s">
        <v>124</v>
      </c>
      <c r="B6" s="21" t="n">
        <f aca="false">(B3*B4/100)+B5</f>
        <v>0</v>
      </c>
      <c r="C6" s="21" t="n">
        <f aca="false">(C3*C4/100)+C5</f>
        <v>0</v>
      </c>
      <c r="D6" s="21" t="n">
        <f aca="false">(D3*D4/100)+D5</f>
        <v>0</v>
      </c>
      <c r="E6" s="21"/>
      <c r="F6" s="21" t="n">
        <f aca="false">(F3*F4/100)+F5</f>
        <v>0</v>
      </c>
      <c r="G6" s="21"/>
      <c r="H6" s="20"/>
      <c r="I6" s="2"/>
      <c r="J6" s="2"/>
    </row>
    <row r="7" customFormat="false" ht="17.35" hidden="false" customHeight="false" outlineLevel="0" collapsed="false">
      <c r="A7" s="55" t="s">
        <v>125</v>
      </c>
      <c r="B7" s="21" t="n">
        <f aca="false">B3-B6</f>
        <v>46854.17</v>
      </c>
      <c r="C7" s="21" t="n">
        <f aca="false">C3-C6</f>
        <v>0</v>
      </c>
      <c r="D7" s="21" t="n">
        <f aca="false">D3-D6</f>
        <v>0</v>
      </c>
      <c r="E7" s="21"/>
      <c r="F7" s="21" t="n">
        <f aca="false">F3-F6</f>
        <v>833.33</v>
      </c>
      <c r="G7" s="21"/>
      <c r="H7" s="20"/>
      <c r="I7" s="2"/>
      <c r="J7" s="2"/>
    </row>
    <row r="8" customFormat="false" ht="17.35" hidden="false" customHeight="false" outlineLevel="0" collapsed="false">
      <c r="A8" s="55"/>
      <c r="B8" s="25"/>
      <c r="C8" s="25"/>
      <c r="D8" s="25"/>
      <c r="E8" s="25"/>
      <c r="F8" s="25"/>
      <c r="G8" s="25"/>
      <c r="H8" s="20"/>
      <c r="I8" s="2"/>
      <c r="J8" s="2"/>
      <c r="L8" s="26" t="s">
        <v>3</v>
      </c>
      <c r="M8" s="27" t="n">
        <f aca="false">H13+H14</f>
        <v>640</v>
      </c>
    </row>
    <row r="9" customFormat="false" ht="19.7" hidden="false" customHeight="false" outlineLevel="0" collapsed="false">
      <c r="A9" s="153" t="s">
        <v>133</v>
      </c>
      <c r="B9" s="153"/>
      <c r="C9" s="153"/>
      <c r="D9" s="153"/>
      <c r="E9" s="153" t="n">
        <f aca="false">(B7+C7+D7+E3)</f>
        <v>46854.17</v>
      </c>
      <c r="F9" s="153"/>
      <c r="G9" s="29"/>
      <c r="H9" s="30" t="n">
        <f aca="false">B7+D7+F7+H3</f>
        <v>47687.5</v>
      </c>
      <c r="I9" s="2"/>
      <c r="J9" s="2"/>
      <c r="L9" s="27"/>
      <c r="M9" s="27"/>
    </row>
    <row r="10" customFormat="false" ht="17.35" hidden="false" customHeight="false" outlineLevel="0" collapsed="false">
      <c r="A10" s="155" t="s">
        <v>134</v>
      </c>
      <c r="B10" s="155"/>
      <c r="C10" s="155"/>
      <c r="D10" s="155"/>
      <c r="E10" s="155" t="n">
        <v>50</v>
      </c>
      <c r="F10" s="155"/>
      <c r="G10" s="21"/>
      <c r="H10" s="14" t="n">
        <v>550</v>
      </c>
      <c r="I10" s="2"/>
      <c r="J10" s="2"/>
      <c r="L10" s="32" t="s">
        <v>1</v>
      </c>
      <c r="M10" s="27" t="n">
        <f aca="false">H15-H11-M8</f>
        <v>48237.5</v>
      </c>
    </row>
    <row r="11" customFormat="false" ht="17.35" hidden="false" customHeight="false" outlineLevel="0" collapsed="false">
      <c r="A11" s="155" t="s">
        <v>135</v>
      </c>
      <c r="B11" s="155"/>
      <c r="C11" s="155"/>
      <c r="D11" s="155"/>
      <c r="E11" s="155"/>
      <c r="F11" s="155"/>
      <c r="G11" s="21"/>
      <c r="H11" s="20" t="n">
        <f aca="false">(H9+H10)*20%</f>
        <v>9647.5</v>
      </c>
      <c r="I11" s="2"/>
      <c r="J11" s="2"/>
      <c r="L11" s="27"/>
      <c r="M11" s="27"/>
    </row>
    <row r="12" customFormat="false" ht="17.35" hidden="false" customHeight="false" outlineLevel="0" collapsed="false">
      <c r="A12" s="155" t="s">
        <v>136</v>
      </c>
      <c r="B12" s="155"/>
      <c r="C12" s="155"/>
      <c r="D12" s="155"/>
      <c r="E12" s="155"/>
      <c r="F12" s="155"/>
      <c r="G12" s="21"/>
      <c r="H12" s="14" t="n">
        <v>0</v>
      </c>
      <c r="I12" s="2"/>
      <c r="J12" s="2"/>
    </row>
    <row r="13" customFormat="false" ht="17.35" hidden="false" customHeight="false" outlineLevel="0" collapsed="false">
      <c r="A13" s="155" t="s">
        <v>137</v>
      </c>
      <c r="B13" s="155"/>
      <c r="C13" s="155"/>
      <c r="D13" s="155"/>
      <c r="E13" s="155" t="n">
        <v>585</v>
      </c>
      <c r="F13" s="155"/>
      <c r="G13" s="21"/>
      <c r="H13" s="14" t="n">
        <v>585</v>
      </c>
      <c r="I13" s="2"/>
      <c r="J13" s="2"/>
    </row>
    <row r="14" customFormat="false" ht="17.35" hidden="false" customHeight="false" outlineLevel="0" collapsed="false">
      <c r="A14" s="155" t="s">
        <v>138</v>
      </c>
      <c r="B14" s="155"/>
      <c r="C14" s="155"/>
      <c r="D14" s="155"/>
      <c r="E14" s="155" t="n">
        <v>55</v>
      </c>
      <c r="F14" s="155"/>
      <c r="G14" s="21"/>
      <c r="H14" s="14" t="n">
        <v>55</v>
      </c>
      <c r="I14" s="2"/>
      <c r="J14" s="2" t="s">
        <v>13</v>
      </c>
    </row>
    <row r="15" customFormat="false" ht="17.35" hidden="false" customHeight="false" outlineLevel="0" collapsed="false">
      <c r="A15" s="155" t="s">
        <v>139</v>
      </c>
      <c r="B15" s="155"/>
      <c r="C15" s="155"/>
      <c r="D15" s="155"/>
      <c r="E15" s="155"/>
      <c r="F15" s="155"/>
      <c r="G15" s="21"/>
      <c r="H15" s="33" t="n">
        <f aca="false">(H9+H10+H13+H14+H11)-H12</f>
        <v>58525</v>
      </c>
      <c r="I15" s="2"/>
      <c r="J15" s="34" t="n">
        <f aca="false">H15</f>
        <v>58525</v>
      </c>
    </row>
    <row r="16" customFormat="false" ht="17.35" hidden="false" customHeight="false" outlineLevel="0" collapsed="false">
      <c r="A16" s="155" t="s">
        <v>140</v>
      </c>
      <c r="B16" s="155"/>
      <c r="C16" s="155"/>
      <c r="D16" s="155"/>
      <c r="E16" s="155" t="n">
        <v>120</v>
      </c>
      <c r="F16" s="155"/>
      <c r="G16" s="21"/>
      <c r="H16" s="14" t="n">
        <v>0</v>
      </c>
      <c r="I16" s="2"/>
      <c r="J16" s="2"/>
      <c r="Y16" s="36" t="s">
        <v>15</v>
      </c>
    </row>
    <row r="17" customFormat="false" ht="17.35" hidden="false" customHeight="false" outlineLevel="0" collapsed="false">
      <c r="A17" s="70" t="s">
        <v>141</v>
      </c>
      <c r="B17" s="70"/>
      <c r="C17" s="70"/>
      <c r="D17" s="70"/>
      <c r="E17" s="70"/>
      <c r="F17" s="70"/>
      <c r="G17" s="37"/>
      <c r="H17" s="20"/>
      <c r="I17" s="2"/>
      <c r="J17" s="2" t="s">
        <v>16</v>
      </c>
      <c r="Y17" s="36" t="s">
        <v>17</v>
      </c>
    </row>
    <row r="18" customFormat="false" ht="17.35" hidden="false" customHeight="false" outlineLevel="0" collapsed="false">
      <c r="A18" s="158" t="s">
        <v>15</v>
      </c>
      <c r="B18" s="159" t="s">
        <v>142</v>
      </c>
      <c r="C18" s="159"/>
      <c r="D18" s="159"/>
      <c r="E18" s="159"/>
      <c r="F18" s="159"/>
      <c r="G18" s="38"/>
      <c r="H18" s="39" t="n">
        <v>0</v>
      </c>
      <c r="I18" s="2"/>
      <c r="J18" s="34" t="n">
        <f aca="false">(B3+D3+F3+H3+H10)*1.2</f>
        <v>57885</v>
      </c>
      <c r="Y18" s="36" t="s">
        <v>18</v>
      </c>
    </row>
    <row r="19" customFormat="false" ht="17.35" hidden="false" customHeight="false" outlineLevel="0" collapsed="false">
      <c r="A19" s="158" t="s">
        <v>17</v>
      </c>
      <c r="B19" s="159" t="s">
        <v>142</v>
      </c>
      <c r="C19" s="159"/>
      <c r="D19" s="159"/>
      <c r="E19" s="159"/>
      <c r="F19" s="159"/>
      <c r="G19" s="38"/>
      <c r="H19" s="39" t="n">
        <v>0</v>
      </c>
      <c r="I19" s="2"/>
      <c r="J19" s="2"/>
      <c r="Z19" s="2" t="s">
        <v>9</v>
      </c>
    </row>
    <row r="20" customFormat="false" ht="17.35" hidden="false" customHeight="false" outlineLevel="0" collapsed="false">
      <c r="A20" s="158" t="s">
        <v>18</v>
      </c>
      <c r="B20" s="159" t="s">
        <v>142</v>
      </c>
      <c r="C20" s="159"/>
      <c r="D20" s="159"/>
      <c r="E20" s="159"/>
      <c r="F20" s="159"/>
      <c r="G20" s="38"/>
      <c r="H20" s="39" t="n">
        <v>0</v>
      </c>
      <c r="I20" s="2"/>
      <c r="J20" s="2"/>
      <c r="Z20" s="2" t="s">
        <v>10</v>
      </c>
    </row>
    <row r="21" customFormat="false" ht="19.7" hidden="false" customHeight="false" outlineLevel="0" collapsed="false">
      <c r="A21" s="449" t="s">
        <v>143</v>
      </c>
      <c r="B21" s="449"/>
      <c r="C21" s="449"/>
      <c r="D21" s="449"/>
      <c r="E21" s="449"/>
      <c r="F21" s="449"/>
      <c r="G21" s="43"/>
      <c r="H21" s="44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45"/>
      <c r="B22" s="45"/>
      <c r="C22" s="45"/>
      <c r="D22" s="45"/>
      <c r="E22" s="45"/>
      <c r="F22" s="45"/>
      <c r="G22" s="45"/>
      <c r="H22" s="45"/>
      <c r="J22" s="2"/>
      <c r="K22" s="2"/>
      <c r="P22" s="46"/>
    </row>
    <row r="23" customFormat="false" ht="17.35" hidden="false" customHeight="false" outlineLevel="0" collapsed="false">
      <c r="A23" s="45"/>
      <c r="B23" s="45"/>
      <c r="C23" s="45"/>
      <c r="D23" s="45"/>
      <c r="E23" s="45"/>
      <c r="F23" s="45"/>
      <c r="G23" s="45"/>
      <c r="H23" s="45"/>
      <c r="J23" s="2"/>
      <c r="K23" s="2"/>
      <c r="P23" s="46"/>
    </row>
    <row r="24" customFormat="false" ht="46.5" hidden="false" customHeight="true" outlineLevel="0" collapsed="false">
      <c r="A24" s="47" t="s">
        <v>21</v>
      </c>
      <c r="B24" s="47"/>
      <c r="C24" s="47"/>
      <c r="D24" s="47"/>
      <c r="E24" s="47"/>
      <c r="F24" s="47"/>
      <c r="G24" s="47"/>
      <c r="H24" s="47"/>
      <c r="I24" s="2"/>
      <c r="J24" s="2"/>
      <c r="K24" s="2"/>
      <c r="P24" s="46"/>
    </row>
    <row r="25" customFormat="false" ht="17.35" hidden="false" customHeight="false" outlineLevel="0" collapsed="false">
      <c r="A25" s="48"/>
      <c r="B25" s="49"/>
      <c r="C25" s="49"/>
      <c r="D25" s="49"/>
      <c r="E25" s="49"/>
      <c r="F25" s="49"/>
      <c r="G25" s="49"/>
      <c r="H25" s="50"/>
      <c r="I25" s="2"/>
      <c r="J25" s="2"/>
      <c r="K25" s="2"/>
      <c r="P25" s="46"/>
    </row>
    <row r="26" customFormat="false" ht="17.9" hidden="false" customHeight="false" outlineLevel="0" collapsed="false">
      <c r="A26" s="51" t="s">
        <v>22</v>
      </c>
      <c r="B26" s="52" t="s">
        <v>9</v>
      </c>
      <c r="C26" s="25"/>
      <c r="D26" s="25"/>
      <c r="E26" s="25"/>
      <c r="F26" s="25"/>
      <c r="G26" s="25"/>
      <c r="H26" s="20"/>
      <c r="I26" s="2"/>
      <c r="J26" s="53" t="s">
        <v>23</v>
      </c>
      <c r="K26" s="54" t="s">
        <v>24</v>
      </c>
      <c r="P26" s="46"/>
    </row>
    <row r="27" customFormat="false" ht="17.9" hidden="false" customHeight="false" outlineLevel="0" collapsed="false">
      <c r="A27" s="55"/>
      <c r="B27" s="25"/>
      <c r="C27" s="25"/>
      <c r="D27" s="25"/>
      <c r="E27" s="25"/>
      <c r="F27" s="25"/>
      <c r="G27" s="25"/>
      <c r="H27" s="20"/>
      <c r="I27" s="2"/>
      <c r="J27" s="56" t="s">
        <v>25</v>
      </c>
      <c r="K27" s="57" t="n">
        <v>1</v>
      </c>
      <c r="P27" s="46"/>
    </row>
    <row r="28" customFormat="false" ht="22.05" hidden="false" customHeight="false" outlineLevel="0" collapsed="false">
      <c r="A28" s="58" t="s">
        <v>26</v>
      </c>
      <c r="B28" s="58"/>
      <c r="C28" s="58"/>
      <c r="D28" s="58"/>
      <c r="E28" s="58"/>
      <c r="F28" s="58"/>
      <c r="G28" s="58"/>
      <c r="H28" s="58"/>
      <c r="I28" s="2"/>
      <c r="J28" s="56" t="s">
        <v>27</v>
      </c>
      <c r="K28" s="57"/>
      <c r="P28" s="46"/>
    </row>
    <row r="29" customFormat="false" ht="17.9" hidden="false" customHeight="false" outlineLevel="0" collapsed="false">
      <c r="A29" s="55"/>
      <c r="B29" s="25"/>
      <c r="C29" s="25"/>
      <c r="D29" s="25"/>
      <c r="E29" s="25"/>
      <c r="F29" s="25"/>
      <c r="G29" s="25"/>
      <c r="H29" s="20" t="n">
        <v>36</v>
      </c>
      <c r="I29" s="25"/>
      <c r="J29" s="53" t="s">
        <v>214</v>
      </c>
      <c r="K29" s="59" t="n">
        <v>35</v>
      </c>
      <c r="P29" s="46"/>
    </row>
    <row r="30" customFormat="false" ht="17.9" hidden="false" customHeight="false" outlineLevel="0" collapsed="false">
      <c r="A30" s="55" t="s">
        <v>29</v>
      </c>
      <c r="B30" s="60" t="s">
        <v>30</v>
      </c>
      <c r="C30" s="60"/>
      <c r="D30" s="60"/>
      <c r="E30" s="25"/>
      <c r="F30" s="25"/>
      <c r="G30" s="25"/>
      <c r="H30" s="20" t="n">
        <v>10000</v>
      </c>
      <c r="I30" s="25"/>
      <c r="J30" s="53" t="s">
        <v>31</v>
      </c>
      <c r="K30" s="61" t="n">
        <v>35000</v>
      </c>
      <c r="P30" s="46"/>
    </row>
    <row r="31" customFormat="false" ht="17.9" hidden="false" customHeight="false" outlineLevel="0" collapsed="false">
      <c r="A31" s="55"/>
      <c r="B31" s="25"/>
      <c r="C31" s="25"/>
      <c r="D31" s="25"/>
      <c r="E31" s="25"/>
      <c r="F31" s="25"/>
      <c r="G31" s="25"/>
      <c r="H31" s="20" t="n">
        <v>27500</v>
      </c>
      <c r="I31" s="25"/>
      <c r="J31" s="53" t="s">
        <v>32</v>
      </c>
      <c r="K31" s="62" t="n">
        <v>7200</v>
      </c>
      <c r="P31" s="46"/>
    </row>
    <row r="32" customFormat="false" ht="34.8" hidden="false" customHeight="false" outlineLevel="0" collapsed="false">
      <c r="A32" s="55" t="s">
        <v>28</v>
      </c>
      <c r="B32" s="25" t="s">
        <v>33</v>
      </c>
      <c r="C32" s="25"/>
      <c r="D32" s="25"/>
      <c r="E32" s="25" t="s">
        <v>34</v>
      </c>
      <c r="F32" s="25"/>
      <c r="G32" s="25"/>
      <c r="H32" s="20"/>
      <c r="I32" s="2" t="n">
        <v>0</v>
      </c>
      <c r="J32" s="53" t="s">
        <v>35</v>
      </c>
      <c r="K32" s="62" t="n">
        <v>1875.65</v>
      </c>
      <c r="P32" s="46"/>
    </row>
    <row r="33" customFormat="false" ht="34.8" hidden="false" customHeight="false" outlineLevel="0" collapsed="false">
      <c r="A33" s="63" t="n">
        <f aca="false">A52</f>
        <v>35</v>
      </c>
      <c r="B33" s="64" t="n">
        <f aca="false">B51</f>
        <v>35000</v>
      </c>
      <c r="C33" s="25"/>
      <c r="D33" s="25"/>
      <c r="E33" s="64" t="n">
        <f aca="false">K48</f>
        <v>1435.10138046723</v>
      </c>
      <c r="F33" s="64"/>
      <c r="G33" s="64"/>
      <c r="H33" s="65"/>
      <c r="I33" s="2"/>
      <c r="J33" s="56" t="s">
        <v>36</v>
      </c>
      <c r="K33" s="66" t="n">
        <f aca="false">H21-H11+(H16*20%)</f>
        <v>48877.5</v>
      </c>
      <c r="L33" s="1" t="n">
        <f aca="false">H21-H11+(H16*20%)</f>
        <v>48877.5</v>
      </c>
      <c r="P33" s="46"/>
    </row>
    <row r="34" customFormat="false" ht="17.35" hidden="false" customHeight="false" outlineLevel="0" collapsed="false">
      <c r="A34" s="55"/>
      <c r="B34" s="25"/>
      <c r="C34" s="25"/>
      <c r="D34" s="25"/>
      <c r="E34" s="67"/>
      <c r="F34" s="67"/>
      <c r="G34" s="67"/>
      <c r="H34" s="65"/>
      <c r="I34" s="2"/>
      <c r="J34" s="2"/>
      <c r="K34" s="2"/>
      <c r="P34" s="46"/>
    </row>
    <row r="35" customFormat="false" ht="21.6" hidden="false" customHeight="false" outlineLevel="0" collapsed="false">
      <c r="A35" s="55" t="s">
        <v>37</v>
      </c>
      <c r="B35" s="25" t="s">
        <v>38</v>
      </c>
      <c r="C35" s="25"/>
      <c r="D35" s="46"/>
      <c r="E35" s="25" t="s">
        <v>39</v>
      </c>
      <c r="F35" s="67"/>
      <c r="G35" s="67"/>
      <c r="H35" s="65"/>
      <c r="I35" s="2"/>
      <c r="J35" s="68" t="s">
        <v>40</v>
      </c>
      <c r="K35" s="0" t="n">
        <v>0.065</v>
      </c>
      <c r="P35" s="46"/>
    </row>
    <row r="36" customFormat="false" ht="17.35" hidden="false" customHeight="false" outlineLevel="0" collapsed="false">
      <c r="A36" s="69" t="n">
        <f aca="false">K47</f>
        <v>1381.51138046723</v>
      </c>
      <c r="B36" s="64" t="n">
        <f aca="false">IF(B26="YES", K42, "0.00")</f>
        <v>53.59</v>
      </c>
      <c r="C36" s="64"/>
      <c r="D36" s="64"/>
      <c r="E36" s="64" t="n">
        <f aca="false">K31</f>
        <v>7200</v>
      </c>
      <c r="F36" s="64"/>
      <c r="G36" s="64"/>
      <c r="H36" s="65"/>
      <c r="I36" s="2"/>
      <c r="J36" s="2" t="s">
        <v>41</v>
      </c>
      <c r="K36" s="2" t="n">
        <f aca="false">K29</f>
        <v>35</v>
      </c>
      <c r="P36" s="46"/>
    </row>
    <row r="37" customFormat="false" ht="17.35" hidden="false" customHeight="false" outlineLevel="0" collapsed="false">
      <c r="A37" s="70"/>
      <c r="B37" s="37"/>
      <c r="C37" s="67"/>
      <c r="D37" s="67"/>
      <c r="E37" s="67"/>
      <c r="F37" s="67"/>
      <c r="G37" s="67"/>
      <c r="H37" s="65"/>
      <c r="I37" s="2"/>
      <c r="J37" s="2"/>
      <c r="K37" s="2"/>
      <c r="P37" s="46"/>
    </row>
    <row r="38" customFormat="false" ht="17.35" hidden="false" customHeight="false" outlineLevel="0" collapsed="false">
      <c r="A38" s="55"/>
      <c r="B38" s="25"/>
      <c r="C38" s="67"/>
      <c r="D38" s="67"/>
      <c r="E38" s="67"/>
      <c r="F38" s="67"/>
      <c r="G38" s="67"/>
      <c r="H38" s="65"/>
      <c r="J38" s="71" t="s">
        <v>42</v>
      </c>
      <c r="K38" s="71"/>
      <c r="L38" s="2" t="n">
        <v>42030.76</v>
      </c>
      <c r="N38" s="1" t="n">
        <f aca="false">80.88*36</f>
        <v>2911.68</v>
      </c>
      <c r="P38" s="46"/>
    </row>
    <row r="39" customFormat="false" ht="17.35" hidden="false" customHeight="false" outlineLevel="0" collapsed="false">
      <c r="A39" s="55" t="s">
        <v>43</v>
      </c>
      <c r="B39" s="25" t="s">
        <v>44</v>
      </c>
      <c r="C39" s="25"/>
      <c r="D39" s="46"/>
      <c r="E39" s="25" t="s">
        <v>45</v>
      </c>
      <c r="F39" s="67"/>
      <c r="G39" s="67"/>
      <c r="H39" s="65"/>
      <c r="J39" s="2" t="s">
        <v>46</v>
      </c>
      <c r="K39" s="2" t="n">
        <f aca="false">K33</f>
        <v>48877.5</v>
      </c>
      <c r="L39" s="2" t="n">
        <f aca="false">(L47*K46)+K44</f>
        <v>28678.5952786194</v>
      </c>
      <c r="N39" s="1" t="n">
        <f aca="false">K39-L39</f>
        <v>20198.9047213806</v>
      </c>
      <c r="P39" s="46"/>
    </row>
    <row r="40" customFormat="false" ht="17.35" hidden="false" customHeight="false" outlineLevel="0" collapsed="false">
      <c r="A40" s="72" t="n">
        <f aca="false">E36*A45/100</f>
        <v>7200</v>
      </c>
      <c r="B40" s="72" t="n">
        <f aca="false">IF(B26="YES", K42, "0.00")</f>
        <v>53.59</v>
      </c>
      <c r="C40" s="72"/>
      <c r="D40" s="72"/>
      <c r="E40" s="73" t="n">
        <f aca="false">K32</f>
        <v>1875.65</v>
      </c>
      <c r="F40" s="67"/>
      <c r="G40" s="67"/>
      <c r="H40" s="65"/>
      <c r="J40" s="2" t="s">
        <v>47</v>
      </c>
      <c r="K40" s="2" t="n">
        <f aca="false">(A40)/1.2</f>
        <v>6000</v>
      </c>
      <c r="L40" s="2" t="n">
        <f aca="false">K39-L39</f>
        <v>20198.9047213806</v>
      </c>
      <c r="N40" s="1" t="n">
        <f aca="false">N38-N39</f>
        <v>-17287.2247213806</v>
      </c>
      <c r="P40" s="46"/>
    </row>
    <row r="41" customFormat="false" ht="17.35" hidden="false" customHeight="false" outlineLevel="0" collapsed="false">
      <c r="A41" s="55"/>
      <c r="B41" s="25"/>
      <c r="C41" s="25"/>
      <c r="D41" s="25"/>
      <c r="E41" s="25"/>
      <c r="F41" s="67"/>
      <c r="G41" s="67"/>
      <c r="H41" s="65"/>
      <c r="J41" s="2" t="s">
        <v>48</v>
      </c>
      <c r="K41" s="2" t="n">
        <f aca="false">K35/12</f>
        <v>0.00541666666666667</v>
      </c>
      <c r="L41" s="2"/>
      <c r="P41" s="46"/>
    </row>
    <row r="42" customFormat="false" ht="17.35" hidden="false" customHeight="false" outlineLevel="0" collapsed="false">
      <c r="A42" s="74"/>
      <c r="B42" s="75"/>
      <c r="C42" s="75"/>
      <c r="D42" s="75"/>
      <c r="E42" s="75"/>
      <c r="F42" s="75"/>
      <c r="G42" s="76"/>
      <c r="H42" s="77"/>
      <c r="J42" s="2" t="s">
        <v>49</v>
      </c>
      <c r="K42" s="2" t="n">
        <f aca="false">(K32/K36/100)*C45</f>
        <v>53.59</v>
      </c>
      <c r="L42" s="2"/>
      <c r="P42" s="46"/>
    </row>
    <row r="43" customFormat="false" ht="17.35" hidden="false" customHeight="false" outlineLevel="0" collapsed="false">
      <c r="A43" s="48"/>
      <c r="B43" s="49"/>
      <c r="C43" s="49"/>
      <c r="D43" s="49"/>
      <c r="E43" s="49"/>
      <c r="F43" s="49"/>
      <c r="G43" s="49"/>
      <c r="H43" s="50"/>
      <c r="J43" s="2" t="s">
        <v>50</v>
      </c>
      <c r="K43" s="2"/>
      <c r="L43" s="2"/>
      <c r="P43" s="46"/>
    </row>
    <row r="44" customFormat="false" ht="17.35" hidden="false" customHeight="false" outlineLevel="0" collapsed="false">
      <c r="A44" s="78" t="s">
        <v>51</v>
      </c>
      <c r="B44" s="25"/>
      <c r="C44" s="79" t="s">
        <v>52</v>
      </c>
      <c r="D44" s="79"/>
      <c r="E44" s="25"/>
      <c r="F44" s="25"/>
      <c r="G44" s="25"/>
      <c r="H44" s="20"/>
      <c r="J44" s="2" t="s">
        <v>53</v>
      </c>
      <c r="K44" s="2" t="n">
        <f aca="false">(K40/(1+K41)^(K36+1))</f>
        <v>4939.60661196881</v>
      </c>
      <c r="L44" s="2"/>
      <c r="P44" s="46"/>
    </row>
    <row r="45" customFormat="false" ht="17.35" hidden="false" customHeight="false" outlineLevel="0" collapsed="false">
      <c r="A45" s="498" t="n">
        <v>100</v>
      </c>
      <c r="B45" s="25"/>
      <c r="C45" s="499" t="n">
        <v>100</v>
      </c>
      <c r="D45" s="499"/>
      <c r="E45" s="499"/>
      <c r="F45" s="25"/>
      <c r="G45" s="25"/>
      <c r="H45" s="20"/>
      <c r="J45" s="2" t="s">
        <v>54</v>
      </c>
      <c r="K45" s="2" t="n">
        <f aca="false">(K39-K44)</f>
        <v>43937.8933880312</v>
      </c>
      <c r="L45" s="2"/>
      <c r="P45" s="46"/>
    </row>
    <row r="46" customFormat="false" ht="17.35" hidden="false" customHeight="false" outlineLevel="0" collapsed="false">
      <c r="A46" s="74"/>
      <c r="B46" s="75"/>
      <c r="C46" s="75"/>
      <c r="D46" s="75"/>
      <c r="E46" s="75"/>
      <c r="F46" s="75"/>
      <c r="G46" s="75"/>
      <c r="H46" s="82"/>
      <c r="J46" s="2" t="s">
        <v>55</v>
      </c>
      <c r="K46" s="2" t="n">
        <f aca="false">((1-(1/((1+K41)^K36)))/K41)</f>
        <v>31.8042210938366</v>
      </c>
      <c r="L46" s="2"/>
      <c r="P46" s="46"/>
    </row>
    <row r="47" customFormat="false" ht="17.35" hidden="false" customHeight="false" outlineLevel="0" collapsed="false">
      <c r="A47" s="48"/>
      <c r="B47" s="49"/>
      <c r="C47" s="49"/>
      <c r="D47" s="49"/>
      <c r="E47" s="49"/>
      <c r="F47" s="49"/>
      <c r="G47" s="49"/>
      <c r="H47" s="50"/>
      <c r="J47" s="2" t="s">
        <v>56</v>
      </c>
      <c r="K47" s="2" t="n">
        <f aca="false">K45/K46</f>
        <v>1381.51138046723</v>
      </c>
      <c r="L47" s="2" t="n">
        <f aca="false">L49-K42</f>
        <v>746.41</v>
      </c>
      <c r="M47" s="1" t="n">
        <f aca="false">K47-L47</f>
        <v>635.101380467231</v>
      </c>
      <c r="P47" s="46"/>
    </row>
    <row r="48" customFormat="false" ht="31.8" hidden="false" customHeight="false" outlineLevel="0" collapsed="false">
      <c r="A48" s="83" t="s">
        <v>57</v>
      </c>
      <c r="B48" s="25"/>
      <c r="C48" s="25"/>
      <c r="D48" s="84"/>
      <c r="E48" s="84"/>
      <c r="F48" s="84"/>
      <c r="G48" s="84"/>
      <c r="H48" s="85"/>
      <c r="J48" s="86" t="s">
        <v>58</v>
      </c>
      <c r="K48" s="2" t="n">
        <f aca="false">IF(B26="YES", K47+K42, K47)</f>
        <v>1435.10138046723</v>
      </c>
      <c r="L48" s="2"/>
      <c r="P48" s="46"/>
    </row>
    <row r="49" customFormat="false" ht="17.35" hidden="false" customHeight="false" outlineLevel="0" collapsed="false">
      <c r="A49" s="55"/>
      <c r="B49" s="87"/>
      <c r="C49" s="87"/>
      <c r="D49" s="25"/>
      <c r="E49" s="25"/>
      <c r="F49" s="25"/>
      <c r="G49" s="25"/>
      <c r="H49" s="20"/>
      <c r="J49" s="2" t="s">
        <v>59</v>
      </c>
      <c r="K49" s="2"/>
      <c r="L49" s="2" t="n">
        <v>800</v>
      </c>
      <c r="P49" s="46"/>
    </row>
    <row r="50" customFormat="false" ht="19.7" hidden="false" customHeight="false" outlineLevel="0" collapsed="false">
      <c r="A50" s="88" t="s">
        <v>28</v>
      </c>
      <c r="B50" s="89" t="s">
        <v>33</v>
      </c>
      <c r="C50" s="89"/>
      <c r="D50" s="89"/>
      <c r="E50" s="25"/>
      <c r="F50" s="25"/>
      <c r="G50" s="25"/>
      <c r="H50" s="20"/>
      <c r="I50" s="2"/>
      <c r="J50" s="2"/>
      <c r="K50" s="2"/>
      <c r="P50" s="46"/>
    </row>
    <row r="51" customFormat="false" ht="19.5" hidden="false" customHeight="true" outlineLevel="0" collapsed="false">
      <c r="A51" s="88"/>
      <c r="B51" s="90" t="n">
        <f aca="false">K30</f>
        <v>35000</v>
      </c>
      <c r="C51" s="90"/>
      <c r="D51" s="90"/>
      <c r="E51" s="25"/>
      <c r="F51" s="25"/>
      <c r="G51" s="25"/>
      <c r="H51" s="20"/>
      <c r="I51" s="2"/>
      <c r="J51" s="2"/>
      <c r="K51" s="2"/>
      <c r="P51" s="46"/>
    </row>
    <row r="52" customFormat="false" ht="17.35" hidden="false" customHeight="false" outlineLevel="0" collapsed="false">
      <c r="A52" s="91" t="n">
        <f aca="false">K29</f>
        <v>35</v>
      </c>
      <c r="B52" s="92" t="n">
        <f aca="false">K48</f>
        <v>1435.10138046723</v>
      </c>
      <c r="C52" s="92"/>
      <c r="D52" s="92"/>
      <c r="E52" s="25"/>
      <c r="F52" s="25"/>
      <c r="G52" s="25"/>
      <c r="H52" s="20"/>
      <c r="I52" s="2"/>
      <c r="J52" s="2"/>
      <c r="K52" s="2"/>
      <c r="P52" s="46"/>
    </row>
    <row r="53" customFormat="false" ht="17.35" hidden="false" customHeight="false" outlineLevel="0" collapsed="false">
      <c r="A53" s="55"/>
      <c r="B53" s="25"/>
      <c r="C53" s="25"/>
      <c r="D53" s="25"/>
      <c r="E53" s="25"/>
      <c r="F53" s="25"/>
      <c r="G53" s="25"/>
      <c r="H53" s="20"/>
      <c r="I53" s="2"/>
      <c r="J53" s="2"/>
      <c r="K53" s="2"/>
      <c r="P53" s="46"/>
    </row>
    <row r="54" customFormat="false" ht="17.35" hidden="false" customHeight="false" outlineLevel="0" collapsed="false">
      <c r="A54" s="74"/>
      <c r="B54" s="75"/>
      <c r="C54" s="75"/>
      <c r="D54" s="75"/>
      <c r="E54" s="75"/>
      <c r="F54" s="75"/>
      <c r="G54" s="75"/>
      <c r="H54" s="82"/>
      <c r="I54" s="2"/>
      <c r="J54" s="2"/>
      <c r="K54" s="2"/>
      <c r="P54" s="46"/>
    </row>
    <row r="55" customFormat="false" ht="17.35" hidden="false" customHeight="false" outlineLevel="0" collapsed="false">
      <c r="A55" s="45"/>
      <c r="B55" s="45"/>
      <c r="C55" s="45"/>
      <c r="D55" s="45"/>
      <c r="E55" s="45"/>
      <c r="F55" s="45"/>
      <c r="G55" s="45"/>
      <c r="H55" s="45"/>
      <c r="J55" s="2"/>
      <c r="K55" s="2"/>
      <c r="P55" s="46"/>
    </row>
    <row r="56" customFormat="false" ht="17.35" hidden="false" customHeight="false" outlineLevel="0" collapsed="false">
      <c r="A56" s="45"/>
      <c r="B56" s="45"/>
      <c r="C56" s="45"/>
      <c r="D56" s="45"/>
      <c r="E56" s="45"/>
      <c r="F56" s="45"/>
      <c r="G56" s="45"/>
      <c r="H56" s="45"/>
      <c r="J56" s="2"/>
      <c r="K56" s="2"/>
      <c r="P56" s="46"/>
    </row>
    <row r="57" customFormat="false" ht="17.35" hidden="false" customHeight="false" outlineLevel="0" collapsed="false">
      <c r="A57" s="48"/>
      <c r="B57" s="49"/>
      <c r="C57" s="49"/>
      <c r="D57" s="49"/>
      <c r="E57" s="93"/>
      <c r="F57" s="93"/>
      <c r="G57" s="93"/>
      <c r="H57" s="50"/>
      <c r="J57" s="48"/>
      <c r="K57" s="49"/>
      <c r="L57" s="49"/>
      <c r="M57" s="49"/>
      <c r="N57" s="93"/>
      <c r="O57" s="93"/>
      <c r="P57" s="93"/>
      <c r="Q57" s="50"/>
      <c r="S57" s="48"/>
      <c r="T57" s="49"/>
      <c r="U57" s="49"/>
      <c r="V57" s="49"/>
      <c r="W57" s="93"/>
      <c r="X57" s="93"/>
      <c r="Y57" s="93"/>
      <c r="Z57" s="50"/>
      <c r="AB57" s="48"/>
      <c r="AC57" s="49"/>
      <c r="AD57" s="49"/>
      <c r="AE57" s="49"/>
      <c r="AF57" s="93"/>
      <c r="AG57" s="93"/>
      <c r="AH57" s="93"/>
      <c r="AI57" s="50"/>
    </row>
    <row r="58" customFormat="false" ht="17.35" hidden="false" customHeight="false" outlineLevel="0" collapsed="false">
      <c r="A58" s="55" t="s">
        <v>46</v>
      </c>
      <c r="B58" s="25" t="n">
        <v>1</v>
      </c>
      <c r="C58" s="25"/>
      <c r="D58" s="25"/>
      <c r="E58" s="94"/>
      <c r="F58" s="94"/>
      <c r="G58" s="94"/>
      <c r="H58" s="20"/>
      <c r="J58" s="55" t="s">
        <v>46</v>
      </c>
      <c r="K58" s="25" t="n">
        <v>1</v>
      </c>
      <c r="L58" s="25"/>
      <c r="M58" s="25"/>
      <c r="N58" s="94"/>
      <c r="O58" s="94"/>
      <c r="P58" s="94"/>
      <c r="Q58" s="20"/>
      <c r="S58" s="55" t="s">
        <v>46</v>
      </c>
      <c r="T58" s="25" t="n">
        <v>1</v>
      </c>
      <c r="U58" s="25"/>
      <c r="V58" s="25"/>
      <c r="W58" s="94"/>
      <c r="X58" s="94"/>
      <c r="Y58" s="94"/>
      <c r="Z58" s="20"/>
      <c r="AB58" s="55" t="s">
        <v>46</v>
      </c>
      <c r="AC58" s="25" t="n">
        <v>1</v>
      </c>
      <c r="AD58" s="25"/>
      <c r="AE58" s="25"/>
      <c r="AF58" s="94"/>
      <c r="AG58" s="94"/>
      <c r="AH58" s="94"/>
      <c r="AI58" s="20"/>
    </row>
    <row r="59" customFormat="false" ht="17.35" hidden="false" customHeight="false" outlineLevel="0" collapsed="false">
      <c r="A59" s="55" t="s">
        <v>60</v>
      </c>
      <c r="B59" s="25" t="n">
        <f aca="false">K29-B58</f>
        <v>34</v>
      </c>
      <c r="C59" s="25"/>
      <c r="D59" s="25"/>
      <c r="E59" s="94"/>
      <c r="F59" s="94"/>
      <c r="G59" s="94"/>
      <c r="H59" s="20"/>
      <c r="J59" s="55" t="s">
        <v>60</v>
      </c>
      <c r="K59" s="25" t="n">
        <f aca="false">K29-K58</f>
        <v>34</v>
      </c>
      <c r="L59" s="25"/>
      <c r="M59" s="25"/>
      <c r="N59" s="94"/>
      <c r="O59" s="94"/>
      <c r="P59" s="94"/>
      <c r="Q59" s="20"/>
      <c r="S59" s="55" t="s">
        <v>60</v>
      </c>
      <c r="T59" s="25" t="n">
        <f aca="false">K29-T58</f>
        <v>34</v>
      </c>
      <c r="U59" s="25"/>
      <c r="V59" s="25"/>
      <c r="W59" s="94"/>
      <c r="X59" s="94"/>
      <c r="Y59" s="94"/>
      <c r="Z59" s="20"/>
      <c r="AB59" s="55" t="s">
        <v>60</v>
      </c>
      <c r="AC59" s="25" t="n">
        <f aca="false">K29-AC58</f>
        <v>34</v>
      </c>
      <c r="AD59" s="25"/>
      <c r="AE59" s="25"/>
      <c r="AF59" s="94"/>
      <c r="AG59" s="94"/>
      <c r="AH59" s="94"/>
      <c r="AI59" s="20"/>
    </row>
    <row r="60" customFormat="false" ht="17.35" hidden="false" customHeight="false" outlineLevel="0" collapsed="false">
      <c r="A60" s="95" t="s">
        <v>61</v>
      </c>
      <c r="B60" s="96" t="n">
        <v>10</v>
      </c>
      <c r="C60" s="25"/>
      <c r="D60" s="25"/>
      <c r="E60" s="94"/>
      <c r="F60" s="94"/>
      <c r="G60" s="94"/>
      <c r="H60" s="20"/>
      <c r="J60" s="95" t="s">
        <v>61</v>
      </c>
      <c r="K60" s="96" t="n">
        <v>20</v>
      </c>
      <c r="L60" s="25"/>
      <c r="M60" s="25"/>
      <c r="N60" s="94"/>
      <c r="O60" s="94"/>
      <c r="P60" s="94"/>
      <c r="Q60" s="20"/>
      <c r="S60" s="95" t="s">
        <v>61</v>
      </c>
      <c r="T60" s="96" t="n">
        <v>10</v>
      </c>
      <c r="U60" s="25"/>
      <c r="V60" s="25"/>
      <c r="W60" s="94"/>
      <c r="X60" s="94"/>
      <c r="Y60" s="94"/>
      <c r="Z60" s="20"/>
      <c r="AB60" s="95" t="s">
        <v>61</v>
      </c>
      <c r="AC60" s="96" t="n">
        <v>10</v>
      </c>
      <c r="AD60" s="25"/>
      <c r="AE60" s="25"/>
      <c r="AF60" s="94"/>
      <c r="AG60" s="94"/>
      <c r="AH60" s="94"/>
      <c r="AI60" s="20"/>
    </row>
    <row r="61" customFormat="false" ht="17.35" hidden="false" customHeight="false" outlineLevel="0" collapsed="false">
      <c r="A61" s="55" t="s">
        <v>16</v>
      </c>
      <c r="B61" s="25" t="n">
        <f aca="false">J18</f>
        <v>57885</v>
      </c>
      <c r="C61" s="25"/>
      <c r="D61" s="25"/>
      <c r="E61" s="94"/>
      <c r="F61" s="94"/>
      <c r="G61" s="94"/>
      <c r="H61" s="20"/>
      <c r="J61" s="55" t="s">
        <v>16</v>
      </c>
      <c r="K61" s="25" t="n">
        <f aca="false">J18</f>
        <v>57885</v>
      </c>
      <c r="L61" s="25"/>
      <c r="M61" s="25"/>
      <c r="N61" s="94"/>
      <c r="O61" s="94"/>
      <c r="P61" s="94"/>
      <c r="Q61" s="20"/>
      <c r="S61" s="55" t="s">
        <v>16</v>
      </c>
      <c r="T61" s="25" t="n">
        <f aca="false">J18</f>
        <v>57885</v>
      </c>
      <c r="U61" s="25"/>
      <c r="V61" s="25"/>
      <c r="W61" s="94"/>
      <c r="X61" s="94"/>
      <c r="Y61" s="94"/>
      <c r="Z61" s="20"/>
      <c r="AB61" s="55" t="s">
        <v>16</v>
      </c>
      <c r="AC61" s="25" t="n">
        <f aca="false">J18</f>
        <v>57885</v>
      </c>
      <c r="AD61" s="25"/>
      <c r="AE61" s="25"/>
      <c r="AF61" s="94"/>
      <c r="AG61" s="94"/>
      <c r="AH61" s="94"/>
      <c r="AI61" s="20"/>
    </row>
    <row r="62" customFormat="false" ht="17.35" hidden="false" customHeight="false" outlineLevel="0" collapsed="false">
      <c r="A62" s="97" t="s">
        <v>62</v>
      </c>
      <c r="B62" s="98" t="n">
        <v>0</v>
      </c>
      <c r="C62" s="25"/>
      <c r="D62" s="25"/>
      <c r="E62" s="94"/>
      <c r="F62" s="94"/>
      <c r="G62" s="94"/>
      <c r="H62" s="20"/>
      <c r="J62" s="97" t="s">
        <v>62</v>
      </c>
      <c r="K62" s="98" t="n">
        <v>0.06</v>
      </c>
      <c r="L62" s="25"/>
      <c r="M62" s="25"/>
      <c r="N62" s="94"/>
      <c r="O62" s="94"/>
      <c r="P62" s="94"/>
      <c r="Q62" s="20"/>
      <c r="S62" s="97" t="s">
        <v>62</v>
      </c>
      <c r="T62" s="98" t="n">
        <f aca="false">IF(AND(K29&gt;= 12, K29&lt;=24), 0.0105, IF(AND(K29&gt;=48), -0.0075, 0))</f>
        <v>0</v>
      </c>
      <c r="U62" s="25"/>
      <c r="V62" s="25"/>
      <c r="W62" s="94"/>
      <c r="X62" s="94"/>
      <c r="Y62" s="94"/>
      <c r="Z62" s="20"/>
      <c r="AB62" s="97" t="s">
        <v>62</v>
      </c>
      <c r="AC62" s="98" t="n">
        <f aca="false">IF(AND(K29&gt;= 12, K29&lt;=24), 0.0105, IF(AND(K29&gt;=48), -0.0075, 0))</f>
        <v>0</v>
      </c>
      <c r="AD62" s="25"/>
      <c r="AE62" s="25"/>
      <c r="AF62" s="94"/>
      <c r="AG62" s="94"/>
      <c r="AH62" s="94"/>
      <c r="AI62" s="20"/>
    </row>
    <row r="63" customFormat="false" ht="17.35" hidden="false" customHeight="false" outlineLevel="0" collapsed="false">
      <c r="A63" s="99" t="s">
        <v>63</v>
      </c>
      <c r="B63" s="100" t="n">
        <v>0.065</v>
      </c>
      <c r="C63" s="25"/>
      <c r="D63" s="25"/>
      <c r="E63" s="94"/>
      <c r="F63" s="94"/>
      <c r="G63" s="94"/>
      <c r="H63" s="20"/>
      <c r="J63" s="99" t="s">
        <v>63</v>
      </c>
      <c r="K63" s="100" t="n">
        <v>0.08</v>
      </c>
      <c r="L63" s="25"/>
      <c r="M63" s="25"/>
      <c r="N63" s="94"/>
      <c r="O63" s="94"/>
      <c r="P63" s="94"/>
      <c r="Q63" s="20"/>
      <c r="S63" s="99" t="s">
        <v>63</v>
      </c>
      <c r="T63" s="100" t="n">
        <v>0.059</v>
      </c>
      <c r="U63" s="25"/>
      <c r="V63" s="25"/>
      <c r="W63" s="94"/>
      <c r="X63" s="94"/>
      <c r="Y63" s="94"/>
      <c r="Z63" s="20"/>
      <c r="AB63" s="99" t="s">
        <v>63</v>
      </c>
      <c r="AC63" s="100" t="n">
        <v>0.059</v>
      </c>
      <c r="AD63" s="25"/>
      <c r="AE63" s="25"/>
      <c r="AF63" s="94"/>
      <c r="AG63" s="94"/>
      <c r="AH63" s="94"/>
      <c r="AI63" s="20"/>
    </row>
    <row r="64" customFormat="false" ht="17.35" hidden="false" customHeight="false" outlineLevel="0" collapsed="false">
      <c r="A64" s="101" t="s">
        <v>64</v>
      </c>
      <c r="B64" s="102" t="n">
        <v>0.05</v>
      </c>
      <c r="C64" s="25"/>
      <c r="D64" s="25"/>
      <c r="E64" s="94"/>
      <c r="F64" s="94"/>
      <c r="G64" s="94"/>
      <c r="H64" s="20"/>
      <c r="J64" s="101" t="s">
        <v>64</v>
      </c>
      <c r="K64" s="102" t="n">
        <v>0.1</v>
      </c>
      <c r="L64" s="25"/>
      <c r="M64" s="25"/>
      <c r="N64" s="94"/>
      <c r="O64" s="94"/>
      <c r="P64" s="94"/>
      <c r="Q64" s="20"/>
      <c r="S64" s="101" t="s">
        <v>64</v>
      </c>
      <c r="T64" s="102" t="n">
        <f aca="false">IF(T108=AP108, 2.4%, 7.2%)</f>
        <v>0.072</v>
      </c>
      <c r="U64" s="25"/>
      <c r="V64" s="25"/>
      <c r="W64" s="94"/>
      <c r="X64" s="94"/>
      <c r="Y64" s="94"/>
      <c r="Z64" s="20"/>
      <c r="AB64" s="101" t="s">
        <v>64</v>
      </c>
      <c r="AC64" s="102" t="n">
        <f aca="false">IF(AC108=AP108, 2.4%, 7.2%)</f>
        <v>0.072</v>
      </c>
      <c r="AD64" s="25"/>
      <c r="AE64" s="25"/>
      <c r="AF64" s="94"/>
      <c r="AG64" s="94"/>
      <c r="AH64" s="94"/>
      <c r="AI64" s="20"/>
    </row>
    <row r="65" customFormat="false" ht="17.35" hidden="false" customHeight="false" outlineLevel="0" collapsed="false">
      <c r="A65" s="74" t="s">
        <v>65</v>
      </c>
      <c r="B65" s="82" t="n">
        <f aca="false">(B89*B59)-(K47*K29)</f>
        <v>25264.2132344033</v>
      </c>
      <c r="C65" s="25"/>
      <c r="D65" s="25"/>
      <c r="E65" s="94"/>
      <c r="F65" s="94"/>
      <c r="G65" s="94"/>
      <c r="H65" s="20"/>
      <c r="J65" s="74" t="s">
        <v>65</v>
      </c>
      <c r="K65" s="82" t="n">
        <f aca="false">(K89*K59)-(K47*K29)</f>
        <v>2860.73004428854</v>
      </c>
      <c r="L65" s="25"/>
      <c r="M65" s="25"/>
      <c r="N65" s="94"/>
      <c r="O65" s="94"/>
      <c r="P65" s="94"/>
      <c r="Q65" s="20"/>
      <c r="S65" s="74" t="s">
        <v>65</v>
      </c>
      <c r="T65" s="82" t="n">
        <f aca="false">(T89*T59)-(K47*K29)</f>
        <v>17131.9592521278</v>
      </c>
      <c r="U65" s="25"/>
      <c r="V65" s="25"/>
      <c r="W65" s="94"/>
      <c r="X65" s="94"/>
      <c r="Y65" s="94"/>
      <c r="Z65" s="20"/>
      <c r="AB65" s="74" t="s">
        <v>65</v>
      </c>
      <c r="AC65" s="82" t="n">
        <f aca="false">(AC89*AC59)-(K47*K29)</f>
        <v>399.399774889571</v>
      </c>
      <c r="AD65" s="25"/>
      <c r="AE65" s="25"/>
      <c r="AF65" s="94"/>
      <c r="AG65" s="94"/>
      <c r="AH65" s="94"/>
      <c r="AI65" s="20"/>
    </row>
    <row r="66" customFormat="false" ht="17.35" hidden="false" customHeight="false" outlineLevel="0" collapsed="false">
      <c r="A66" s="97" t="s">
        <v>66</v>
      </c>
      <c r="B66" s="98" t="n">
        <v>0.005</v>
      </c>
      <c r="C66" s="25"/>
      <c r="D66" s="25"/>
      <c r="E66" s="94"/>
      <c r="F66" s="94"/>
      <c r="G66" s="94"/>
      <c r="H66" s="20"/>
      <c r="J66" s="97" t="s">
        <v>66</v>
      </c>
      <c r="K66" s="98" t="n">
        <v>0.05</v>
      </c>
      <c r="L66" s="25"/>
      <c r="M66" s="25"/>
      <c r="N66" s="94"/>
      <c r="O66" s="94"/>
      <c r="P66" s="94"/>
      <c r="Q66" s="20"/>
      <c r="S66" s="97" t="s">
        <v>66</v>
      </c>
      <c r="T66" s="98" t="n">
        <v>0.005</v>
      </c>
      <c r="U66" s="25"/>
      <c r="V66" s="25"/>
      <c r="W66" s="94"/>
      <c r="X66" s="94"/>
      <c r="Y66" s="94"/>
      <c r="Z66" s="20"/>
      <c r="AB66" s="97" t="s">
        <v>66</v>
      </c>
      <c r="AC66" s="98" t="n">
        <v>0.005</v>
      </c>
      <c r="AD66" s="25"/>
      <c r="AE66" s="25"/>
      <c r="AF66" s="94"/>
      <c r="AG66" s="94"/>
      <c r="AH66" s="94"/>
      <c r="AI66" s="20"/>
    </row>
    <row r="67" customFormat="false" ht="17.35" hidden="false" customHeight="false" outlineLevel="0" collapsed="false">
      <c r="A67" s="55" t="s">
        <v>67</v>
      </c>
      <c r="B67" s="103" t="n">
        <f aca="false">B66+(B66*0.5*(K29/12-1))</f>
        <v>0.00979166666666667</v>
      </c>
      <c r="C67" s="25"/>
      <c r="D67" s="25"/>
      <c r="E67" s="94"/>
      <c r="F67" s="94"/>
      <c r="G67" s="94"/>
      <c r="H67" s="20"/>
      <c r="J67" s="55" t="s">
        <v>67</v>
      </c>
      <c r="K67" s="103" t="n">
        <f aca="false">K66+(K66*0.25*(K29/12-1))</f>
        <v>0.0739583333333333</v>
      </c>
      <c r="L67" s="25"/>
      <c r="M67" s="25"/>
      <c r="N67" s="94"/>
      <c r="O67" s="94"/>
      <c r="P67" s="94"/>
      <c r="Q67" s="20"/>
      <c r="S67" s="55" t="s">
        <v>67</v>
      </c>
      <c r="T67" s="103" t="n">
        <f aca="false">T66+(T66*0.5*(K29/12-1))</f>
        <v>0.00979166666666667</v>
      </c>
      <c r="U67" s="25"/>
      <c r="V67" s="25"/>
      <c r="W67" s="94"/>
      <c r="X67" s="94"/>
      <c r="Y67" s="94"/>
      <c r="Z67" s="20"/>
      <c r="AB67" s="55" t="s">
        <v>67</v>
      </c>
      <c r="AC67" s="103" t="n">
        <f aca="false">AC66+(AC66*0.5*(K29/12-1))</f>
        <v>0.00979166666666667</v>
      </c>
      <c r="AD67" s="25"/>
      <c r="AE67" s="25"/>
      <c r="AF67" s="94"/>
      <c r="AG67" s="94"/>
      <c r="AH67" s="94"/>
      <c r="AI67" s="20"/>
    </row>
    <row r="68" customFormat="false" ht="17.35" hidden="false" customHeight="false" outlineLevel="0" collapsed="false">
      <c r="A68" s="74" t="s">
        <v>68</v>
      </c>
      <c r="B68" s="82" t="n">
        <f aca="false">(G158*B67)/1.2</f>
        <v>552.65801875</v>
      </c>
      <c r="C68" s="25"/>
      <c r="D68" s="25"/>
      <c r="E68" s="94"/>
      <c r="F68" s="94"/>
      <c r="G68" s="94"/>
      <c r="H68" s="20"/>
      <c r="J68" s="74" t="s">
        <v>68</v>
      </c>
      <c r="K68" s="82" t="n">
        <f aca="false">K61*K67</f>
        <v>4281.078125</v>
      </c>
      <c r="L68" s="25"/>
      <c r="M68" s="25"/>
      <c r="N68" s="94"/>
      <c r="O68" s="94"/>
      <c r="P68" s="94"/>
      <c r="Q68" s="20"/>
      <c r="S68" s="74" t="s">
        <v>68</v>
      </c>
      <c r="T68" s="82" t="n">
        <f aca="false">T61*T67</f>
        <v>566.790625</v>
      </c>
      <c r="U68" s="25"/>
      <c r="V68" s="25"/>
      <c r="W68" s="94"/>
      <c r="X68" s="94"/>
      <c r="Y68" s="94"/>
      <c r="Z68" s="20"/>
      <c r="AB68" s="74" t="s">
        <v>68</v>
      </c>
      <c r="AC68" s="82" t="n">
        <f aca="false">AH158*AC67</f>
        <v>445.214833958333</v>
      </c>
      <c r="AD68" s="25"/>
      <c r="AE68" s="25"/>
      <c r="AF68" s="94"/>
      <c r="AG68" s="94"/>
      <c r="AH68" s="94"/>
      <c r="AI68" s="20"/>
    </row>
    <row r="69" customFormat="false" ht="17.35" hidden="false" customHeight="false" outlineLevel="0" collapsed="false">
      <c r="A69" s="97" t="s">
        <v>69</v>
      </c>
      <c r="B69" s="98" t="n">
        <v>0</v>
      </c>
      <c r="C69" s="25"/>
      <c r="D69" s="25"/>
      <c r="E69" s="94"/>
      <c r="F69" s="94"/>
      <c r="G69" s="94"/>
      <c r="H69" s="20"/>
      <c r="J69" s="97" t="s">
        <v>69</v>
      </c>
      <c r="K69" s="98" t="n">
        <v>0</v>
      </c>
      <c r="L69" s="25"/>
      <c r="M69" s="25"/>
      <c r="N69" s="94"/>
      <c r="O69" s="94"/>
      <c r="P69" s="94"/>
      <c r="Q69" s="20"/>
      <c r="S69" s="97" t="s">
        <v>69</v>
      </c>
      <c r="T69" s="98" t="n">
        <v>0</v>
      </c>
      <c r="U69" s="25"/>
      <c r="V69" s="25"/>
      <c r="W69" s="94"/>
      <c r="X69" s="94"/>
      <c r="Y69" s="94"/>
      <c r="Z69" s="20"/>
      <c r="AB69" s="97" t="s">
        <v>69</v>
      </c>
      <c r="AC69" s="98" t="n">
        <v>0</v>
      </c>
      <c r="AD69" s="25"/>
      <c r="AE69" s="25"/>
      <c r="AF69" s="94"/>
      <c r="AG69" s="94"/>
      <c r="AH69" s="94"/>
      <c r="AI69" s="20"/>
    </row>
    <row r="70" customFormat="false" ht="17.35" hidden="false" customHeight="false" outlineLevel="0" collapsed="false">
      <c r="A70" s="99" t="s">
        <v>70</v>
      </c>
      <c r="B70" s="100" t="n">
        <v>0</v>
      </c>
      <c r="C70" s="25"/>
      <c r="D70" s="25"/>
      <c r="E70" s="94"/>
      <c r="F70" s="94"/>
      <c r="G70" s="94"/>
      <c r="H70" s="20"/>
      <c r="J70" s="99" t="s">
        <v>70</v>
      </c>
      <c r="K70" s="100" t="n">
        <v>0</v>
      </c>
      <c r="L70" s="25"/>
      <c r="M70" s="25"/>
      <c r="N70" s="94"/>
      <c r="O70" s="94"/>
      <c r="P70" s="94"/>
      <c r="Q70" s="20"/>
      <c r="S70" s="99" t="s">
        <v>70</v>
      </c>
      <c r="T70" s="100" t="n">
        <v>0</v>
      </c>
      <c r="U70" s="25"/>
      <c r="V70" s="25"/>
      <c r="W70" s="94"/>
      <c r="X70" s="94"/>
      <c r="Y70" s="94"/>
      <c r="Z70" s="20"/>
      <c r="AB70" s="99" t="s">
        <v>70</v>
      </c>
      <c r="AC70" s="100" t="n">
        <v>0</v>
      </c>
      <c r="AD70" s="25"/>
      <c r="AE70" s="25"/>
      <c r="AF70" s="94"/>
      <c r="AG70" s="94"/>
      <c r="AH70" s="94"/>
      <c r="AI70" s="20"/>
    </row>
    <row r="71" customFormat="false" ht="17.35" hidden="false" customHeight="false" outlineLevel="0" collapsed="false">
      <c r="A71" s="74" t="s">
        <v>71</v>
      </c>
      <c r="B71" s="104" t="n">
        <f aca="false">B69*(1+B70)</f>
        <v>0</v>
      </c>
      <c r="C71" s="25"/>
      <c r="D71" s="25"/>
      <c r="E71" s="94"/>
      <c r="F71" s="94"/>
      <c r="G71" s="94"/>
      <c r="H71" s="20"/>
      <c r="J71" s="74" t="s">
        <v>71</v>
      </c>
      <c r="K71" s="104" t="n">
        <f aca="false">K69*(1+K70)</f>
        <v>0</v>
      </c>
      <c r="L71" s="25"/>
      <c r="M71" s="25"/>
      <c r="N71" s="94"/>
      <c r="O71" s="94"/>
      <c r="P71" s="94"/>
      <c r="Q71" s="20"/>
      <c r="S71" s="74" t="s">
        <v>71</v>
      </c>
      <c r="T71" s="104" t="n">
        <f aca="false">T69*(1+T70)</f>
        <v>0</v>
      </c>
      <c r="U71" s="25"/>
      <c r="V71" s="25"/>
      <c r="W71" s="94"/>
      <c r="X71" s="94"/>
      <c r="Y71" s="94"/>
      <c r="Z71" s="20"/>
      <c r="AB71" s="74" t="s">
        <v>71</v>
      </c>
      <c r="AC71" s="104" t="n">
        <f aca="false">AC69*(1+AC70)</f>
        <v>0</v>
      </c>
      <c r="AD71" s="25"/>
      <c r="AE71" s="25"/>
      <c r="AF71" s="94"/>
      <c r="AG71" s="94"/>
      <c r="AH71" s="94"/>
      <c r="AI71" s="20"/>
    </row>
    <row r="72" customFormat="false" ht="17.35" hidden="false" customHeight="false" outlineLevel="0" collapsed="false">
      <c r="A72" s="97" t="s">
        <v>72</v>
      </c>
      <c r="B72" s="105" t="n">
        <v>0</v>
      </c>
      <c r="C72" s="25"/>
      <c r="D72" s="25"/>
      <c r="E72" s="94"/>
      <c r="F72" s="94"/>
      <c r="G72" s="94"/>
      <c r="H72" s="20"/>
      <c r="J72" s="97" t="s">
        <v>72</v>
      </c>
      <c r="K72" s="105" t="n">
        <v>0</v>
      </c>
      <c r="L72" s="25"/>
      <c r="M72" s="25"/>
      <c r="N72" s="94"/>
      <c r="O72" s="94"/>
      <c r="P72" s="94"/>
      <c r="Q72" s="20"/>
      <c r="S72" s="97" t="s">
        <v>72</v>
      </c>
      <c r="T72" s="105" t="n">
        <v>0</v>
      </c>
      <c r="U72" s="25"/>
      <c r="V72" s="25"/>
      <c r="W72" s="94"/>
      <c r="X72" s="94"/>
      <c r="Y72" s="94"/>
      <c r="Z72" s="20"/>
      <c r="AB72" s="97" t="s">
        <v>72</v>
      </c>
      <c r="AC72" s="105" t="n">
        <v>0</v>
      </c>
      <c r="AD72" s="25"/>
      <c r="AE72" s="25"/>
      <c r="AF72" s="94"/>
      <c r="AG72" s="94"/>
      <c r="AH72" s="94"/>
      <c r="AI72" s="20"/>
    </row>
    <row r="73" customFormat="false" ht="17.35" hidden="false" customHeight="false" outlineLevel="0" collapsed="false">
      <c r="A73" s="99" t="s">
        <v>73</v>
      </c>
      <c r="B73" s="96" t="n">
        <v>0</v>
      </c>
      <c r="C73" s="25"/>
      <c r="D73" s="25"/>
      <c r="E73" s="94"/>
      <c r="F73" s="94"/>
      <c r="G73" s="94"/>
      <c r="H73" s="20"/>
      <c r="J73" s="99" t="s">
        <v>73</v>
      </c>
      <c r="K73" s="96" t="n">
        <v>0</v>
      </c>
      <c r="L73" s="25"/>
      <c r="M73" s="25"/>
      <c r="N73" s="94"/>
      <c r="O73" s="94"/>
      <c r="P73" s="94"/>
      <c r="Q73" s="20"/>
      <c r="S73" s="99" t="s">
        <v>73</v>
      </c>
      <c r="T73" s="96" t="n">
        <v>0</v>
      </c>
      <c r="U73" s="25"/>
      <c r="V73" s="25"/>
      <c r="W73" s="94"/>
      <c r="X73" s="94"/>
      <c r="Y73" s="94"/>
      <c r="Z73" s="20"/>
      <c r="AB73" s="99" t="s">
        <v>73</v>
      </c>
      <c r="AC73" s="96" t="n">
        <v>0</v>
      </c>
      <c r="AD73" s="25"/>
      <c r="AE73" s="25"/>
      <c r="AF73" s="94"/>
      <c r="AG73" s="94"/>
      <c r="AH73" s="94"/>
      <c r="AI73" s="20"/>
    </row>
    <row r="74" customFormat="false" ht="17.35" hidden="false" customHeight="false" outlineLevel="0" collapsed="false">
      <c r="A74" s="74" t="s">
        <v>74</v>
      </c>
      <c r="B74" s="82" t="n">
        <f aca="false">B73*B29</f>
        <v>0</v>
      </c>
      <c r="C74" s="25"/>
      <c r="D74" s="25" t="n">
        <f aca="false">B74+B72</f>
        <v>0</v>
      </c>
      <c r="E74" s="94"/>
      <c r="F74" s="94"/>
      <c r="G74" s="94"/>
      <c r="H74" s="20"/>
      <c r="J74" s="74" t="s">
        <v>74</v>
      </c>
      <c r="K74" s="82" t="n">
        <f aca="false">K73*K29</f>
        <v>0</v>
      </c>
      <c r="L74" s="25"/>
      <c r="M74" s="25" t="n">
        <f aca="false">K74+K72</f>
        <v>0</v>
      </c>
      <c r="N74" s="94"/>
      <c r="O74" s="94"/>
      <c r="P74" s="94"/>
      <c r="Q74" s="20"/>
      <c r="S74" s="74" t="s">
        <v>74</v>
      </c>
      <c r="T74" s="82" t="n">
        <f aca="false">T73*K29</f>
        <v>0</v>
      </c>
      <c r="U74" s="25"/>
      <c r="V74" s="25" t="n">
        <f aca="false">T74+T72</f>
        <v>0</v>
      </c>
      <c r="W74" s="94"/>
      <c r="X74" s="94"/>
      <c r="Y74" s="94"/>
      <c r="Z74" s="20"/>
      <c r="AB74" s="74" t="s">
        <v>74</v>
      </c>
      <c r="AC74" s="82" t="n">
        <f aca="false">AC73*K29</f>
        <v>0</v>
      </c>
      <c r="AD74" s="25"/>
      <c r="AE74" s="25" t="n">
        <f aca="false">AC74+AC72</f>
        <v>0</v>
      </c>
      <c r="AF74" s="94"/>
      <c r="AG74" s="94"/>
      <c r="AH74" s="94"/>
      <c r="AI74" s="20"/>
    </row>
    <row r="75" customFormat="false" ht="17.35" hidden="false" customHeight="false" outlineLevel="0" collapsed="false">
      <c r="A75" s="99" t="s">
        <v>75</v>
      </c>
      <c r="B75" s="96" t="n">
        <v>0</v>
      </c>
      <c r="C75" s="25"/>
      <c r="D75" s="25" t="n">
        <f aca="false">B75</f>
        <v>0</v>
      </c>
      <c r="E75" s="94"/>
      <c r="F75" s="94"/>
      <c r="G75" s="94"/>
      <c r="H75" s="20"/>
      <c r="J75" s="99" t="s">
        <v>75</v>
      </c>
      <c r="K75" s="96" t="n">
        <v>0</v>
      </c>
      <c r="L75" s="25"/>
      <c r="M75" s="25" t="n">
        <f aca="false">K75</f>
        <v>0</v>
      </c>
      <c r="N75" s="94"/>
      <c r="O75" s="94"/>
      <c r="P75" s="94"/>
      <c r="Q75" s="20"/>
      <c r="S75" s="99" t="s">
        <v>75</v>
      </c>
      <c r="T75" s="96" t="n">
        <v>0</v>
      </c>
      <c r="U75" s="25"/>
      <c r="V75" s="25" t="n">
        <f aca="false">T75</f>
        <v>0</v>
      </c>
      <c r="W75" s="94"/>
      <c r="X75" s="94"/>
      <c r="Y75" s="94"/>
      <c r="Z75" s="20"/>
      <c r="AB75" s="99" t="s">
        <v>75</v>
      </c>
      <c r="AC75" s="96" t="n">
        <v>0</v>
      </c>
      <c r="AD75" s="25"/>
      <c r="AE75" s="25" t="n">
        <f aca="false">AC75</f>
        <v>0</v>
      </c>
      <c r="AF75" s="94"/>
      <c r="AG75" s="94"/>
      <c r="AH75" s="94"/>
      <c r="AI75" s="20"/>
    </row>
    <row r="76" customFormat="false" ht="17.35" hidden="false" customHeight="false" outlineLevel="0" collapsed="false">
      <c r="A76" s="101" t="s">
        <v>76</v>
      </c>
      <c r="B76" s="106" t="n">
        <v>0</v>
      </c>
      <c r="C76" s="25"/>
      <c r="D76" s="25" t="n">
        <f aca="false">B76</f>
        <v>0</v>
      </c>
      <c r="E76" s="94"/>
      <c r="F76" s="94"/>
      <c r="G76" s="94"/>
      <c r="H76" s="20"/>
      <c r="J76" s="101" t="s">
        <v>76</v>
      </c>
      <c r="K76" s="106" t="n">
        <v>0</v>
      </c>
      <c r="L76" s="25"/>
      <c r="M76" s="25" t="n">
        <f aca="false">K76</f>
        <v>0</v>
      </c>
      <c r="N76" s="94"/>
      <c r="O76" s="94"/>
      <c r="P76" s="94"/>
      <c r="Q76" s="20"/>
      <c r="S76" s="101" t="s">
        <v>76</v>
      </c>
      <c r="T76" s="106" t="n">
        <v>0</v>
      </c>
      <c r="U76" s="25"/>
      <c r="V76" s="25" t="n">
        <f aca="false">T76</f>
        <v>0</v>
      </c>
      <c r="W76" s="94"/>
      <c r="X76" s="94"/>
      <c r="Y76" s="94"/>
      <c r="Z76" s="20"/>
      <c r="AB76" s="101" t="s">
        <v>76</v>
      </c>
      <c r="AC76" s="106" t="n">
        <v>0</v>
      </c>
      <c r="AD76" s="25"/>
      <c r="AE76" s="25" t="n">
        <f aca="false">AC76</f>
        <v>0</v>
      </c>
      <c r="AF76" s="94"/>
      <c r="AG76" s="94"/>
      <c r="AH76" s="94"/>
      <c r="AI76" s="20"/>
    </row>
    <row r="77" customFormat="false" ht="17.35" hidden="false" customHeight="false" outlineLevel="0" collapsed="false">
      <c r="A77" s="107" t="s">
        <v>77</v>
      </c>
      <c r="B77" s="108" t="n">
        <f aca="false">SUM(D65:D76)</f>
        <v>0</v>
      </c>
      <c r="C77" s="25"/>
      <c r="D77" s="25"/>
      <c r="E77" s="94"/>
      <c r="F77" s="94"/>
      <c r="G77" s="94"/>
      <c r="H77" s="20"/>
      <c r="J77" s="107" t="s">
        <v>77</v>
      </c>
      <c r="K77" s="108" t="n">
        <f aca="false">SUM(M65:M76)</f>
        <v>0</v>
      </c>
      <c r="L77" s="25"/>
      <c r="M77" s="25"/>
      <c r="N77" s="94"/>
      <c r="O77" s="94"/>
      <c r="P77" s="94"/>
      <c r="Q77" s="20"/>
      <c r="S77" s="107" t="s">
        <v>77</v>
      </c>
      <c r="T77" s="108" t="n">
        <f aca="false">SUM(V65:V76)</f>
        <v>0</v>
      </c>
      <c r="U77" s="25"/>
      <c r="V77" s="25"/>
      <c r="W77" s="94"/>
      <c r="X77" s="94"/>
      <c r="Y77" s="94"/>
      <c r="Z77" s="20"/>
      <c r="AB77" s="107" t="s">
        <v>77</v>
      </c>
      <c r="AC77" s="108" t="n">
        <f aca="false">SUM(AE65:AE76)</f>
        <v>0</v>
      </c>
      <c r="AD77" s="25"/>
      <c r="AE77" s="25"/>
      <c r="AF77" s="94"/>
      <c r="AG77" s="94"/>
      <c r="AH77" s="94"/>
      <c r="AI77" s="20"/>
    </row>
    <row r="78" customFormat="false" ht="17.35" hidden="false" customHeight="false" outlineLevel="0" collapsed="false">
      <c r="A78" s="55" t="s">
        <v>78</v>
      </c>
      <c r="B78" s="20" t="n">
        <f aca="false">B77/H29</f>
        <v>0</v>
      </c>
      <c r="C78" s="25"/>
      <c r="D78" s="25"/>
      <c r="E78" s="94"/>
      <c r="F78" s="94"/>
      <c r="G78" s="94"/>
      <c r="H78" s="20"/>
      <c r="J78" s="55" t="s">
        <v>78</v>
      </c>
      <c r="K78" s="20" t="n">
        <f aca="false">K77/K29</f>
        <v>0</v>
      </c>
      <c r="L78" s="25"/>
      <c r="M78" s="25"/>
      <c r="N78" s="94"/>
      <c r="O78" s="94"/>
      <c r="P78" s="94"/>
      <c r="Q78" s="20"/>
      <c r="S78" s="55" t="s">
        <v>78</v>
      </c>
      <c r="T78" s="20" t="n">
        <f aca="false">T77/K29</f>
        <v>0</v>
      </c>
      <c r="U78" s="25"/>
      <c r="V78" s="25"/>
      <c r="W78" s="94"/>
      <c r="X78" s="94"/>
      <c r="Y78" s="94"/>
      <c r="Z78" s="20"/>
      <c r="AB78" s="55" t="s">
        <v>78</v>
      </c>
      <c r="AC78" s="20" t="n">
        <f aca="false">AC77/K29</f>
        <v>0</v>
      </c>
      <c r="AD78" s="25"/>
      <c r="AE78" s="25"/>
      <c r="AF78" s="94"/>
      <c r="AG78" s="94"/>
      <c r="AH78" s="94"/>
      <c r="AI78" s="20"/>
    </row>
    <row r="79" customFormat="false" ht="17.35" hidden="false" customHeight="false" outlineLevel="0" collapsed="false">
      <c r="A79" s="109" t="s">
        <v>79</v>
      </c>
      <c r="B79" s="77" t="n">
        <f aca="false">K47</f>
        <v>1381.51138046723</v>
      </c>
      <c r="C79" s="25"/>
      <c r="D79" s="25"/>
      <c r="E79" s="94"/>
      <c r="F79" s="94"/>
      <c r="G79" s="94"/>
      <c r="H79" s="20"/>
      <c r="J79" s="109" t="s">
        <v>79</v>
      </c>
      <c r="K79" s="77" t="n">
        <f aca="false">K47</f>
        <v>1381.51138046723</v>
      </c>
      <c r="L79" s="25"/>
      <c r="M79" s="25"/>
      <c r="N79" s="94"/>
      <c r="O79" s="94"/>
      <c r="P79" s="94"/>
      <c r="Q79" s="20"/>
      <c r="S79" s="109" t="s">
        <v>79</v>
      </c>
      <c r="T79" s="77" t="n">
        <f aca="false">B52</f>
        <v>1435.10138046723</v>
      </c>
      <c r="U79" s="25"/>
      <c r="V79" s="25"/>
      <c r="W79" s="94"/>
      <c r="X79" s="94"/>
      <c r="Y79" s="94"/>
      <c r="Z79" s="20"/>
      <c r="AB79" s="109" t="s">
        <v>79</v>
      </c>
      <c r="AC79" s="77" t="n">
        <f aca="false">B52</f>
        <v>1435.10138046723</v>
      </c>
      <c r="AD79" s="25"/>
      <c r="AE79" s="25"/>
      <c r="AF79" s="94"/>
      <c r="AG79" s="94"/>
      <c r="AH79" s="94"/>
      <c r="AI79" s="20"/>
    </row>
    <row r="80" customFormat="false" ht="17.35" hidden="false" customHeight="false" outlineLevel="0" collapsed="false">
      <c r="A80" s="55"/>
      <c r="B80" s="25"/>
      <c r="C80" s="25"/>
      <c r="D80" s="25"/>
      <c r="E80" s="94"/>
      <c r="F80" s="94"/>
      <c r="G80" s="94"/>
      <c r="H80" s="20"/>
      <c r="J80" s="55"/>
      <c r="K80" s="25"/>
      <c r="L80" s="25"/>
      <c r="M80" s="25"/>
      <c r="N80" s="94"/>
      <c r="O80" s="94"/>
      <c r="P80" s="94"/>
      <c r="Q80" s="20"/>
      <c r="S80" s="55"/>
      <c r="T80" s="25"/>
      <c r="U80" s="25"/>
      <c r="V80" s="25"/>
      <c r="W80" s="94"/>
      <c r="X80" s="94"/>
      <c r="Y80" s="94"/>
      <c r="Z80" s="20"/>
      <c r="AB80" s="55"/>
      <c r="AC80" s="25"/>
      <c r="AD80" s="25"/>
      <c r="AE80" s="25"/>
      <c r="AF80" s="94"/>
      <c r="AG80" s="94"/>
      <c r="AH80" s="94"/>
      <c r="AI80" s="20"/>
    </row>
    <row r="81" customFormat="false" ht="17.35" hidden="false" customHeight="false" outlineLevel="0" collapsed="false">
      <c r="A81" s="48" t="s">
        <v>80</v>
      </c>
      <c r="B81" s="50" t="n">
        <f aca="false">G158</f>
        <v>67730.004</v>
      </c>
      <c r="C81" s="25"/>
      <c r="D81" s="25"/>
      <c r="E81" s="94"/>
      <c r="F81" s="94"/>
      <c r="G81" s="94"/>
      <c r="H81" s="20"/>
      <c r="J81" s="48" t="s">
        <v>80</v>
      </c>
      <c r="K81" s="50" t="n">
        <f aca="false">P158</f>
        <v>37655</v>
      </c>
      <c r="L81" s="25"/>
      <c r="M81" s="25"/>
      <c r="N81" s="94"/>
      <c r="O81" s="94"/>
      <c r="P81" s="94"/>
      <c r="Q81" s="20"/>
      <c r="S81" s="48" t="s">
        <v>80</v>
      </c>
      <c r="T81" s="50" t="n">
        <f aca="false">Y158</f>
        <v>59384.43749</v>
      </c>
      <c r="U81" s="25"/>
      <c r="V81" s="25"/>
      <c r="W81" s="94"/>
      <c r="X81" s="94"/>
      <c r="Y81" s="94"/>
      <c r="Z81" s="20"/>
      <c r="AB81" s="48" t="s">
        <v>80</v>
      </c>
      <c r="AC81" s="50" t="n">
        <f aca="false">AH158</f>
        <v>45468.749</v>
      </c>
      <c r="AD81" s="25"/>
      <c r="AE81" s="25"/>
      <c r="AF81" s="94"/>
      <c r="AG81" s="94"/>
      <c r="AH81" s="94"/>
      <c r="AI81" s="20"/>
    </row>
    <row r="82" customFormat="false" ht="17.35" hidden="false" customHeight="false" outlineLevel="0" collapsed="false">
      <c r="A82" s="55" t="s">
        <v>47</v>
      </c>
      <c r="B82" s="20" t="n">
        <f aca="false">IF(A111 = "YES", A40, 0)</f>
        <v>7200</v>
      </c>
      <c r="C82" s="25"/>
      <c r="D82" s="25"/>
      <c r="E82" s="94"/>
      <c r="F82" s="94"/>
      <c r="G82" s="94"/>
      <c r="H82" s="20"/>
      <c r="J82" s="55" t="s">
        <v>47</v>
      </c>
      <c r="K82" s="20" t="n">
        <f aca="false">IF(J111 = "YES", A40, 0)</f>
        <v>0</v>
      </c>
      <c r="L82" s="25"/>
      <c r="M82" s="25"/>
      <c r="N82" s="94"/>
      <c r="O82" s="94"/>
      <c r="P82" s="94"/>
      <c r="Q82" s="20"/>
      <c r="S82" s="55" t="s">
        <v>47</v>
      </c>
      <c r="T82" s="20" t="n">
        <f aca="false">A40</f>
        <v>7200</v>
      </c>
      <c r="U82" s="25"/>
      <c r="V82" s="25"/>
      <c r="W82" s="94"/>
      <c r="X82" s="94"/>
      <c r="Y82" s="94"/>
      <c r="Z82" s="20"/>
      <c r="AB82" s="55" t="s">
        <v>47</v>
      </c>
      <c r="AC82" s="20" t="n">
        <f aca="false">A40</f>
        <v>7200</v>
      </c>
      <c r="AD82" s="25"/>
      <c r="AE82" s="25"/>
      <c r="AF82" s="94"/>
      <c r="AG82" s="94"/>
      <c r="AH82" s="94"/>
      <c r="AI82" s="20"/>
    </row>
    <row r="83" customFormat="false" ht="17.35" hidden="false" customHeight="false" outlineLevel="0" collapsed="false">
      <c r="A83" s="55" t="s">
        <v>81</v>
      </c>
      <c r="B83" s="103" t="n">
        <f aca="false">B62+B63+B64</f>
        <v>0.115</v>
      </c>
      <c r="C83" s="25"/>
      <c r="D83" s="25"/>
      <c r="E83" s="94"/>
      <c r="F83" s="94"/>
      <c r="G83" s="94"/>
      <c r="H83" s="20"/>
      <c r="J83" s="55" t="s">
        <v>81</v>
      </c>
      <c r="K83" s="103" t="n">
        <f aca="false">K62+K63+K64</f>
        <v>0.24</v>
      </c>
      <c r="L83" s="25"/>
      <c r="M83" s="25"/>
      <c r="N83" s="94"/>
      <c r="O83" s="94"/>
      <c r="P83" s="94"/>
      <c r="Q83" s="20"/>
      <c r="S83" s="55" t="s">
        <v>81</v>
      </c>
      <c r="T83" s="103" t="n">
        <f aca="false">T62+T63+T64</f>
        <v>0.131</v>
      </c>
      <c r="U83" s="25"/>
      <c r="V83" s="25"/>
      <c r="W83" s="94"/>
      <c r="X83" s="94"/>
      <c r="Y83" s="94"/>
      <c r="Z83" s="20"/>
      <c r="AB83" s="55" t="s">
        <v>81</v>
      </c>
      <c r="AC83" s="103" t="n">
        <f aca="false">AC62+AC63+AC64</f>
        <v>0.131</v>
      </c>
      <c r="AD83" s="25"/>
      <c r="AE83" s="25"/>
      <c r="AF83" s="94"/>
      <c r="AG83" s="94"/>
      <c r="AH83" s="94"/>
      <c r="AI83" s="20"/>
    </row>
    <row r="84" customFormat="false" ht="17.35" hidden="false" customHeight="false" outlineLevel="0" collapsed="false">
      <c r="A84" s="55" t="s">
        <v>82</v>
      </c>
      <c r="B84" s="103" t="n">
        <f aca="false">B83/12</f>
        <v>0.00958333333333333</v>
      </c>
      <c r="C84" s="25"/>
      <c r="D84" s="25"/>
      <c r="E84" s="94"/>
      <c r="F84" s="94"/>
      <c r="G84" s="94"/>
      <c r="H84" s="20"/>
      <c r="J84" s="55" t="s">
        <v>82</v>
      </c>
      <c r="K84" s="103" t="n">
        <f aca="false">K83/12</f>
        <v>0.02</v>
      </c>
      <c r="L84" s="25"/>
      <c r="M84" s="25"/>
      <c r="N84" s="94"/>
      <c r="O84" s="94"/>
      <c r="P84" s="94"/>
      <c r="Q84" s="20"/>
      <c r="S84" s="55" t="s">
        <v>82</v>
      </c>
      <c r="T84" s="103" t="n">
        <f aca="false">T83/12</f>
        <v>0.0109166666666667</v>
      </c>
      <c r="U84" s="25"/>
      <c r="V84" s="25"/>
      <c r="W84" s="94"/>
      <c r="X84" s="94"/>
      <c r="Y84" s="94"/>
      <c r="Z84" s="20"/>
      <c r="AB84" s="55" t="s">
        <v>82</v>
      </c>
      <c r="AC84" s="103" t="n">
        <f aca="false">AC83/12</f>
        <v>0.0109166666666667</v>
      </c>
      <c r="AD84" s="25"/>
      <c r="AE84" s="25"/>
      <c r="AF84" s="94"/>
      <c r="AG84" s="94"/>
      <c r="AH84" s="94"/>
      <c r="AI84" s="20"/>
    </row>
    <row r="85" customFormat="false" ht="17.35" hidden="false" customHeight="false" outlineLevel="0" collapsed="false">
      <c r="A85" s="55" t="s">
        <v>83</v>
      </c>
      <c r="B85" s="20" t="n">
        <f aca="false">IF(B82=0, (B59+B58), (B59))</f>
        <v>34</v>
      </c>
      <c r="C85" s="25"/>
      <c r="D85" s="25"/>
      <c r="E85" s="94"/>
      <c r="F85" s="94"/>
      <c r="G85" s="94"/>
      <c r="H85" s="20"/>
      <c r="J85" s="55" t="s">
        <v>83</v>
      </c>
      <c r="K85" s="20" t="n">
        <f aca="false">IF(K82=0, (K59+K58), (K59))</f>
        <v>35</v>
      </c>
      <c r="L85" s="25"/>
      <c r="M85" s="25"/>
      <c r="N85" s="94"/>
      <c r="O85" s="94"/>
      <c r="P85" s="94"/>
      <c r="Q85" s="20"/>
      <c r="S85" s="55" t="s">
        <v>83</v>
      </c>
      <c r="T85" s="20" t="n">
        <f aca="false">T59</f>
        <v>34</v>
      </c>
      <c r="U85" s="25"/>
      <c r="V85" s="25"/>
      <c r="W85" s="94"/>
      <c r="X85" s="94"/>
      <c r="Y85" s="94"/>
      <c r="Z85" s="20"/>
      <c r="AB85" s="55" t="s">
        <v>83</v>
      </c>
      <c r="AC85" s="20" t="n">
        <f aca="false">AC59</f>
        <v>34</v>
      </c>
      <c r="AD85" s="25"/>
      <c r="AE85" s="25"/>
      <c r="AF85" s="94"/>
      <c r="AG85" s="94"/>
      <c r="AH85" s="94"/>
      <c r="AI85" s="20"/>
    </row>
    <row r="86" customFormat="false" ht="17.35" hidden="false" customHeight="false" outlineLevel="0" collapsed="false">
      <c r="A86" s="55" t="s">
        <v>84</v>
      </c>
      <c r="B86" s="20" t="n">
        <f aca="false">(B82/((1+B84)^(B85+1)))</f>
        <v>5156.51709089136</v>
      </c>
      <c r="C86" s="25"/>
      <c r="D86" s="25"/>
      <c r="E86" s="94"/>
      <c r="F86" s="94"/>
      <c r="G86" s="94"/>
      <c r="H86" s="20"/>
      <c r="J86" s="55" t="s">
        <v>84</v>
      </c>
      <c r="K86" s="20" t="n">
        <f aca="false">(K82/((1+K84)^(K85+1)))</f>
        <v>0</v>
      </c>
      <c r="L86" s="25"/>
      <c r="M86" s="25"/>
      <c r="N86" s="94"/>
      <c r="O86" s="94"/>
      <c r="P86" s="94"/>
      <c r="Q86" s="20"/>
      <c r="S86" s="55" t="s">
        <v>84</v>
      </c>
      <c r="T86" s="20" t="n">
        <f aca="false">(T82/((1+T84)^(T85+1)))</f>
        <v>4923.73887574313</v>
      </c>
      <c r="U86" s="25"/>
      <c r="V86" s="25"/>
      <c r="W86" s="94"/>
      <c r="X86" s="94"/>
      <c r="Y86" s="94"/>
      <c r="Z86" s="20"/>
      <c r="AB86" s="55" t="s">
        <v>84</v>
      </c>
      <c r="AC86" s="20" t="n">
        <f aca="false">(AC82/((1+AC84)^(AC85+1)))</f>
        <v>4923.73887574313</v>
      </c>
      <c r="AD86" s="25"/>
      <c r="AE86" s="25"/>
      <c r="AF86" s="94"/>
      <c r="AG86" s="94"/>
      <c r="AH86" s="94"/>
      <c r="AI86" s="20"/>
    </row>
    <row r="87" customFormat="false" ht="17.35" hidden="false" customHeight="false" outlineLevel="0" collapsed="false">
      <c r="A87" s="55" t="s">
        <v>85</v>
      </c>
      <c r="B87" s="20" t="n">
        <f aca="false">((1-(1/((1+B84)^B85)))/B84)</f>
        <v>28.8995114056174</v>
      </c>
      <c r="C87" s="25"/>
      <c r="D87" s="25"/>
      <c r="E87" s="94"/>
      <c r="F87" s="94"/>
      <c r="G87" s="94"/>
      <c r="H87" s="20"/>
      <c r="J87" s="55" t="s">
        <v>85</v>
      </c>
      <c r="K87" s="20" t="n">
        <f aca="false">((1-(1/((1+K84)^K85)))/K84)</f>
        <v>24.9986193320352</v>
      </c>
      <c r="L87" s="25"/>
      <c r="M87" s="25"/>
      <c r="N87" s="94"/>
      <c r="O87" s="94"/>
      <c r="P87" s="94"/>
      <c r="Q87" s="20"/>
      <c r="S87" s="55" t="s">
        <v>85</v>
      </c>
      <c r="T87" s="20" t="n">
        <f aca="false">((1-(1/((1+T84)^T85)))/T84)</f>
        <v>28.2762125724768</v>
      </c>
      <c r="U87" s="25"/>
      <c r="V87" s="25"/>
      <c r="W87" s="94"/>
      <c r="X87" s="94"/>
      <c r="Y87" s="94"/>
      <c r="Z87" s="20"/>
      <c r="AB87" s="55" t="s">
        <v>85</v>
      </c>
      <c r="AC87" s="20" t="n">
        <f aca="false">((1-(1/((1+AC84)^AC85)))/AC84)</f>
        <v>28.2762125724768</v>
      </c>
      <c r="AD87" s="25"/>
      <c r="AE87" s="25"/>
      <c r="AF87" s="94"/>
      <c r="AG87" s="94"/>
      <c r="AH87" s="94"/>
      <c r="AI87" s="20"/>
    </row>
    <row r="88" customFormat="false" ht="17.35" hidden="false" customHeight="false" outlineLevel="0" collapsed="false">
      <c r="A88" s="55" t="s">
        <v>86</v>
      </c>
      <c r="B88" s="20" t="n">
        <f aca="false">B81-B86</f>
        <v>62573.4869091086</v>
      </c>
      <c r="C88" s="25"/>
      <c r="D88" s="25"/>
      <c r="E88" s="94"/>
      <c r="F88" s="94"/>
      <c r="G88" s="94"/>
      <c r="H88" s="20"/>
      <c r="J88" s="55" t="s">
        <v>86</v>
      </c>
      <c r="K88" s="20" t="n">
        <f aca="false">K81-K86</f>
        <v>37655</v>
      </c>
      <c r="L88" s="25"/>
      <c r="M88" s="25"/>
      <c r="N88" s="94"/>
      <c r="O88" s="94"/>
      <c r="P88" s="94"/>
      <c r="Q88" s="20"/>
      <c r="S88" s="55" t="s">
        <v>86</v>
      </c>
      <c r="T88" s="20" t="n">
        <f aca="false">T81-T86</f>
        <v>54460.6986142569</v>
      </c>
      <c r="U88" s="25"/>
      <c r="V88" s="25"/>
      <c r="W88" s="94"/>
      <c r="X88" s="94"/>
      <c r="Y88" s="94"/>
      <c r="Z88" s="20"/>
      <c r="AB88" s="55" t="s">
        <v>86</v>
      </c>
      <c r="AC88" s="20" t="n">
        <f aca="false">AC81-AC86</f>
        <v>40545.0101242569</v>
      </c>
      <c r="AD88" s="25"/>
      <c r="AE88" s="25"/>
      <c r="AF88" s="94"/>
      <c r="AG88" s="94"/>
      <c r="AH88" s="94"/>
      <c r="AI88" s="20"/>
    </row>
    <row r="89" customFormat="false" ht="17.35" hidden="false" customHeight="false" outlineLevel="0" collapsed="false">
      <c r="A89" s="55" t="s">
        <v>87</v>
      </c>
      <c r="B89" s="20" t="n">
        <f aca="false">(B88/B87)</f>
        <v>2165.20916325754</v>
      </c>
      <c r="C89" s="25"/>
      <c r="D89" s="25"/>
      <c r="E89" s="94"/>
      <c r="F89" s="94"/>
      <c r="G89" s="94"/>
      <c r="H89" s="20"/>
      <c r="J89" s="55" t="s">
        <v>87</v>
      </c>
      <c r="K89" s="20" t="n">
        <f aca="false">(K88/K87)</f>
        <v>1506.2831870777</v>
      </c>
      <c r="L89" s="25"/>
      <c r="M89" s="25"/>
      <c r="N89" s="94"/>
      <c r="O89" s="94"/>
      <c r="P89" s="94"/>
      <c r="Q89" s="20"/>
      <c r="S89" s="55" t="s">
        <v>87</v>
      </c>
      <c r="T89" s="20" t="n">
        <f aca="false">(T88/T87)</f>
        <v>1926.02522260238</v>
      </c>
      <c r="U89" s="25"/>
      <c r="V89" s="25"/>
      <c r="W89" s="94"/>
      <c r="X89" s="94"/>
      <c r="Y89" s="94"/>
      <c r="Z89" s="20"/>
      <c r="AB89" s="55" t="s">
        <v>87</v>
      </c>
      <c r="AC89" s="20" t="n">
        <f aca="false">(AC88/AC87)</f>
        <v>1433.89112033067</v>
      </c>
      <c r="AD89" s="25"/>
      <c r="AE89" s="25"/>
      <c r="AF89" s="94"/>
      <c r="AG89" s="94"/>
      <c r="AH89" s="94"/>
      <c r="AI89" s="20"/>
    </row>
    <row r="90" customFormat="false" ht="17.35" hidden="false" customHeight="false" outlineLevel="0" collapsed="false">
      <c r="A90" s="55" t="s">
        <v>88</v>
      </c>
      <c r="B90" s="20" t="n">
        <f aca="false">((B89*(B85))+B77)</f>
        <v>73617.1115507564</v>
      </c>
      <c r="C90" s="25"/>
      <c r="D90" s="25"/>
      <c r="E90" s="94"/>
      <c r="F90" s="94"/>
      <c r="G90" s="94"/>
      <c r="H90" s="20"/>
      <c r="J90" s="55" t="s">
        <v>88</v>
      </c>
      <c r="K90" s="20" t="n">
        <f aca="false">((K89*(K85))+K77)</f>
        <v>52719.9115477193</v>
      </c>
      <c r="L90" s="25"/>
      <c r="M90" s="25"/>
      <c r="N90" s="94"/>
      <c r="O90" s="94"/>
      <c r="P90" s="94"/>
      <c r="Q90" s="20"/>
      <c r="S90" s="55" t="s">
        <v>88</v>
      </c>
      <c r="T90" s="20" t="n">
        <f aca="false">(T89*(T85))+T77</f>
        <v>65484.8575684809</v>
      </c>
      <c r="U90" s="25"/>
      <c r="V90" s="25"/>
      <c r="W90" s="94"/>
      <c r="X90" s="94"/>
      <c r="Y90" s="94"/>
      <c r="Z90" s="20"/>
      <c r="AB90" s="55" t="s">
        <v>88</v>
      </c>
      <c r="AC90" s="20" t="n">
        <f aca="false">(AC89*(AC59))+AC77</f>
        <v>48752.2980912427</v>
      </c>
      <c r="AD90" s="25"/>
      <c r="AE90" s="25"/>
      <c r="AF90" s="94"/>
      <c r="AG90" s="94"/>
      <c r="AH90" s="94"/>
      <c r="AI90" s="20"/>
    </row>
    <row r="91" customFormat="false" ht="17.35" hidden="false" customHeight="false" outlineLevel="0" collapsed="false">
      <c r="A91" s="55" t="s">
        <v>89</v>
      </c>
      <c r="B91" s="20" t="n">
        <f aca="false">(B90/(1-B71))*B71</f>
        <v>0</v>
      </c>
      <c r="C91" s="25"/>
      <c r="D91" s="25"/>
      <c r="E91" s="94"/>
      <c r="F91" s="94"/>
      <c r="G91" s="94"/>
      <c r="H91" s="20"/>
      <c r="J91" s="55" t="s">
        <v>89</v>
      </c>
      <c r="K91" s="20" t="n">
        <f aca="false">(K90/(1-K71))*K71</f>
        <v>0</v>
      </c>
      <c r="L91" s="25"/>
      <c r="M91" s="25"/>
      <c r="N91" s="94"/>
      <c r="O91" s="94"/>
      <c r="P91" s="94"/>
      <c r="Q91" s="20"/>
      <c r="S91" s="55" t="s">
        <v>89</v>
      </c>
      <c r="T91" s="20" t="n">
        <f aca="false">(T90/(1-T71))*T71</f>
        <v>0</v>
      </c>
      <c r="U91" s="25"/>
      <c r="V91" s="25"/>
      <c r="W91" s="94"/>
      <c r="X91" s="94"/>
      <c r="Y91" s="94"/>
      <c r="Z91" s="20"/>
      <c r="AB91" s="55" t="s">
        <v>89</v>
      </c>
      <c r="AC91" s="20" t="n">
        <f aca="false">(AC90/(1-AC71))*AC71</f>
        <v>0</v>
      </c>
      <c r="AD91" s="25"/>
      <c r="AE91" s="25"/>
      <c r="AF91" s="94"/>
      <c r="AG91" s="94"/>
      <c r="AH91" s="94"/>
      <c r="AI91" s="20"/>
    </row>
    <row r="92" customFormat="false" ht="17.35" hidden="false" customHeight="false" outlineLevel="0" collapsed="false">
      <c r="A92" s="74" t="s">
        <v>90</v>
      </c>
      <c r="B92" s="82" t="n">
        <f aca="false">(B90+B91)</f>
        <v>73617.1115507564</v>
      </c>
      <c r="C92" s="25"/>
      <c r="D92" s="25"/>
      <c r="E92" s="94"/>
      <c r="F92" s="94"/>
      <c r="G92" s="94"/>
      <c r="H92" s="20"/>
      <c r="J92" s="74" t="s">
        <v>90</v>
      </c>
      <c r="K92" s="82" t="n">
        <f aca="false">(K90+K91)</f>
        <v>52719.9115477193</v>
      </c>
      <c r="L92" s="25"/>
      <c r="M92" s="25"/>
      <c r="N92" s="94"/>
      <c r="O92" s="94"/>
      <c r="P92" s="94"/>
      <c r="Q92" s="20"/>
      <c r="S92" s="74" t="s">
        <v>90</v>
      </c>
      <c r="T92" s="82" t="n">
        <f aca="false">(T90+T91)</f>
        <v>65484.8575684809</v>
      </c>
      <c r="U92" s="25"/>
      <c r="V92" s="25"/>
      <c r="W92" s="94"/>
      <c r="X92" s="94"/>
      <c r="Y92" s="94"/>
      <c r="Z92" s="20"/>
      <c r="AB92" s="74" t="s">
        <v>90</v>
      </c>
      <c r="AC92" s="82" t="n">
        <f aca="false">(AC90+AC91)</f>
        <v>48752.2980912427</v>
      </c>
      <c r="AD92" s="25"/>
      <c r="AE92" s="25"/>
      <c r="AF92" s="94"/>
      <c r="AG92" s="94"/>
      <c r="AH92" s="94"/>
      <c r="AI92" s="20"/>
    </row>
    <row r="93" customFormat="false" ht="17.35" hidden="false" customHeight="false" outlineLevel="0" collapsed="false">
      <c r="A93" s="55"/>
      <c r="B93" s="25"/>
      <c r="C93" s="25"/>
      <c r="D93" s="25"/>
      <c r="E93" s="94"/>
      <c r="F93" s="94"/>
      <c r="G93" s="94"/>
      <c r="H93" s="20"/>
      <c r="J93" s="55"/>
      <c r="K93" s="25"/>
      <c r="L93" s="25"/>
      <c r="M93" s="25"/>
      <c r="N93" s="94"/>
      <c r="O93" s="94"/>
      <c r="P93" s="94"/>
      <c r="Q93" s="20"/>
      <c r="S93" s="55"/>
      <c r="T93" s="25"/>
      <c r="U93" s="25"/>
      <c r="V93" s="25"/>
      <c r="W93" s="94"/>
      <c r="X93" s="94"/>
      <c r="Y93" s="94"/>
      <c r="Z93" s="20"/>
      <c r="AB93" s="55"/>
      <c r="AC93" s="25"/>
      <c r="AD93" s="25"/>
      <c r="AE93" s="25"/>
      <c r="AF93" s="94"/>
      <c r="AG93" s="94"/>
      <c r="AH93" s="94"/>
      <c r="AI93" s="20"/>
    </row>
    <row r="94" customFormat="false" ht="17.35" hidden="false" customHeight="false" outlineLevel="0" collapsed="false">
      <c r="A94" s="107" t="s">
        <v>91</v>
      </c>
      <c r="B94" s="108" t="n">
        <f aca="false">IF(B26="YES",((E40/B85)*(1+A108)*1.2),"0")</f>
        <v>86.0592352941177</v>
      </c>
      <c r="C94" s="25"/>
      <c r="D94" s="25"/>
      <c r="E94" s="94"/>
      <c r="F94" s="94"/>
      <c r="G94" s="94"/>
      <c r="H94" s="20"/>
      <c r="J94" s="107" t="s">
        <v>91</v>
      </c>
      <c r="K94" s="108" t="n">
        <f aca="false">((E40/K85)*(1+J108))*1.2</f>
        <v>83.6004</v>
      </c>
      <c r="L94" s="25"/>
      <c r="M94" s="25"/>
      <c r="N94" s="94"/>
      <c r="O94" s="94"/>
      <c r="P94" s="94"/>
      <c r="Q94" s="20"/>
      <c r="S94" s="107" t="s">
        <v>91</v>
      </c>
      <c r="T94" s="108" t="n">
        <f aca="false">((E40/T85)*(1+S108))</f>
        <v>66.1994117647059</v>
      </c>
      <c r="U94" s="25"/>
      <c r="V94" s="25"/>
      <c r="W94" s="94"/>
      <c r="X94" s="94"/>
      <c r="Y94" s="94"/>
      <c r="Z94" s="20"/>
      <c r="AB94" s="107" t="s">
        <v>91</v>
      </c>
      <c r="AC94" s="108" t="n">
        <f aca="false">((E40/AC85)*(1+AB108))*1.2</f>
        <v>79.4392941176471</v>
      </c>
      <c r="AD94" s="25"/>
      <c r="AE94" s="25"/>
      <c r="AF94" s="94"/>
      <c r="AG94" s="94"/>
      <c r="AH94" s="94"/>
      <c r="AI94" s="20"/>
    </row>
    <row r="95" customFormat="false" ht="17.35" hidden="false" customHeight="false" outlineLevel="0" collapsed="false">
      <c r="A95" s="112" t="s">
        <v>92</v>
      </c>
      <c r="B95" s="113" t="n">
        <f aca="false">B92/(B85)</f>
        <v>2165.20916325754</v>
      </c>
      <c r="C95" s="25"/>
      <c r="D95" s="25"/>
      <c r="E95" s="94"/>
      <c r="F95" s="94"/>
      <c r="G95" s="94"/>
      <c r="H95" s="20"/>
      <c r="J95" s="112" t="s">
        <v>92</v>
      </c>
      <c r="K95" s="113" t="n">
        <f aca="false">K92/(K85)</f>
        <v>1506.2831870777</v>
      </c>
      <c r="L95" s="25"/>
      <c r="M95" s="25"/>
      <c r="N95" s="94"/>
      <c r="O95" s="94"/>
      <c r="P95" s="94"/>
      <c r="Q95" s="20"/>
      <c r="S95" s="112" t="s">
        <v>92</v>
      </c>
      <c r="T95" s="113" t="n">
        <f aca="false">T92/(T85)</f>
        <v>1926.02522260238</v>
      </c>
      <c r="U95" s="25"/>
      <c r="V95" s="25"/>
      <c r="W95" s="94"/>
      <c r="X95" s="94"/>
      <c r="Y95" s="94"/>
      <c r="Z95" s="20"/>
      <c r="AB95" s="112" t="s">
        <v>92</v>
      </c>
      <c r="AC95" s="113" t="n">
        <f aca="false">AC92/(AC59)</f>
        <v>1433.89112033067</v>
      </c>
      <c r="AD95" s="25"/>
      <c r="AE95" s="25"/>
      <c r="AF95" s="94"/>
      <c r="AG95" s="94"/>
      <c r="AH95" s="94"/>
      <c r="AI95" s="20"/>
    </row>
    <row r="96" customFormat="false" ht="17.35" hidden="false" customHeight="false" outlineLevel="0" collapsed="false">
      <c r="A96" s="114" t="s">
        <v>93</v>
      </c>
      <c r="B96" s="115" t="n">
        <f aca="false">(B94+B95)</f>
        <v>2251.26839855166</v>
      </c>
      <c r="C96" s="25"/>
      <c r="D96" s="25"/>
      <c r="E96" s="94"/>
      <c r="F96" s="94"/>
      <c r="G96" s="94"/>
      <c r="H96" s="20"/>
      <c r="J96" s="114" t="s">
        <v>93</v>
      </c>
      <c r="K96" s="115" t="n">
        <f aca="false">(K94+K95)</f>
        <v>1589.8835870777</v>
      </c>
      <c r="L96" s="25"/>
      <c r="M96" s="25"/>
      <c r="N96" s="94"/>
      <c r="O96" s="94"/>
      <c r="P96" s="94"/>
      <c r="Q96" s="20"/>
      <c r="S96" s="114" t="s">
        <v>93</v>
      </c>
      <c r="T96" s="115" t="n">
        <f aca="false">T94+T95</f>
        <v>1992.22463436709</v>
      </c>
      <c r="U96" s="25"/>
      <c r="V96" s="25"/>
      <c r="W96" s="94"/>
      <c r="X96" s="94"/>
      <c r="Y96" s="94"/>
      <c r="Z96" s="20"/>
      <c r="AB96" s="114" t="s">
        <v>93</v>
      </c>
      <c r="AC96" s="115" t="n">
        <f aca="false">AC94+AC95</f>
        <v>1513.33041444831</v>
      </c>
      <c r="AD96" s="25"/>
      <c r="AE96" s="25"/>
      <c r="AF96" s="94"/>
      <c r="AG96" s="94"/>
      <c r="AH96" s="94"/>
      <c r="AI96" s="20"/>
    </row>
    <row r="97" customFormat="false" ht="17.35" hidden="false" customHeight="false" outlineLevel="0" collapsed="false">
      <c r="A97" s="74"/>
      <c r="B97" s="75"/>
      <c r="C97" s="75"/>
      <c r="D97" s="75"/>
      <c r="E97" s="116"/>
      <c r="F97" s="116"/>
      <c r="G97" s="116"/>
      <c r="H97" s="82"/>
      <c r="J97" s="74"/>
      <c r="K97" s="75"/>
      <c r="L97" s="75"/>
      <c r="M97" s="75"/>
      <c r="N97" s="116"/>
      <c r="O97" s="116"/>
      <c r="P97" s="116"/>
      <c r="Q97" s="82"/>
      <c r="S97" s="74"/>
      <c r="T97" s="75"/>
      <c r="U97" s="75"/>
      <c r="V97" s="75"/>
      <c r="W97" s="116"/>
      <c r="X97" s="116"/>
      <c r="Y97" s="116"/>
      <c r="Z97" s="82"/>
      <c r="AB97" s="74"/>
      <c r="AC97" s="75"/>
      <c r="AD97" s="75"/>
      <c r="AE97" s="75"/>
      <c r="AF97" s="116"/>
      <c r="AG97" s="116"/>
      <c r="AH97" s="116"/>
      <c r="AI97" s="82"/>
    </row>
    <row r="98" customFormat="false" ht="13.8" hidden="false" customHeight="false" outlineLevel="0" collapsed="false">
      <c r="A98" s="45"/>
      <c r="B98" s="45"/>
      <c r="C98" s="45"/>
      <c r="D98" s="45"/>
      <c r="E98" s="45"/>
      <c r="F98" s="45"/>
      <c r="G98" s="45"/>
      <c r="H98" s="45"/>
      <c r="J98" s="45"/>
      <c r="K98" s="45"/>
      <c r="L98" s="45"/>
      <c r="M98" s="45"/>
      <c r="N98" s="45"/>
      <c r="O98" s="45"/>
      <c r="P98" s="45"/>
      <c r="Q98" s="45"/>
      <c r="S98" s="45"/>
      <c r="T98" s="45"/>
      <c r="U98" s="45"/>
      <c r="V98" s="45"/>
      <c r="W98" s="45"/>
      <c r="X98" s="45"/>
      <c r="Y98" s="45"/>
      <c r="Z98" s="45"/>
      <c r="AB98" s="45"/>
      <c r="AC98" s="45"/>
      <c r="AD98" s="45"/>
      <c r="AE98" s="45"/>
      <c r="AF98" s="45"/>
      <c r="AG98" s="45"/>
      <c r="AH98" s="45"/>
      <c r="AI98" s="45"/>
    </row>
    <row r="99" customFormat="false" ht="13.8" hidden="false" customHeight="false" outlineLevel="0" collapsed="false">
      <c r="A99" s="45"/>
      <c r="B99" s="45"/>
      <c r="C99" s="45"/>
      <c r="D99" s="45"/>
      <c r="E99" s="45"/>
      <c r="F99" s="45"/>
      <c r="G99" s="45"/>
      <c r="H99" s="45"/>
      <c r="J99" s="45"/>
      <c r="K99" s="45"/>
      <c r="L99" s="45"/>
      <c r="M99" s="45"/>
      <c r="N99" s="45"/>
      <c r="O99" s="45"/>
      <c r="P99" s="45"/>
      <c r="Q99" s="45"/>
      <c r="S99" s="45"/>
      <c r="T99" s="45"/>
      <c r="U99" s="45"/>
      <c r="V99" s="45"/>
      <c r="W99" s="45"/>
      <c r="X99" s="45"/>
      <c r="Y99" s="45"/>
      <c r="Z99" s="45"/>
      <c r="AB99" s="45"/>
      <c r="AC99" s="45"/>
      <c r="AD99" s="45"/>
      <c r="AE99" s="45"/>
      <c r="AF99" s="45"/>
      <c r="AG99" s="45"/>
      <c r="AH99" s="45"/>
      <c r="AI99" s="45"/>
    </row>
    <row r="100" customFormat="false" ht="47.25" hidden="false" customHeight="true" outlineLevel="0" collapsed="false">
      <c r="A100" s="4" t="s">
        <v>95</v>
      </c>
      <c r="B100" s="4"/>
      <c r="C100" s="4"/>
      <c r="D100" s="4"/>
      <c r="E100" s="4"/>
      <c r="F100" s="4"/>
      <c r="G100" s="4"/>
      <c r="H100" s="4"/>
      <c r="J100" s="4" t="s">
        <v>95</v>
      </c>
      <c r="K100" s="4"/>
      <c r="L100" s="4"/>
      <c r="M100" s="4"/>
      <c r="N100" s="4"/>
      <c r="O100" s="4"/>
      <c r="P100" s="4"/>
      <c r="Q100" s="4"/>
      <c r="S100" s="4" t="s">
        <v>96</v>
      </c>
      <c r="T100" s="4"/>
      <c r="U100" s="4"/>
      <c r="V100" s="4"/>
      <c r="W100" s="4"/>
      <c r="X100" s="4"/>
      <c r="Y100" s="4"/>
      <c r="Z100" s="4"/>
      <c r="AB100" s="4" t="s">
        <v>97</v>
      </c>
      <c r="AC100" s="4"/>
      <c r="AD100" s="4"/>
      <c r="AE100" s="4"/>
      <c r="AF100" s="4"/>
      <c r="AG100" s="4"/>
      <c r="AH100" s="4"/>
      <c r="AI100" s="4"/>
    </row>
    <row r="101" customFormat="false" ht="17.35" hidden="false" customHeight="false" outlineLevel="0" collapsed="false">
      <c r="A101" s="48"/>
      <c r="B101" s="49"/>
      <c r="C101" s="49"/>
      <c r="D101" s="49"/>
      <c r="E101" s="93"/>
      <c r="F101" s="93"/>
      <c r="G101" s="93"/>
      <c r="H101" s="117"/>
      <c r="J101" s="48"/>
      <c r="K101" s="49"/>
      <c r="L101" s="49"/>
      <c r="M101" s="49"/>
      <c r="N101" s="93"/>
      <c r="O101" s="93"/>
      <c r="P101" s="93"/>
      <c r="Q101" s="117"/>
      <c r="S101" s="48"/>
      <c r="T101" s="49"/>
      <c r="U101" s="49"/>
      <c r="V101" s="49"/>
      <c r="W101" s="93"/>
      <c r="X101" s="93"/>
      <c r="Y101" s="93"/>
      <c r="Z101" s="117"/>
      <c r="AB101" s="48"/>
      <c r="AC101" s="49"/>
      <c r="AD101" s="49"/>
      <c r="AE101" s="49"/>
      <c r="AF101" s="93"/>
      <c r="AG101" s="93"/>
      <c r="AH101" s="93"/>
      <c r="AI101" s="117"/>
    </row>
    <row r="102" customFormat="false" ht="22.05" hidden="false" customHeight="false" outlineLevel="0" collapsed="false">
      <c r="A102" s="58" t="s">
        <v>26</v>
      </c>
      <c r="B102" s="58"/>
      <c r="C102" s="58"/>
      <c r="D102" s="58"/>
      <c r="E102" s="58"/>
      <c r="F102" s="58"/>
      <c r="G102" s="58"/>
      <c r="H102" s="58"/>
      <c r="J102" s="58" t="s">
        <v>26</v>
      </c>
      <c r="K102" s="58"/>
      <c r="L102" s="58"/>
      <c r="M102" s="58"/>
      <c r="N102" s="58"/>
      <c r="O102" s="58"/>
      <c r="P102" s="58"/>
      <c r="Q102" s="58"/>
      <c r="S102" s="58" t="s">
        <v>26</v>
      </c>
      <c r="T102" s="58"/>
      <c r="U102" s="58"/>
      <c r="V102" s="58"/>
      <c r="W102" s="58"/>
      <c r="X102" s="58"/>
      <c r="Y102" s="58"/>
      <c r="Z102" s="58"/>
      <c r="AB102" s="58" t="s">
        <v>26</v>
      </c>
      <c r="AC102" s="58"/>
      <c r="AD102" s="58"/>
      <c r="AE102" s="58"/>
      <c r="AF102" s="58"/>
      <c r="AG102" s="58"/>
      <c r="AH102" s="58"/>
      <c r="AI102" s="58"/>
    </row>
    <row r="103" customFormat="false" ht="17.35" hidden="false" customHeight="false" outlineLevel="0" collapsed="false">
      <c r="A103" s="55"/>
      <c r="B103" s="25"/>
      <c r="C103" s="25"/>
      <c r="D103" s="25"/>
      <c r="E103" s="94"/>
      <c r="F103" s="94"/>
      <c r="G103" s="94"/>
      <c r="H103" s="118"/>
      <c r="J103" s="55"/>
      <c r="K103" s="25"/>
      <c r="L103" s="25"/>
      <c r="M103" s="25"/>
      <c r="N103" s="94"/>
      <c r="O103" s="94"/>
      <c r="P103" s="94"/>
      <c r="Q103" s="118"/>
      <c r="S103" s="55"/>
      <c r="T103" s="25"/>
      <c r="U103" s="25"/>
      <c r="V103" s="25"/>
      <c r="W103" s="94"/>
      <c r="X103" s="94"/>
      <c r="Y103" s="94"/>
      <c r="Z103" s="118"/>
      <c r="AB103" s="55"/>
      <c r="AC103" s="25"/>
      <c r="AD103" s="25"/>
      <c r="AE103" s="25"/>
      <c r="AF103" s="94"/>
      <c r="AG103" s="94"/>
      <c r="AH103" s="94"/>
      <c r="AI103" s="118"/>
    </row>
    <row r="104" customFormat="false" ht="17.35" hidden="false" customHeight="false" outlineLevel="0" collapsed="false">
      <c r="A104" s="55" t="s">
        <v>98</v>
      </c>
      <c r="B104" s="25" t="s">
        <v>23</v>
      </c>
      <c r="C104" s="25"/>
      <c r="D104" s="25"/>
      <c r="E104" s="25" t="s">
        <v>22</v>
      </c>
      <c r="F104" s="25"/>
      <c r="G104" s="25"/>
      <c r="H104" s="20"/>
      <c r="J104" s="55" t="s">
        <v>98</v>
      </c>
      <c r="K104" s="25" t="s">
        <v>23</v>
      </c>
      <c r="L104" s="25"/>
      <c r="M104" s="25"/>
      <c r="N104" s="25" t="s">
        <v>22</v>
      </c>
      <c r="O104" s="25"/>
      <c r="P104" s="25"/>
      <c r="Q104" s="20"/>
      <c r="S104" s="55" t="s">
        <v>98</v>
      </c>
      <c r="T104" s="25" t="s">
        <v>23</v>
      </c>
      <c r="U104" s="25"/>
      <c r="V104" s="25"/>
      <c r="W104" s="25" t="s">
        <v>22</v>
      </c>
      <c r="X104" s="25"/>
      <c r="Y104" s="25"/>
      <c r="Z104" s="20"/>
      <c r="AB104" s="55" t="s">
        <v>98</v>
      </c>
      <c r="AC104" s="25" t="s">
        <v>23</v>
      </c>
      <c r="AD104" s="25"/>
      <c r="AE104" s="25"/>
      <c r="AF104" s="25" t="s">
        <v>22</v>
      </c>
      <c r="AG104" s="25"/>
      <c r="AH104" s="25"/>
      <c r="AI104" s="20"/>
    </row>
    <row r="105" customFormat="false" ht="17.35" hidden="false" customHeight="false" outlineLevel="0" collapsed="false">
      <c r="A105" s="51" t="s">
        <v>99</v>
      </c>
      <c r="B105" s="37" t="s">
        <v>100</v>
      </c>
      <c r="C105" s="37"/>
      <c r="D105" s="37"/>
      <c r="E105" s="60" t="s">
        <v>9</v>
      </c>
      <c r="F105" s="60"/>
      <c r="G105" s="60"/>
      <c r="H105" s="118"/>
      <c r="J105" s="51" t="s">
        <v>99</v>
      </c>
      <c r="K105" s="37" t="s">
        <v>100</v>
      </c>
      <c r="L105" s="37"/>
      <c r="M105" s="37"/>
      <c r="N105" s="60" t="s">
        <v>9</v>
      </c>
      <c r="O105" s="60"/>
      <c r="P105" s="60"/>
      <c r="Q105" s="118"/>
      <c r="S105" s="51" t="s">
        <v>99</v>
      </c>
      <c r="T105" s="37" t="s">
        <v>100</v>
      </c>
      <c r="U105" s="37"/>
      <c r="V105" s="37"/>
      <c r="W105" s="60" t="s">
        <v>9</v>
      </c>
      <c r="X105" s="60"/>
      <c r="Y105" s="60"/>
      <c r="Z105" s="118"/>
      <c r="AB105" s="51" t="s">
        <v>99</v>
      </c>
      <c r="AC105" s="37" t="s">
        <v>100</v>
      </c>
      <c r="AD105" s="37"/>
      <c r="AE105" s="37"/>
      <c r="AF105" s="60" t="s">
        <v>9</v>
      </c>
      <c r="AG105" s="60"/>
      <c r="AH105" s="60"/>
      <c r="AI105" s="118"/>
    </row>
    <row r="106" customFormat="false" ht="17.35" hidden="false" customHeight="false" outlineLevel="0" collapsed="false">
      <c r="A106" s="55"/>
      <c r="B106" s="25"/>
      <c r="C106" s="25"/>
      <c r="D106" s="94"/>
      <c r="E106" s="25"/>
      <c r="F106" s="25"/>
      <c r="G106" s="94"/>
      <c r="H106" s="20"/>
      <c r="J106" s="55"/>
      <c r="K106" s="25"/>
      <c r="L106" s="25"/>
      <c r="M106" s="94"/>
      <c r="N106" s="25"/>
      <c r="O106" s="25"/>
      <c r="P106" s="94"/>
      <c r="Q106" s="20"/>
      <c r="S106" s="55"/>
      <c r="T106" s="25"/>
      <c r="U106" s="25"/>
      <c r="V106" s="94"/>
      <c r="W106" s="25"/>
      <c r="X106" s="25"/>
      <c r="Y106" s="94"/>
      <c r="Z106" s="20"/>
      <c r="AB106" s="55"/>
      <c r="AC106" s="25"/>
      <c r="AD106" s="25"/>
      <c r="AE106" s="94"/>
      <c r="AF106" s="25"/>
      <c r="AG106" s="25"/>
      <c r="AH106" s="94"/>
      <c r="AI106" s="20"/>
    </row>
    <row r="107" customFormat="false" ht="17.35" hidden="false" customHeight="false" outlineLevel="0" collapsed="false">
      <c r="A107" s="55" t="s">
        <v>101</v>
      </c>
      <c r="B107" s="25" t="s">
        <v>102</v>
      </c>
      <c r="C107" s="25"/>
      <c r="D107" s="94"/>
      <c r="E107" s="25" t="s">
        <v>103</v>
      </c>
      <c r="F107" s="25"/>
      <c r="G107" s="94"/>
      <c r="H107" s="118"/>
      <c r="J107" s="55" t="s">
        <v>101</v>
      </c>
      <c r="K107" s="25" t="s">
        <v>102</v>
      </c>
      <c r="L107" s="25"/>
      <c r="M107" s="94"/>
      <c r="N107" s="25" t="s">
        <v>103</v>
      </c>
      <c r="O107" s="25"/>
      <c r="P107" s="94"/>
      <c r="Q107" s="118"/>
      <c r="S107" s="55" t="s">
        <v>101</v>
      </c>
      <c r="T107" s="25" t="s">
        <v>102</v>
      </c>
      <c r="U107" s="25"/>
      <c r="V107" s="94"/>
      <c r="W107" s="25" t="s">
        <v>103</v>
      </c>
      <c r="X107" s="25"/>
      <c r="Y107" s="94"/>
      <c r="Z107" s="118"/>
      <c r="AB107" s="55" t="s">
        <v>101</v>
      </c>
      <c r="AC107" s="25" t="s">
        <v>102</v>
      </c>
      <c r="AD107" s="25"/>
      <c r="AE107" s="94"/>
      <c r="AF107" s="25" t="s">
        <v>103</v>
      </c>
      <c r="AG107" s="25"/>
      <c r="AH107" s="94"/>
      <c r="AI107" s="118"/>
    </row>
    <row r="108" customFormat="false" ht="17.35" hidden="false" customHeight="false" outlineLevel="0" collapsed="false">
      <c r="A108" s="120" t="n">
        <v>0.3</v>
      </c>
      <c r="B108" s="72" t="s">
        <v>375</v>
      </c>
      <c r="C108" s="72"/>
      <c r="D108" s="72"/>
      <c r="E108" s="121" t="n">
        <f aca="false">B83</f>
        <v>0.115</v>
      </c>
      <c r="F108" s="121"/>
      <c r="G108" s="121"/>
      <c r="H108" s="65"/>
      <c r="J108" s="120" t="n">
        <v>0.3</v>
      </c>
      <c r="K108" s="72" t="s">
        <v>104</v>
      </c>
      <c r="L108" s="72"/>
      <c r="M108" s="72"/>
      <c r="N108" s="121" t="n">
        <f aca="false">K83</f>
        <v>0.24</v>
      </c>
      <c r="O108" s="121"/>
      <c r="P108" s="121"/>
      <c r="Q108" s="65"/>
      <c r="S108" s="120" t="n">
        <v>0.2</v>
      </c>
      <c r="T108" s="72" t="s">
        <v>105</v>
      </c>
      <c r="U108" s="72"/>
      <c r="V108" s="72"/>
      <c r="W108" s="121" t="n">
        <f aca="false">T83</f>
        <v>0.131</v>
      </c>
      <c r="X108" s="121"/>
      <c r="Y108" s="121"/>
      <c r="Z108" s="65"/>
      <c r="AB108" s="120" t="n">
        <v>0.2</v>
      </c>
      <c r="AC108" s="72" t="s">
        <v>105</v>
      </c>
      <c r="AD108" s="72"/>
      <c r="AE108" s="72"/>
      <c r="AF108" s="122" t="n">
        <f aca="false">AC83</f>
        <v>0.131</v>
      </c>
      <c r="AG108" s="122"/>
      <c r="AH108" s="122"/>
      <c r="AI108" s="65"/>
      <c r="AP108" s="1" t="s">
        <v>106</v>
      </c>
    </row>
    <row r="109" customFormat="false" ht="17.35" hidden="false" customHeight="false" outlineLevel="0" collapsed="false">
      <c r="A109" s="55"/>
      <c r="B109" s="25"/>
      <c r="C109" s="25"/>
      <c r="D109" s="25"/>
      <c r="E109" s="25"/>
      <c r="F109" s="25"/>
      <c r="G109" s="25"/>
      <c r="H109" s="20"/>
      <c r="J109" s="55"/>
      <c r="K109" s="25"/>
      <c r="L109" s="25"/>
      <c r="M109" s="25"/>
      <c r="N109" s="25"/>
      <c r="O109" s="25"/>
      <c r="P109" s="25"/>
      <c r="Q109" s="20"/>
      <c r="S109" s="55"/>
      <c r="T109" s="25"/>
      <c r="U109" s="25"/>
      <c r="V109" s="25"/>
      <c r="W109" s="25"/>
      <c r="X109" s="25"/>
      <c r="Y109" s="25"/>
      <c r="Z109" s="20"/>
      <c r="AB109" s="55"/>
      <c r="AC109" s="25"/>
      <c r="AD109" s="25"/>
      <c r="AE109" s="25"/>
      <c r="AF109" s="25"/>
      <c r="AG109" s="25"/>
      <c r="AH109" s="25"/>
      <c r="AI109" s="20"/>
      <c r="AP109" s="1" t="s">
        <v>104</v>
      </c>
    </row>
    <row r="110" customFormat="false" ht="17.35" hidden="false" customHeight="false" outlineLevel="0" collapsed="false">
      <c r="A110" s="55" t="s">
        <v>107</v>
      </c>
      <c r="B110" s="25" t="s">
        <v>108</v>
      </c>
      <c r="C110" s="25"/>
      <c r="D110" s="25"/>
      <c r="E110" s="25" t="s">
        <v>109</v>
      </c>
      <c r="F110" s="25"/>
      <c r="G110" s="25"/>
      <c r="H110" s="20"/>
      <c r="J110" s="55" t="s">
        <v>107</v>
      </c>
      <c r="K110" s="25" t="s">
        <v>108</v>
      </c>
      <c r="L110" s="25"/>
      <c r="M110" s="25"/>
      <c r="N110" s="25" t="s">
        <v>109</v>
      </c>
      <c r="O110" s="25"/>
      <c r="P110" s="25"/>
      <c r="Q110" s="20"/>
      <c r="S110" s="55" t="s">
        <v>107</v>
      </c>
      <c r="T110" s="25" t="s">
        <v>108</v>
      </c>
      <c r="U110" s="25"/>
      <c r="V110" s="25"/>
      <c r="W110" s="25" t="s">
        <v>109</v>
      </c>
      <c r="X110" s="25"/>
      <c r="Y110" s="25"/>
      <c r="Z110" s="20"/>
      <c r="AB110" s="55" t="s">
        <v>107</v>
      </c>
      <c r="AC110" s="25" t="s">
        <v>108</v>
      </c>
      <c r="AD110" s="25"/>
      <c r="AE110" s="25"/>
      <c r="AF110" s="25" t="s">
        <v>109</v>
      </c>
      <c r="AG110" s="25"/>
      <c r="AH110" s="25"/>
      <c r="AI110" s="20"/>
    </row>
    <row r="111" customFormat="false" ht="17.35" hidden="false" customHeight="false" outlineLevel="0" collapsed="false">
      <c r="A111" s="52" t="s">
        <v>9</v>
      </c>
      <c r="B111" s="72" t="n">
        <v>1000</v>
      </c>
      <c r="C111" s="72"/>
      <c r="D111" s="72"/>
      <c r="E111" s="72" t="n">
        <v>1000</v>
      </c>
      <c r="F111" s="72"/>
      <c r="G111" s="72"/>
      <c r="H111" s="118"/>
      <c r="J111" s="52" t="s">
        <v>10</v>
      </c>
      <c r="K111" s="72" t="n">
        <v>1000</v>
      </c>
      <c r="L111" s="72"/>
      <c r="M111" s="72"/>
      <c r="N111" s="72" t="n">
        <v>0</v>
      </c>
      <c r="O111" s="72"/>
      <c r="P111" s="72"/>
      <c r="Q111" s="118"/>
      <c r="S111" s="52" t="s">
        <v>9</v>
      </c>
      <c r="T111" s="72" t="n">
        <v>1000</v>
      </c>
      <c r="U111" s="72"/>
      <c r="V111" s="72"/>
      <c r="W111" s="72" t="n">
        <v>0</v>
      </c>
      <c r="X111" s="72"/>
      <c r="Y111" s="72"/>
      <c r="Z111" s="118"/>
      <c r="AB111" s="52" t="s">
        <v>9</v>
      </c>
      <c r="AC111" s="72" t="n">
        <v>1000</v>
      </c>
      <c r="AD111" s="72"/>
      <c r="AE111" s="72"/>
      <c r="AF111" s="72" t="n">
        <v>0</v>
      </c>
      <c r="AG111" s="72"/>
      <c r="AH111" s="72"/>
      <c r="AI111" s="118"/>
    </row>
    <row r="112" customFormat="false" ht="17.35" hidden="false" customHeight="false" outlineLevel="0" collapsed="false">
      <c r="A112" s="55"/>
      <c r="B112" s="25"/>
      <c r="C112" s="25"/>
      <c r="D112" s="25"/>
      <c r="E112" s="25"/>
      <c r="F112" s="25"/>
      <c r="G112" s="94"/>
      <c r="H112" s="118"/>
      <c r="J112" s="55"/>
      <c r="K112" s="25"/>
      <c r="L112" s="25"/>
      <c r="M112" s="25"/>
      <c r="N112" s="25"/>
      <c r="O112" s="25"/>
      <c r="P112" s="94"/>
      <c r="Q112" s="118"/>
      <c r="S112" s="55"/>
      <c r="T112" s="25"/>
      <c r="U112" s="25"/>
      <c r="V112" s="25"/>
      <c r="W112" s="25"/>
      <c r="X112" s="25"/>
      <c r="Y112" s="94"/>
      <c r="Z112" s="118"/>
      <c r="AB112" s="55"/>
      <c r="AC112" s="25"/>
      <c r="AD112" s="25"/>
      <c r="AE112" s="25"/>
      <c r="AF112" s="25"/>
      <c r="AG112" s="25"/>
      <c r="AH112" s="94"/>
      <c r="AI112" s="118"/>
    </row>
    <row r="113" customFormat="false" ht="17.35" hidden="false" customHeight="false" outlineLevel="0" collapsed="false">
      <c r="A113" s="123" t="s">
        <v>110</v>
      </c>
      <c r="B113" s="25" t="s">
        <v>111</v>
      </c>
      <c r="C113" s="25"/>
      <c r="D113" s="25"/>
      <c r="E113" s="25" t="s">
        <v>112</v>
      </c>
      <c r="F113" s="25"/>
      <c r="G113" s="94"/>
      <c r="H113" s="118"/>
      <c r="J113" s="123" t="s">
        <v>110</v>
      </c>
      <c r="K113" s="25" t="s">
        <v>111</v>
      </c>
      <c r="L113" s="25"/>
      <c r="M113" s="25"/>
      <c r="N113" s="25" t="s">
        <v>112</v>
      </c>
      <c r="O113" s="25"/>
      <c r="P113" s="94"/>
      <c r="Q113" s="118"/>
      <c r="S113" s="123" t="s">
        <v>110</v>
      </c>
      <c r="T113" s="25" t="s">
        <v>111</v>
      </c>
      <c r="U113" s="25"/>
      <c r="V113" s="25"/>
      <c r="W113" s="25" t="s">
        <v>112</v>
      </c>
      <c r="X113" s="25"/>
      <c r="Y113" s="94"/>
      <c r="Z113" s="118"/>
      <c r="AB113" s="123" t="s">
        <v>110</v>
      </c>
      <c r="AC113" s="25" t="s">
        <v>111</v>
      </c>
      <c r="AD113" s="25"/>
      <c r="AE113" s="25"/>
      <c r="AF113" s="25" t="s">
        <v>112</v>
      </c>
      <c r="AG113" s="25"/>
      <c r="AH113" s="94"/>
      <c r="AI113" s="118"/>
    </row>
    <row r="114" customFormat="false" ht="17.35" hidden="false" customHeight="false" outlineLevel="0" collapsed="false">
      <c r="A114" s="70" t="n">
        <f aca="false">B111+E111</f>
        <v>2000</v>
      </c>
      <c r="B114" s="72" t="s">
        <v>113</v>
      </c>
      <c r="C114" s="72"/>
      <c r="D114" s="72"/>
      <c r="E114" s="72" t="n">
        <v>0</v>
      </c>
      <c r="F114" s="72"/>
      <c r="G114" s="72"/>
      <c r="H114" s="118"/>
      <c r="J114" s="70" t="n">
        <f aca="false">K111+N111</f>
        <v>1000</v>
      </c>
      <c r="K114" s="72" t="n">
        <v>239.99</v>
      </c>
      <c r="L114" s="72"/>
      <c r="M114" s="72"/>
      <c r="N114" s="72" t="n">
        <v>0</v>
      </c>
      <c r="O114" s="72"/>
      <c r="P114" s="72"/>
      <c r="Q114" s="118"/>
      <c r="S114" s="70" t="n">
        <f aca="false">T111+W111</f>
        <v>1000</v>
      </c>
      <c r="T114" s="72" t="n">
        <v>199.99</v>
      </c>
      <c r="U114" s="72"/>
      <c r="V114" s="72"/>
      <c r="W114" s="72" t="n">
        <v>0</v>
      </c>
      <c r="X114" s="72"/>
      <c r="Y114" s="72"/>
      <c r="Z114" s="118"/>
      <c r="AB114" s="70" t="n">
        <f aca="false">AC111+AF111</f>
        <v>1000</v>
      </c>
      <c r="AC114" s="72" t="n">
        <v>239.99</v>
      </c>
      <c r="AD114" s="72"/>
      <c r="AE114" s="72"/>
      <c r="AF114" s="72" t="n">
        <v>0</v>
      </c>
      <c r="AG114" s="72"/>
      <c r="AH114" s="72"/>
      <c r="AI114" s="118"/>
    </row>
    <row r="115" customFormat="false" ht="13.8" hidden="false" customHeight="false" outlineLevel="0" collapsed="false">
      <c r="A115" s="124"/>
      <c r="B115" s="94"/>
      <c r="C115" s="94"/>
      <c r="D115" s="94"/>
      <c r="E115" s="94"/>
      <c r="F115" s="94"/>
      <c r="G115" s="94"/>
      <c r="H115" s="118"/>
      <c r="J115" s="124"/>
      <c r="K115" s="94"/>
      <c r="L115" s="94"/>
      <c r="M115" s="94"/>
      <c r="N115" s="94"/>
      <c r="O115" s="94"/>
      <c r="P115" s="94"/>
      <c r="Q115" s="118"/>
      <c r="S115" s="124"/>
      <c r="T115" s="94"/>
      <c r="U115" s="94"/>
      <c r="V115" s="94"/>
      <c r="W115" s="94"/>
      <c r="X115" s="94"/>
      <c r="Y115" s="94"/>
      <c r="Z115" s="118"/>
      <c r="AB115" s="124"/>
      <c r="AC115" s="94"/>
      <c r="AD115" s="94"/>
      <c r="AE115" s="94"/>
      <c r="AF115" s="94"/>
      <c r="AG115" s="94"/>
      <c r="AH115" s="94"/>
      <c r="AI115" s="118"/>
    </row>
    <row r="116" customFormat="false" ht="13.8" hidden="false" customHeight="false" outlineLevel="0" collapsed="false">
      <c r="A116" s="124"/>
      <c r="B116" s="94"/>
      <c r="C116" s="94"/>
      <c r="D116" s="94"/>
      <c r="E116" s="94"/>
      <c r="F116" s="94"/>
      <c r="G116" s="94"/>
      <c r="H116" s="118"/>
      <c r="J116" s="124"/>
      <c r="K116" s="94"/>
      <c r="L116" s="94"/>
      <c r="M116" s="94"/>
      <c r="N116" s="94"/>
      <c r="O116" s="94"/>
      <c r="P116" s="94"/>
      <c r="Q116" s="118"/>
      <c r="S116" s="124"/>
      <c r="T116" s="94"/>
      <c r="U116" s="94"/>
      <c r="V116" s="94"/>
      <c r="W116" s="94"/>
      <c r="X116" s="94"/>
      <c r="Y116" s="94"/>
      <c r="Z116" s="118"/>
      <c r="AB116" s="124"/>
      <c r="AC116" s="94"/>
      <c r="AD116" s="94"/>
      <c r="AE116" s="94"/>
      <c r="AF116" s="94"/>
      <c r="AG116" s="94"/>
      <c r="AH116" s="94"/>
      <c r="AI116" s="118"/>
    </row>
    <row r="117" customFormat="false" ht="22.05" hidden="false" customHeight="false" outlineLevel="0" collapsed="false">
      <c r="A117" s="58" t="s">
        <v>114</v>
      </c>
      <c r="B117" s="58"/>
      <c r="C117" s="58"/>
      <c r="D117" s="58"/>
      <c r="E117" s="58"/>
      <c r="F117" s="58"/>
      <c r="G117" s="58"/>
      <c r="H117" s="58"/>
      <c r="J117" s="58" t="s">
        <v>114</v>
      </c>
      <c r="K117" s="58"/>
      <c r="L117" s="58"/>
      <c r="M117" s="58"/>
      <c r="N117" s="58"/>
      <c r="O117" s="58"/>
      <c r="P117" s="58"/>
      <c r="Q117" s="58"/>
      <c r="S117" s="58" t="s">
        <v>114</v>
      </c>
      <c r="T117" s="58"/>
      <c r="U117" s="58"/>
      <c r="V117" s="58"/>
      <c r="W117" s="58"/>
      <c r="X117" s="58"/>
      <c r="Y117" s="58"/>
      <c r="Z117" s="58"/>
      <c r="AB117" s="58" t="s">
        <v>114</v>
      </c>
      <c r="AC117" s="58"/>
      <c r="AD117" s="58"/>
      <c r="AE117" s="58"/>
      <c r="AF117" s="58"/>
      <c r="AG117" s="58"/>
      <c r="AH117" s="58"/>
      <c r="AI117" s="58"/>
    </row>
    <row r="118" customFormat="false" ht="13.8" hidden="false" customHeight="false" outlineLevel="0" collapsed="false">
      <c r="A118" s="124"/>
      <c r="B118" s="94"/>
      <c r="C118" s="94"/>
      <c r="D118" s="94"/>
      <c r="E118" s="94"/>
      <c r="F118" s="94"/>
      <c r="G118" s="94"/>
      <c r="H118" s="118"/>
      <c r="J118" s="124"/>
      <c r="K118" s="94"/>
      <c r="L118" s="94"/>
      <c r="M118" s="94"/>
      <c r="N118" s="94"/>
      <c r="O118" s="94"/>
      <c r="P118" s="94"/>
      <c r="Q118" s="118"/>
      <c r="S118" s="124"/>
      <c r="T118" s="94"/>
      <c r="U118" s="94"/>
      <c r="V118" s="94"/>
      <c r="W118" s="94"/>
      <c r="X118" s="94"/>
      <c r="Y118" s="94"/>
      <c r="Z118" s="118"/>
      <c r="AB118" s="124"/>
      <c r="AC118" s="94"/>
      <c r="AD118" s="94"/>
      <c r="AE118" s="94"/>
      <c r="AF118" s="94"/>
      <c r="AG118" s="94"/>
      <c r="AH118" s="94"/>
      <c r="AI118" s="118"/>
    </row>
    <row r="119" customFormat="false" ht="19.7" hidden="false" customHeight="false" outlineLevel="0" collapsed="false">
      <c r="A119" s="97"/>
      <c r="B119" s="125" t="s">
        <v>115</v>
      </c>
      <c r="C119" s="125"/>
      <c r="D119" s="125" t="s">
        <v>116</v>
      </c>
      <c r="E119" s="125"/>
      <c r="F119" s="125" t="s">
        <v>117</v>
      </c>
      <c r="G119" s="125"/>
      <c r="H119" s="126" t="s">
        <v>118</v>
      </c>
      <c r="J119" s="97"/>
      <c r="K119" s="125" t="s">
        <v>115</v>
      </c>
      <c r="L119" s="125"/>
      <c r="M119" s="125" t="s">
        <v>116</v>
      </c>
      <c r="N119" s="125"/>
      <c r="O119" s="125" t="s">
        <v>117</v>
      </c>
      <c r="P119" s="125"/>
      <c r="Q119" s="126" t="s">
        <v>118</v>
      </c>
      <c r="S119" s="97"/>
      <c r="T119" s="125" t="s">
        <v>115</v>
      </c>
      <c r="U119" s="125"/>
      <c r="V119" s="125" t="s">
        <v>116</v>
      </c>
      <c r="W119" s="125"/>
      <c r="X119" s="125" t="s">
        <v>117</v>
      </c>
      <c r="Y119" s="125"/>
      <c r="Z119" s="126" t="s">
        <v>118</v>
      </c>
      <c r="AB119" s="97"/>
      <c r="AC119" s="125" t="s">
        <v>115</v>
      </c>
      <c r="AD119" s="125"/>
      <c r="AE119" s="125" t="s">
        <v>116</v>
      </c>
      <c r="AF119" s="125"/>
      <c r="AG119" s="125" t="s">
        <v>117</v>
      </c>
      <c r="AH119" s="125"/>
      <c r="AI119" s="126" t="s">
        <v>118</v>
      </c>
    </row>
    <row r="120" customFormat="false" ht="19.7" hidden="false" customHeight="false" outlineLevel="0" collapsed="false">
      <c r="A120" s="99"/>
      <c r="B120" s="127" t="s">
        <v>119</v>
      </c>
      <c r="C120" s="128" t="s">
        <v>120</v>
      </c>
      <c r="D120" s="127" t="s">
        <v>119</v>
      </c>
      <c r="E120" s="129" t="s">
        <v>120</v>
      </c>
      <c r="F120" s="127" t="s">
        <v>119</v>
      </c>
      <c r="G120" s="129" t="s">
        <v>120</v>
      </c>
      <c r="H120" s="130"/>
      <c r="J120" s="99"/>
      <c r="K120" s="127" t="s">
        <v>119</v>
      </c>
      <c r="L120" s="128" t="s">
        <v>120</v>
      </c>
      <c r="M120" s="127" t="s">
        <v>119</v>
      </c>
      <c r="N120" s="129" t="s">
        <v>120</v>
      </c>
      <c r="O120" s="127" t="s">
        <v>119</v>
      </c>
      <c r="P120" s="129" t="s">
        <v>120</v>
      </c>
      <c r="Q120" s="130"/>
      <c r="S120" s="99"/>
      <c r="T120" s="127" t="s">
        <v>119</v>
      </c>
      <c r="U120" s="128" t="s">
        <v>120</v>
      </c>
      <c r="V120" s="127" t="s">
        <v>119</v>
      </c>
      <c r="W120" s="129" t="s">
        <v>120</v>
      </c>
      <c r="X120" s="127" t="s">
        <v>119</v>
      </c>
      <c r="Y120" s="129" t="s">
        <v>120</v>
      </c>
      <c r="Z120" s="130"/>
      <c r="AB120" s="99"/>
      <c r="AC120" s="127" t="s">
        <v>119</v>
      </c>
      <c r="AD120" s="128" t="s">
        <v>120</v>
      </c>
      <c r="AE120" s="127" t="s">
        <v>119</v>
      </c>
      <c r="AF120" s="129" t="s">
        <v>120</v>
      </c>
      <c r="AG120" s="127" t="s">
        <v>119</v>
      </c>
      <c r="AH120" s="129" t="s">
        <v>120</v>
      </c>
      <c r="AI120" s="130"/>
    </row>
    <row r="121" customFormat="false" ht="17.35" hidden="false" customHeight="false" outlineLevel="0" collapsed="false">
      <c r="A121" s="48" t="s">
        <v>121</v>
      </c>
      <c r="B121" s="131" t="n">
        <f aca="false">B3</f>
        <v>46854.17</v>
      </c>
      <c r="C121" s="132" t="n">
        <f aca="false">B121</f>
        <v>46854.17</v>
      </c>
      <c r="D121" s="131" t="n">
        <f aca="false">D3</f>
        <v>0</v>
      </c>
      <c r="E121" s="132" t="n">
        <f aca="false">D121</f>
        <v>0</v>
      </c>
      <c r="F121" s="131" t="n">
        <f aca="false">F3</f>
        <v>833.33</v>
      </c>
      <c r="G121" s="132" t="n">
        <f aca="false">F121</f>
        <v>833.33</v>
      </c>
      <c r="H121" s="133" t="n">
        <f aca="false">H3</f>
        <v>0</v>
      </c>
      <c r="J121" s="48" t="s">
        <v>121</v>
      </c>
      <c r="K121" s="131" t="n">
        <f aca="false">B3</f>
        <v>46854.17</v>
      </c>
      <c r="L121" s="132" t="n">
        <v>28629.17</v>
      </c>
      <c r="M121" s="131" t="n">
        <f aca="false">D3</f>
        <v>0</v>
      </c>
      <c r="N121" s="132" t="n">
        <f aca="false">M121</f>
        <v>0</v>
      </c>
      <c r="O121" s="131" t="n">
        <f aca="false">F3</f>
        <v>833.33</v>
      </c>
      <c r="P121" s="132" t="n">
        <f aca="false">O121</f>
        <v>833.33</v>
      </c>
      <c r="Q121" s="133" t="n">
        <f aca="false">H3</f>
        <v>0</v>
      </c>
      <c r="S121" s="48" t="s">
        <v>121</v>
      </c>
      <c r="T121" s="131" t="n">
        <f aca="false">B3</f>
        <v>46854.17</v>
      </c>
      <c r="U121" s="132" t="n">
        <f aca="false">T121</f>
        <v>46854.17</v>
      </c>
      <c r="V121" s="131" t="n">
        <f aca="false">D3</f>
        <v>0</v>
      </c>
      <c r="W121" s="132" t="n">
        <f aca="false">V121</f>
        <v>0</v>
      </c>
      <c r="X121" s="131" t="n">
        <f aca="false">F3</f>
        <v>833.33</v>
      </c>
      <c r="Y121" s="132" t="n">
        <f aca="false">X121</f>
        <v>833.33</v>
      </c>
      <c r="Z121" s="133" t="n">
        <f aca="false">H3</f>
        <v>0</v>
      </c>
      <c r="AB121" s="48" t="s">
        <v>121</v>
      </c>
      <c r="AC121" s="131" t="n">
        <f aca="false">B3</f>
        <v>46854.17</v>
      </c>
      <c r="AD121" s="132" t="n">
        <f aca="false">AC121</f>
        <v>46854.17</v>
      </c>
      <c r="AE121" s="131" t="n">
        <f aca="false">D3</f>
        <v>0</v>
      </c>
      <c r="AF121" s="132" t="n">
        <f aca="false">AE121</f>
        <v>0</v>
      </c>
      <c r="AG121" s="131" t="n">
        <f aca="false">F3</f>
        <v>833.33</v>
      </c>
      <c r="AH121" s="132" t="n">
        <f aca="false">AG121</f>
        <v>833.33</v>
      </c>
      <c r="AI121" s="133" t="n">
        <f aca="false">H3</f>
        <v>0</v>
      </c>
    </row>
    <row r="122" customFormat="false" ht="17.35" hidden="false" customHeight="false" outlineLevel="0" collapsed="false">
      <c r="A122" s="55" t="s">
        <v>122</v>
      </c>
      <c r="B122" s="134" t="n">
        <f aca="false">B4</f>
        <v>0</v>
      </c>
      <c r="C122" s="17" t="n">
        <v>0</v>
      </c>
      <c r="D122" s="134" t="n">
        <f aca="false">D4</f>
        <v>0</v>
      </c>
      <c r="E122" s="17" t="n">
        <v>0</v>
      </c>
      <c r="F122" s="134" t="n">
        <f aca="false">F4</f>
        <v>0</v>
      </c>
      <c r="G122" s="135" t="n">
        <v>0</v>
      </c>
      <c r="H122" s="18"/>
      <c r="J122" s="55" t="s">
        <v>122</v>
      </c>
      <c r="K122" s="134" t="n">
        <f aca="false">B4</f>
        <v>0</v>
      </c>
      <c r="L122" s="17" t="n">
        <v>0</v>
      </c>
      <c r="M122" s="134" t="n">
        <f aca="false">D4</f>
        <v>0</v>
      </c>
      <c r="N122" s="17" t="n">
        <f aca="false">M122</f>
        <v>0</v>
      </c>
      <c r="O122" s="134" t="n">
        <f aca="false">F4</f>
        <v>0</v>
      </c>
      <c r="P122" s="135" t="n">
        <f aca="false">O122</f>
        <v>0</v>
      </c>
      <c r="Q122" s="18"/>
      <c r="S122" s="55" t="s">
        <v>122</v>
      </c>
      <c r="T122" s="134" t="n">
        <f aca="false">B4</f>
        <v>0</v>
      </c>
      <c r="U122" s="17" t="n">
        <v>0.25</v>
      </c>
      <c r="V122" s="134" t="n">
        <f aca="false">D4</f>
        <v>0</v>
      </c>
      <c r="W122" s="17" t="n">
        <f aca="false">V122</f>
        <v>0</v>
      </c>
      <c r="X122" s="134" t="n">
        <f aca="false">F4</f>
        <v>0</v>
      </c>
      <c r="Y122" s="135" t="n">
        <f aca="false">X122</f>
        <v>0</v>
      </c>
      <c r="Z122" s="18"/>
      <c r="AB122" s="55" t="s">
        <v>122</v>
      </c>
      <c r="AC122" s="134" t="n">
        <f aca="false">B4</f>
        <v>0</v>
      </c>
      <c r="AD122" s="17" t="n">
        <v>0.25</v>
      </c>
      <c r="AE122" s="134" t="n">
        <f aca="false">D4</f>
        <v>0</v>
      </c>
      <c r="AF122" s="17" t="n">
        <f aca="false">AE122</f>
        <v>0</v>
      </c>
      <c r="AG122" s="134" t="n">
        <f aca="false">F4</f>
        <v>0</v>
      </c>
      <c r="AH122" s="135" t="n">
        <f aca="false">AG122</f>
        <v>0</v>
      </c>
      <c r="AI122" s="18"/>
    </row>
    <row r="123" customFormat="false" ht="17.35" hidden="false" customHeight="false" outlineLevel="0" collapsed="false">
      <c r="A123" s="55" t="s">
        <v>123</v>
      </c>
      <c r="B123" s="136" t="n">
        <f aca="false">B5</f>
        <v>0</v>
      </c>
      <c r="C123" s="132" t="n">
        <v>-9754.17</v>
      </c>
      <c r="D123" s="136" t="n">
        <f aca="false">D5</f>
        <v>0</v>
      </c>
      <c r="E123" s="132" t="n">
        <v>0</v>
      </c>
      <c r="F123" s="136" t="n">
        <f aca="false">F5</f>
        <v>0</v>
      </c>
      <c r="G123" s="132" t="n">
        <v>0</v>
      </c>
      <c r="H123" s="20"/>
      <c r="J123" s="55" t="s">
        <v>123</v>
      </c>
      <c r="K123" s="136" t="n">
        <f aca="false">B5</f>
        <v>0</v>
      </c>
      <c r="L123" s="132" t="n">
        <v>0</v>
      </c>
      <c r="M123" s="136" t="n">
        <f aca="false">D5</f>
        <v>0</v>
      </c>
      <c r="N123" s="132" t="n">
        <f aca="false">M123</f>
        <v>0</v>
      </c>
      <c r="O123" s="136" t="n">
        <f aca="false">F5</f>
        <v>0</v>
      </c>
      <c r="P123" s="132" t="n">
        <f aca="false">O123</f>
        <v>0</v>
      </c>
      <c r="Q123" s="20"/>
      <c r="S123" s="55" t="s">
        <v>123</v>
      </c>
      <c r="T123" s="136" t="n">
        <f aca="false">B5</f>
        <v>0</v>
      </c>
      <c r="U123" s="132" t="n">
        <v>0</v>
      </c>
      <c r="V123" s="136" t="n">
        <f aca="false">D5</f>
        <v>0</v>
      </c>
      <c r="W123" s="132" t="n">
        <f aca="false">V123</f>
        <v>0</v>
      </c>
      <c r="X123" s="136" t="n">
        <f aca="false">F5</f>
        <v>0</v>
      </c>
      <c r="Y123" s="132" t="n">
        <f aca="false">X123</f>
        <v>0</v>
      </c>
      <c r="Z123" s="20"/>
      <c r="AB123" s="55" t="s">
        <v>123</v>
      </c>
      <c r="AC123" s="136" t="n">
        <f aca="false">B5</f>
        <v>0</v>
      </c>
      <c r="AD123" s="132" t="n">
        <v>0</v>
      </c>
      <c r="AE123" s="136" t="n">
        <f aca="false">D5</f>
        <v>0</v>
      </c>
      <c r="AF123" s="132" t="n">
        <f aca="false">AE123</f>
        <v>0</v>
      </c>
      <c r="AG123" s="136" t="n">
        <f aca="false">F5</f>
        <v>0</v>
      </c>
      <c r="AH123" s="132" t="n">
        <f aca="false">AG123</f>
        <v>0</v>
      </c>
      <c r="AI123" s="20"/>
    </row>
    <row r="124" customFormat="false" ht="17.35" hidden="false" customHeight="false" outlineLevel="0" collapsed="false">
      <c r="A124" s="55" t="s">
        <v>124</v>
      </c>
      <c r="B124" s="136" t="n">
        <f aca="false">(B121*B122)+B123</f>
        <v>0</v>
      </c>
      <c r="C124" s="137" t="n">
        <f aca="false">(C121*C122/100)+C123</f>
        <v>-9754.17</v>
      </c>
      <c r="D124" s="136" t="n">
        <f aca="false">(D121*D122)+D123</f>
        <v>0</v>
      </c>
      <c r="E124" s="137" t="n">
        <f aca="false">(E121*E122/100)+E123</f>
        <v>0</v>
      </c>
      <c r="F124" s="136" t="n">
        <f aca="false">(F121*F122)+F123</f>
        <v>0</v>
      </c>
      <c r="G124" s="137" t="n">
        <f aca="false">(G121*G122/100)+G123</f>
        <v>0</v>
      </c>
      <c r="H124" s="20"/>
      <c r="J124" s="55" t="s">
        <v>124</v>
      </c>
      <c r="K124" s="136" t="n">
        <f aca="false">(K121*K122)+K123</f>
        <v>0</v>
      </c>
      <c r="L124" s="137" t="n">
        <f aca="false">(L121*L122)+L123</f>
        <v>0</v>
      </c>
      <c r="M124" s="136" t="n">
        <f aca="false">(M121*M122)+M123</f>
        <v>0</v>
      </c>
      <c r="N124" s="137" t="n">
        <f aca="false">(N121*N122)+N123</f>
        <v>0</v>
      </c>
      <c r="O124" s="136" t="n">
        <f aca="false">(O121*O122)+O123</f>
        <v>0</v>
      </c>
      <c r="P124" s="137" t="n">
        <f aca="false">(P121*P122)+P123</f>
        <v>0</v>
      </c>
      <c r="Q124" s="20"/>
      <c r="S124" s="55" t="s">
        <v>124</v>
      </c>
      <c r="T124" s="136" t="n">
        <f aca="false">(T121*T122)+T123</f>
        <v>0</v>
      </c>
      <c r="U124" s="137" t="n">
        <f aca="false">(U121*U122/100)+U123</f>
        <v>117.135425</v>
      </c>
      <c r="V124" s="136" t="n">
        <f aca="false">(V121*V122)+V123</f>
        <v>0</v>
      </c>
      <c r="W124" s="137" t="n">
        <f aca="false">(W121*W122/100)+W123</f>
        <v>0</v>
      </c>
      <c r="X124" s="136" t="n">
        <f aca="false">(X121*X122)+X123</f>
        <v>0</v>
      </c>
      <c r="Y124" s="137" t="n">
        <f aca="false">(Y121*Y122/100)+Y123</f>
        <v>0</v>
      </c>
      <c r="Z124" s="20"/>
      <c r="AB124" s="55" t="s">
        <v>124</v>
      </c>
      <c r="AC124" s="136" t="n">
        <f aca="false">(AC121*AC122)+AC123</f>
        <v>0</v>
      </c>
      <c r="AD124" s="137" t="n">
        <f aca="false">(AD121*AD122)+AD123</f>
        <v>11713.5425</v>
      </c>
      <c r="AE124" s="136" t="n">
        <f aca="false">(AE121*AE122)+AE123</f>
        <v>0</v>
      </c>
      <c r="AF124" s="137" t="n">
        <f aca="false">(AF121*AF122)+AF123</f>
        <v>0</v>
      </c>
      <c r="AG124" s="136" t="n">
        <f aca="false">(AG121*AG122)+AG123</f>
        <v>0</v>
      </c>
      <c r="AH124" s="137" t="n">
        <f aca="false">(AH121*AH122)+AH123</f>
        <v>0</v>
      </c>
      <c r="AI124" s="20"/>
    </row>
    <row r="125" customFormat="false" ht="17.35" hidden="false" customHeight="false" outlineLevel="0" collapsed="false">
      <c r="A125" s="74" t="s">
        <v>125</v>
      </c>
      <c r="B125" s="138" t="n">
        <f aca="false">B121-B124</f>
        <v>46854.17</v>
      </c>
      <c r="C125" s="139" t="n">
        <f aca="false">C121-C124</f>
        <v>56608.34</v>
      </c>
      <c r="D125" s="138" t="n">
        <f aca="false">D121-D124</f>
        <v>0</v>
      </c>
      <c r="E125" s="139" t="n">
        <f aca="false">E121-E124</f>
        <v>0</v>
      </c>
      <c r="F125" s="138" t="n">
        <f aca="false">F121-F124</f>
        <v>833.33</v>
      </c>
      <c r="G125" s="139" t="n">
        <f aca="false">G121-G124</f>
        <v>833.33</v>
      </c>
      <c r="H125" s="82"/>
      <c r="J125" s="74" t="s">
        <v>125</v>
      </c>
      <c r="K125" s="138" t="n">
        <f aca="false">K121-K124</f>
        <v>46854.17</v>
      </c>
      <c r="L125" s="139" t="n">
        <f aca="false">L121-L124</f>
        <v>28629.17</v>
      </c>
      <c r="M125" s="138" t="n">
        <f aca="false">M121-M124</f>
        <v>0</v>
      </c>
      <c r="N125" s="139" t="n">
        <f aca="false">N121-N124</f>
        <v>0</v>
      </c>
      <c r="O125" s="138" t="n">
        <f aca="false">O121-O124</f>
        <v>833.33</v>
      </c>
      <c r="P125" s="139" t="n">
        <f aca="false">P121-P124</f>
        <v>833.33</v>
      </c>
      <c r="Q125" s="82"/>
      <c r="S125" s="74" t="s">
        <v>125</v>
      </c>
      <c r="T125" s="138" t="n">
        <f aca="false">T121-T124</f>
        <v>46854.17</v>
      </c>
      <c r="U125" s="139" t="n">
        <f aca="false">U121-U124</f>
        <v>46737.034575</v>
      </c>
      <c r="V125" s="138" t="n">
        <f aca="false">V121-V124</f>
        <v>0</v>
      </c>
      <c r="W125" s="139" t="n">
        <f aca="false">W121-W124</f>
        <v>0</v>
      </c>
      <c r="X125" s="138" t="n">
        <f aca="false">X121-X124</f>
        <v>833.33</v>
      </c>
      <c r="Y125" s="139" t="n">
        <f aca="false">Y121-Y124</f>
        <v>833.33</v>
      </c>
      <c r="Z125" s="82"/>
      <c r="AB125" s="74" t="s">
        <v>125</v>
      </c>
      <c r="AC125" s="138" t="n">
        <f aca="false">AC121-AC124</f>
        <v>46854.17</v>
      </c>
      <c r="AD125" s="139" t="n">
        <f aca="false">AD121-AD124</f>
        <v>35140.6275</v>
      </c>
      <c r="AE125" s="138" t="n">
        <f aca="false">AE121-AE124</f>
        <v>0</v>
      </c>
      <c r="AF125" s="139" t="n">
        <f aca="false">AF121-AF124</f>
        <v>0</v>
      </c>
      <c r="AG125" s="138" t="n">
        <f aca="false">AG121-AG124</f>
        <v>833.33</v>
      </c>
      <c r="AH125" s="139" t="n">
        <f aca="false">AH121-AH124</f>
        <v>833.33</v>
      </c>
      <c r="AI125" s="82"/>
    </row>
    <row r="126" customFormat="false" ht="17.35" hidden="false" customHeight="false" outlineLevel="0" collapsed="false">
      <c r="A126" s="55"/>
      <c r="B126" s="25"/>
      <c r="C126" s="25"/>
      <c r="D126" s="25"/>
      <c r="E126" s="25"/>
      <c r="F126" s="25"/>
      <c r="G126" s="25"/>
      <c r="H126" s="20"/>
      <c r="J126" s="55"/>
      <c r="K126" s="25"/>
      <c r="L126" s="25"/>
      <c r="M126" s="25"/>
      <c r="N126" s="25"/>
      <c r="O126" s="25"/>
      <c r="P126" s="25"/>
      <c r="Q126" s="20"/>
      <c r="S126" s="55"/>
      <c r="T126" s="25"/>
      <c r="U126" s="25"/>
      <c r="V126" s="25"/>
      <c r="W126" s="25"/>
      <c r="X126" s="25"/>
      <c r="Y126" s="25"/>
      <c r="Z126" s="20"/>
      <c r="AB126" s="55"/>
      <c r="AC126" s="25"/>
      <c r="AD126" s="25"/>
      <c r="AE126" s="25"/>
      <c r="AF126" s="25"/>
      <c r="AG126" s="25"/>
      <c r="AH126" s="25"/>
      <c r="AI126" s="20"/>
    </row>
    <row r="127" customFormat="false" ht="19.7" hidden="false" customHeight="false" outlineLevel="0" collapsed="false">
      <c r="A127" s="140"/>
      <c r="B127" s="141"/>
      <c r="C127" s="141"/>
      <c r="D127" s="141"/>
      <c r="E127" s="141"/>
      <c r="F127" s="141"/>
      <c r="G127" s="29" t="s">
        <v>119</v>
      </c>
      <c r="H127" s="142" t="s">
        <v>120</v>
      </c>
      <c r="J127" s="140"/>
      <c r="K127" s="141"/>
      <c r="L127" s="141"/>
      <c r="M127" s="141"/>
      <c r="N127" s="141"/>
      <c r="O127" s="141"/>
      <c r="P127" s="29" t="s">
        <v>119</v>
      </c>
      <c r="Q127" s="142" t="s">
        <v>120</v>
      </c>
      <c r="S127" s="140"/>
      <c r="T127" s="141"/>
      <c r="U127" s="141"/>
      <c r="V127" s="141"/>
      <c r="W127" s="141"/>
      <c r="X127" s="141"/>
      <c r="Y127" s="29" t="s">
        <v>119</v>
      </c>
      <c r="Z127" s="142" t="s">
        <v>120</v>
      </c>
      <c r="AB127" s="140"/>
      <c r="AC127" s="141"/>
      <c r="AD127" s="141"/>
      <c r="AE127" s="141"/>
      <c r="AF127" s="141"/>
      <c r="AG127" s="141"/>
      <c r="AH127" s="29" t="s">
        <v>119</v>
      </c>
      <c r="AI127" s="142" t="s">
        <v>120</v>
      </c>
    </row>
    <row r="128" customFormat="false" ht="17.35" hidden="false" customHeight="false" outlineLevel="0" collapsed="false">
      <c r="A128" s="143" t="s">
        <v>126</v>
      </c>
      <c r="B128" s="144"/>
      <c r="C128" s="144"/>
      <c r="D128" s="144"/>
      <c r="E128" s="144"/>
      <c r="F128" s="144"/>
      <c r="G128" s="145" t="n">
        <f aca="false">H121</f>
        <v>0</v>
      </c>
      <c r="H128" s="146" t="n">
        <f aca="false">SUM(H131:H133)</f>
        <v>0</v>
      </c>
      <c r="J128" s="143" t="s">
        <v>126</v>
      </c>
      <c r="K128" s="144"/>
      <c r="L128" s="144"/>
      <c r="M128" s="144"/>
      <c r="N128" s="144"/>
      <c r="O128" s="144"/>
      <c r="P128" s="145" t="n">
        <f aca="false">Q121</f>
        <v>0</v>
      </c>
      <c r="Q128" s="146" t="n">
        <f aca="false">SUM(Q131:Q133)</f>
        <v>0</v>
      </c>
      <c r="S128" s="143" t="s">
        <v>126</v>
      </c>
      <c r="T128" s="144"/>
      <c r="U128" s="144"/>
      <c r="V128" s="144"/>
      <c r="W128" s="144"/>
      <c r="X128" s="144"/>
      <c r="Y128" s="145" t="n">
        <f aca="false">Z121</f>
        <v>0</v>
      </c>
      <c r="Z128" s="146" t="n">
        <f aca="false">SUM(Z131:Z133)</f>
        <v>0</v>
      </c>
      <c r="AB128" s="143" t="s">
        <v>126</v>
      </c>
      <c r="AC128" s="144"/>
      <c r="AD128" s="144"/>
      <c r="AE128" s="144"/>
      <c r="AF128" s="144"/>
      <c r="AG128" s="144"/>
      <c r="AH128" s="145" t="n">
        <f aca="false">AI121</f>
        <v>0</v>
      </c>
      <c r="AI128" s="146" t="n">
        <f aca="false">SUM(AI131:AI133)</f>
        <v>0</v>
      </c>
    </row>
    <row r="129" customFormat="false" ht="17.35" hidden="false" customHeight="false" outlineLevel="0" collapsed="false">
      <c r="A129" s="55"/>
      <c r="B129" s="25"/>
      <c r="C129" s="25"/>
      <c r="D129" s="25"/>
      <c r="E129" s="25"/>
      <c r="F129" s="25"/>
      <c r="G129" s="147"/>
      <c r="H129" s="148"/>
      <c r="J129" s="55"/>
      <c r="K129" s="25"/>
      <c r="L129" s="25"/>
      <c r="M129" s="25"/>
      <c r="N129" s="25"/>
      <c r="O129" s="25"/>
      <c r="P129" s="147"/>
      <c r="Q129" s="148"/>
      <c r="S129" s="55"/>
      <c r="T129" s="25"/>
      <c r="U129" s="25"/>
      <c r="V129" s="25"/>
      <c r="W129" s="25"/>
      <c r="X129" s="25"/>
      <c r="Y129" s="147"/>
      <c r="Z129" s="148"/>
      <c r="AB129" s="55"/>
      <c r="AC129" s="25"/>
      <c r="AD129" s="25"/>
      <c r="AE129" s="25"/>
      <c r="AF129" s="25"/>
      <c r="AG129" s="25"/>
      <c r="AH129" s="147"/>
      <c r="AI129" s="148"/>
    </row>
    <row r="130" customFormat="false" ht="17.35" hidden="false" customHeight="false" outlineLevel="0" collapsed="false">
      <c r="A130" s="149" t="s">
        <v>127</v>
      </c>
      <c r="B130" s="147" t="s">
        <v>128</v>
      </c>
      <c r="C130" s="147"/>
      <c r="D130" s="147" t="s">
        <v>129</v>
      </c>
      <c r="E130" s="147"/>
      <c r="F130" s="147" t="s">
        <v>123</v>
      </c>
      <c r="G130" s="147"/>
      <c r="H130" s="148" t="s">
        <v>120</v>
      </c>
      <c r="J130" s="149" t="s">
        <v>127</v>
      </c>
      <c r="K130" s="147" t="s">
        <v>128</v>
      </c>
      <c r="L130" s="147"/>
      <c r="M130" s="147" t="s">
        <v>129</v>
      </c>
      <c r="N130" s="147"/>
      <c r="O130" s="147" t="s">
        <v>123</v>
      </c>
      <c r="P130" s="147"/>
      <c r="Q130" s="148" t="s">
        <v>120</v>
      </c>
      <c r="S130" s="149" t="s">
        <v>127</v>
      </c>
      <c r="T130" s="147" t="s">
        <v>128</v>
      </c>
      <c r="U130" s="147"/>
      <c r="V130" s="147" t="s">
        <v>129</v>
      </c>
      <c r="W130" s="147"/>
      <c r="X130" s="147" t="s">
        <v>123</v>
      </c>
      <c r="Y130" s="147"/>
      <c r="Z130" s="148" t="s">
        <v>120</v>
      </c>
      <c r="AB130" s="149" t="s">
        <v>127</v>
      </c>
      <c r="AC130" s="147" t="s">
        <v>128</v>
      </c>
      <c r="AD130" s="147"/>
      <c r="AE130" s="147" t="s">
        <v>129</v>
      </c>
      <c r="AF130" s="147"/>
      <c r="AG130" s="147" t="s">
        <v>123</v>
      </c>
      <c r="AH130" s="147"/>
      <c r="AI130" s="148" t="s">
        <v>120</v>
      </c>
    </row>
    <row r="131" customFormat="false" ht="17.35" hidden="false" customHeight="false" outlineLevel="0" collapsed="false">
      <c r="A131" s="55" t="s">
        <v>130</v>
      </c>
      <c r="B131" s="150" t="n">
        <f aca="false">G128</f>
        <v>0</v>
      </c>
      <c r="C131" s="150"/>
      <c r="D131" s="151" t="n">
        <v>0</v>
      </c>
      <c r="E131" s="151"/>
      <c r="F131" s="150" t="n">
        <v>0</v>
      </c>
      <c r="G131" s="150"/>
      <c r="H131" s="152" t="n">
        <f aca="false">(B131-(B131*D131))-F131</f>
        <v>0</v>
      </c>
      <c r="J131" s="55" t="s">
        <v>130</v>
      </c>
      <c r="K131" s="150" t="n">
        <f aca="false">P128</f>
        <v>0</v>
      </c>
      <c r="L131" s="150"/>
      <c r="M131" s="151" t="n">
        <v>0</v>
      </c>
      <c r="N131" s="151"/>
      <c r="O131" s="150" t="n">
        <v>0</v>
      </c>
      <c r="P131" s="150"/>
      <c r="Q131" s="152" t="n">
        <f aca="false">(K131-(K131*M131))-O131</f>
        <v>0</v>
      </c>
      <c r="S131" s="55" t="s">
        <v>130</v>
      </c>
      <c r="T131" s="150" t="n">
        <f aca="false">Y128</f>
        <v>0</v>
      </c>
      <c r="U131" s="150"/>
      <c r="V131" s="151" t="n">
        <v>0</v>
      </c>
      <c r="W131" s="151"/>
      <c r="X131" s="150" t="n">
        <v>0</v>
      </c>
      <c r="Y131" s="150"/>
      <c r="Z131" s="152" t="n">
        <f aca="false">(T131-(T131*V131))-X131</f>
        <v>0</v>
      </c>
      <c r="AB131" s="55" t="s">
        <v>130</v>
      </c>
      <c r="AC131" s="150" t="n">
        <f aca="false">AH128</f>
        <v>0</v>
      </c>
      <c r="AD131" s="150"/>
      <c r="AE131" s="151" t="n">
        <v>0</v>
      </c>
      <c r="AF131" s="151"/>
      <c r="AG131" s="150" t="n">
        <v>0</v>
      </c>
      <c r="AH131" s="150"/>
      <c r="AI131" s="152" t="n">
        <f aca="false">(AC131-(AC131*AE131))-AG131</f>
        <v>0</v>
      </c>
    </row>
    <row r="132" customFormat="false" ht="17.35" hidden="false" customHeight="false" outlineLevel="0" collapsed="false">
      <c r="A132" s="55" t="s">
        <v>131</v>
      </c>
      <c r="B132" s="150" t="n">
        <v>0</v>
      </c>
      <c r="C132" s="150"/>
      <c r="D132" s="151" t="n">
        <v>0</v>
      </c>
      <c r="E132" s="151"/>
      <c r="F132" s="150" t="n">
        <v>0</v>
      </c>
      <c r="G132" s="150"/>
      <c r="H132" s="152" t="n">
        <f aca="false">(B132-(B132*D132))-F132</f>
        <v>0</v>
      </c>
      <c r="J132" s="55" t="s">
        <v>131</v>
      </c>
      <c r="K132" s="150" t="n">
        <v>0</v>
      </c>
      <c r="L132" s="150"/>
      <c r="M132" s="151" t="n">
        <v>0</v>
      </c>
      <c r="N132" s="151"/>
      <c r="O132" s="150" t="n">
        <v>0</v>
      </c>
      <c r="P132" s="150"/>
      <c r="Q132" s="152" t="n">
        <f aca="false">(K132-(K132*M132))-O132</f>
        <v>0</v>
      </c>
      <c r="S132" s="55" t="s">
        <v>131</v>
      </c>
      <c r="T132" s="150" t="n">
        <v>0</v>
      </c>
      <c r="U132" s="150"/>
      <c r="V132" s="151" t="n">
        <v>0</v>
      </c>
      <c r="W132" s="151"/>
      <c r="X132" s="150" t="n">
        <v>0</v>
      </c>
      <c r="Y132" s="150"/>
      <c r="Z132" s="152" t="n">
        <f aca="false">(T132-(T132*V132))-X132</f>
        <v>0</v>
      </c>
      <c r="AB132" s="55" t="s">
        <v>131</v>
      </c>
      <c r="AC132" s="150" t="n">
        <v>0</v>
      </c>
      <c r="AD132" s="150"/>
      <c r="AE132" s="151" t="n">
        <v>0</v>
      </c>
      <c r="AF132" s="151"/>
      <c r="AG132" s="150" t="n">
        <v>0</v>
      </c>
      <c r="AH132" s="150"/>
      <c r="AI132" s="152" t="n">
        <f aca="false">(AC132-(AC132*AE132))-AG132</f>
        <v>0</v>
      </c>
    </row>
    <row r="133" customFormat="false" ht="17.35" hidden="false" customHeight="false" outlineLevel="0" collapsed="false">
      <c r="A133" s="55" t="s">
        <v>132</v>
      </c>
      <c r="B133" s="150" t="n">
        <v>0</v>
      </c>
      <c r="C133" s="150"/>
      <c r="D133" s="151" t="n">
        <v>0</v>
      </c>
      <c r="E133" s="151"/>
      <c r="F133" s="150" t="n">
        <v>0</v>
      </c>
      <c r="G133" s="150"/>
      <c r="H133" s="152" t="n">
        <f aca="false">(B133-(B133*D133))-F133</f>
        <v>0</v>
      </c>
      <c r="J133" s="55" t="s">
        <v>132</v>
      </c>
      <c r="K133" s="150" t="n">
        <v>0</v>
      </c>
      <c r="L133" s="150"/>
      <c r="M133" s="151" t="n">
        <v>0</v>
      </c>
      <c r="N133" s="151"/>
      <c r="O133" s="150" t="n">
        <v>0</v>
      </c>
      <c r="P133" s="150"/>
      <c r="Q133" s="152" t="n">
        <f aca="false">(K133-(K133*M133))-O133</f>
        <v>0</v>
      </c>
      <c r="S133" s="55" t="s">
        <v>132</v>
      </c>
      <c r="T133" s="150" t="n">
        <v>0</v>
      </c>
      <c r="U133" s="150"/>
      <c r="V133" s="151" t="n">
        <v>0</v>
      </c>
      <c r="W133" s="151"/>
      <c r="X133" s="150" t="n">
        <v>0</v>
      </c>
      <c r="Y133" s="150"/>
      <c r="Z133" s="152" t="n">
        <f aca="false">(T133-(T133*V133))-X133</f>
        <v>0</v>
      </c>
      <c r="AB133" s="55" t="s">
        <v>132</v>
      </c>
      <c r="AC133" s="150" t="n">
        <v>0</v>
      </c>
      <c r="AD133" s="150"/>
      <c r="AE133" s="151" t="n">
        <v>0</v>
      </c>
      <c r="AF133" s="151"/>
      <c r="AG133" s="150" t="n">
        <v>0</v>
      </c>
      <c r="AH133" s="150"/>
      <c r="AI133" s="152" t="n">
        <f aca="false">(AC133-(AC133*AE133))-AG133</f>
        <v>0</v>
      </c>
    </row>
    <row r="134" customFormat="false" ht="17.35" hidden="false" customHeight="false" outlineLevel="0" collapsed="false">
      <c r="A134" s="55"/>
      <c r="B134" s="25"/>
      <c r="C134" s="25"/>
      <c r="D134" s="25"/>
      <c r="E134" s="25"/>
      <c r="F134" s="25"/>
      <c r="G134" s="147"/>
      <c r="H134" s="148"/>
      <c r="J134" s="55"/>
      <c r="K134" s="25"/>
      <c r="L134" s="25"/>
      <c r="M134" s="25"/>
      <c r="N134" s="25"/>
      <c r="O134" s="25"/>
      <c r="P134" s="147"/>
      <c r="Q134" s="148"/>
      <c r="S134" s="55"/>
      <c r="T134" s="25"/>
      <c r="U134" s="25"/>
      <c r="V134" s="25"/>
      <c r="W134" s="25"/>
      <c r="X134" s="25"/>
      <c r="Y134" s="147"/>
      <c r="Z134" s="148"/>
      <c r="AB134" s="55"/>
      <c r="AC134" s="25"/>
      <c r="AD134" s="25"/>
      <c r="AE134" s="25"/>
      <c r="AF134" s="25"/>
      <c r="AG134" s="25"/>
      <c r="AH134" s="147"/>
      <c r="AI134" s="148"/>
    </row>
    <row r="135" customFormat="false" ht="19.7" hidden="false" customHeight="false" outlineLevel="0" collapsed="false">
      <c r="A135" s="153" t="s">
        <v>133</v>
      </c>
      <c r="B135" s="153"/>
      <c r="C135" s="153"/>
      <c r="D135" s="153"/>
      <c r="E135" s="153"/>
      <c r="F135" s="153"/>
      <c r="G135" s="29" t="n">
        <f aca="false">H9</f>
        <v>47687.5</v>
      </c>
      <c r="H135" s="154" t="n">
        <f aca="false">C125+E125+G125+H128</f>
        <v>57441.67</v>
      </c>
      <c r="J135" s="153" t="s">
        <v>133</v>
      </c>
      <c r="K135" s="153"/>
      <c r="L135" s="153"/>
      <c r="M135" s="153"/>
      <c r="N135" s="153"/>
      <c r="O135" s="153"/>
      <c r="P135" s="29" t="n">
        <f aca="false">H9</f>
        <v>47687.5</v>
      </c>
      <c r="Q135" s="154" t="n">
        <f aca="false">L125+N125+P125+Q128</f>
        <v>29462.5</v>
      </c>
      <c r="S135" s="153" t="s">
        <v>133</v>
      </c>
      <c r="T135" s="153"/>
      <c r="U135" s="153"/>
      <c r="V135" s="153"/>
      <c r="W135" s="153"/>
      <c r="X135" s="153"/>
      <c r="Y135" s="29" t="n">
        <f aca="false">H9</f>
        <v>47687.5</v>
      </c>
      <c r="Z135" s="154" t="n">
        <f aca="false">U125+W125+Y125+Z128</f>
        <v>47570.364575</v>
      </c>
      <c r="AB135" s="153" t="s">
        <v>133</v>
      </c>
      <c r="AC135" s="153"/>
      <c r="AD135" s="153"/>
      <c r="AE135" s="153"/>
      <c r="AF135" s="153"/>
      <c r="AG135" s="153"/>
      <c r="AH135" s="29" t="n">
        <f aca="false">H9</f>
        <v>47687.5</v>
      </c>
      <c r="AI135" s="154" t="n">
        <f aca="false">AD125+AF125+AH125+AI128</f>
        <v>35973.9575</v>
      </c>
    </row>
    <row r="136" customFormat="false" ht="17.35" hidden="false" customHeight="false" outlineLevel="0" collapsed="false">
      <c r="A136" s="155" t="s">
        <v>134</v>
      </c>
      <c r="B136" s="155"/>
      <c r="C136" s="155"/>
      <c r="D136" s="155"/>
      <c r="E136" s="155"/>
      <c r="F136" s="155"/>
      <c r="G136" s="21" t="n">
        <f aca="false">H10</f>
        <v>550</v>
      </c>
      <c r="H136" s="20" t="n">
        <f aca="false">G136</f>
        <v>550</v>
      </c>
      <c r="J136" s="155" t="s">
        <v>134</v>
      </c>
      <c r="K136" s="155"/>
      <c r="L136" s="155"/>
      <c r="M136" s="155"/>
      <c r="N136" s="155"/>
      <c r="O136" s="155"/>
      <c r="P136" s="21" t="n">
        <f aca="false">H10</f>
        <v>550</v>
      </c>
      <c r="Q136" s="20" t="n">
        <f aca="false">P136</f>
        <v>550</v>
      </c>
      <c r="S136" s="155" t="s">
        <v>134</v>
      </c>
      <c r="T136" s="155"/>
      <c r="U136" s="155"/>
      <c r="V136" s="155"/>
      <c r="W136" s="155"/>
      <c r="X136" s="155"/>
      <c r="Y136" s="21" t="n">
        <f aca="false">H10</f>
        <v>550</v>
      </c>
      <c r="Z136" s="20" t="n">
        <f aca="false">Y136</f>
        <v>550</v>
      </c>
      <c r="AB136" s="155" t="s">
        <v>134</v>
      </c>
      <c r="AC136" s="155"/>
      <c r="AD136" s="155"/>
      <c r="AE136" s="155"/>
      <c r="AF136" s="155"/>
      <c r="AG136" s="155"/>
      <c r="AH136" s="21" t="n">
        <f aca="false">H10</f>
        <v>550</v>
      </c>
      <c r="AI136" s="20" t="n">
        <f aca="false">AH136</f>
        <v>550</v>
      </c>
    </row>
    <row r="137" customFormat="false" ht="17.35" hidden="false" customHeight="false" outlineLevel="0" collapsed="false">
      <c r="A137" s="155" t="s">
        <v>135</v>
      </c>
      <c r="B137" s="155"/>
      <c r="C137" s="155"/>
      <c r="D137" s="155"/>
      <c r="E137" s="155"/>
      <c r="F137" s="155"/>
      <c r="G137" s="21" t="n">
        <f aca="false">H11</f>
        <v>9647.5</v>
      </c>
      <c r="H137" s="20" t="n">
        <f aca="false">(H135+H136)*20%</f>
        <v>11598.334</v>
      </c>
      <c r="J137" s="155" t="s">
        <v>135</v>
      </c>
      <c r="K137" s="155"/>
      <c r="L137" s="155"/>
      <c r="M137" s="155"/>
      <c r="N137" s="155"/>
      <c r="O137" s="155"/>
      <c r="P137" s="21" t="n">
        <f aca="false">H11</f>
        <v>9647.5</v>
      </c>
      <c r="Q137" s="20" t="n">
        <f aca="false">(Q135+Q136)*20%</f>
        <v>6002.5</v>
      </c>
      <c r="S137" s="155" t="s">
        <v>135</v>
      </c>
      <c r="T137" s="155"/>
      <c r="U137" s="155"/>
      <c r="V137" s="155"/>
      <c r="W137" s="155"/>
      <c r="X137" s="155"/>
      <c r="Y137" s="21" t="n">
        <f aca="false">H11</f>
        <v>9647.5</v>
      </c>
      <c r="Z137" s="20" t="n">
        <f aca="false">(Z135+Z136)*20%</f>
        <v>9624.072915</v>
      </c>
      <c r="AB137" s="155" t="s">
        <v>135</v>
      </c>
      <c r="AC137" s="155"/>
      <c r="AD137" s="155"/>
      <c r="AE137" s="155"/>
      <c r="AF137" s="155"/>
      <c r="AG137" s="155"/>
      <c r="AH137" s="21" t="n">
        <f aca="false">H11</f>
        <v>9647.5</v>
      </c>
      <c r="AI137" s="20" t="n">
        <f aca="false">(AI135+AI136)*20%</f>
        <v>7304.7915</v>
      </c>
    </row>
    <row r="138" customFormat="false" ht="17.35" hidden="false" customHeight="false" outlineLevel="0" collapsed="false">
      <c r="A138" s="155" t="s">
        <v>136</v>
      </c>
      <c r="B138" s="155"/>
      <c r="C138" s="155"/>
      <c r="D138" s="155"/>
      <c r="E138" s="155"/>
      <c r="F138" s="155"/>
      <c r="G138" s="21" t="n">
        <f aca="false">H12</f>
        <v>0</v>
      </c>
      <c r="H138" s="20" t="n">
        <f aca="false">G138</f>
        <v>0</v>
      </c>
      <c r="J138" s="155" t="s">
        <v>136</v>
      </c>
      <c r="K138" s="155"/>
      <c r="L138" s="155"/>
      <c r="M138" s="155"/>
      <c r="N138" s="155"/>
      <c r="O138" s="155"/>
      <c r="P138" s="21" t="n">
        <f aca="false">H12</f>
        <v>0</v>
      </c>
      <c r="Q138" s="20" t="n">
        <f aca="false">P138</f>
        <v>0</v>
      </c>
      <c r="S138" s="155" t="s">
        <v>136</v>
      </c>
      <c r="T138" s="155"/>
      <c r="U138" s="155"/>
      <c r="V138" s="155"/>
      <c r="W138" s="155"/>
      <c r="X138" s="155"/>
      <c r="Y138" s="21" t="n">
        <f aca="false">H12</f>
        <v>0</v>
      </c>
      <c r="Z138" s="20" t="n">
        <f aca="false">Y138</f>
        <v>0</v>
      </c>
      <c r="AB138" s="155" t="s">
        <v>136</v>
      </c>
      <c r="AC138" s="155"/>
      <c r="AD138" s="155"/>
      <c r="AE138" s="155"/>
      <c r="AF138" s="155"/>
      <c r="AG138" s="155"/>
      <c r="AH138" s="21" t="n">
        <f aca="false">H12</f>
        <v>0</v>
      </c>
      <c r="AI138" s="20" t="n">
        <f aca="false">AH138</f>
        <v>0</v>
      </c>
    </row>
    <row r="139" customFormat="false" ht="17.35" hidden="false" customHeight="false" outlineLevel="0" collapsed="false">
      <c r="A139" s="155" t="s">
        <v>137</v>
      </c>
      <c r="B139" s="155"/>
      <c r="C139" s="155"/>
      <c r="D139" s="155"/>
      <c r="E139" s="155"/>
      <c r="F139" s="155"/>
      <c r="G139" s="21" t="n">
        <f aca="false">H13</f>
        <v>585</v>
      </c>
      <c r="H139" s="20" t="n">
        <f aca="false">G139</f>
        <v>585</v>
      </c>
      <c r="J139" s="155" t="s">
        <v>137</v>
      </c>
      <c r="K139" s="155"/>
      <c r="L139" s="155"/>
      <c r="M139" s="155"/>
      <c r="N139" s="155"/>
      <c r="O139" s="155"/>
      <c r="P139" s="21" t="n">
        <f aca="false">H13</f>
        <v>585</v>
      </c>
      <c r="Q139" s="20" t="n">
        <f aca="false">P139</f>
        <v>585</v>
      </c>
      <c r="S139" s="155" t="s">
        <v>137</v>
      </c>
      <c r="T139" s="155"/>
      <c r="U139" s="155"/>
      <c r="V139" s="155"/>
      <c r="W139" s="155"/>
      <c r="X139" s="155"/>
      <c r="Y139" s="21" t="n">
        <f aca="false">H13</f>
        <v>585</v>
      </c>
      <c r="Z139" s="20" t="n">
        <f aca="false">Y139</f>
        <v>585</v>
      </c>
      <c r="AB139" s="155" t="s">
        <v>137</v>
      </c>
      <c r="AC139" s="155"/>
      <c r="AD139" s="155"/>
      <c r="AE139" s="155"/>
      <c r="AF139" s="155"/>
      <c r="AG139" s="155"/>
      <c r="AH139" s="21" t="n">
        <f aca="false">H13</f>
        <v>585</v>
      </c>
      <c r="AI139" s="20" t="n">
        <f aca="false">AH139</f>
        <v>585</v>
      </c>
    </row>
    <row r="140" customFormat="false" ht="17.35" hidden="false" customHeight="false" outlineLevel="0" collapsed="false">
      <c r="A140" s="155" t="s">
        <v>138</v>
      </c>
      <c r="B140" s="155"/>
      <c r="C140" s="155"/>
      <c r="D140" s="155"/>
      <c r="E140" s="155"/>
      <c r="F140" s="155"/>
      <c r="G140" s="21" t="n">
        <f aca="false">H14</f>
        <v>55</v>
      </c>
      <c r="H140" s="20" t="n">
        <v>55</v>
      </c>
      <c r="J140" s="155" t="s">
        <v>138</v>
      </c>
      <c r="K140" s="155"/>
      <c r="L140" s="155"/>
      <c r="M140" s="155"/>
      <c r="N140" s="155"/>
      <c r="O140" s="155"/>
      <c r="P140" s="21" t="n">
        <f aca="false">H14</f>
        <v>55</v>
      </c>
      <c r="Q140" s="20" t="n">
        <v>55</v>
      </c>
      <c r="S140" s="155" t="s">
        <v>138</v>
      </c>
      <c r="T140" s="155"/>
      <c r="U140" s="155"/>
      <c r="V140" s="155"/>
      <c r="W140" s="155"/>
      <c r="X140" s="155"/>
      <c r="Y140" s="21" t="n">
        <f aca="false">H14</f>
        <v>55</v>
      </c>
      <c r="Z140" s="20" t="n">
        <v>55</v>
      </c>
      <c r="AB140" s="155" t="s">
        <v>138</v>
      </c>
      <c r="AC140" s="155"/>
      <c r="AD140" s="155"/>
      <c r="AE140" s="155"/>
      <c r="AF140" s="155"/>
      <c r="AG140" s="155"/>
      <c r="AH140" s="21" t="n">
        <f aca="false">H14</f>
        <v>55</v>
      </c>
      <c r="AI140" s="20" t="n">
        <v>55</v>
      </c>
    </row>
    <row r="141" customFormat="false" ht="19.7" hidden="false" customHeight="false" outlineLevel="0" collapsed="false">
      <c r="A141" s="155" t="s">
        <v>139</v>
      </c>
      <c r="B141" s="155"/>
      <c r="C141" s="155"/>
      <c r="D141" s="155"/>
      <c r="E141" s="155"/>
      <c r="F141" s="155"/>
      <c r="G141" s="157" t="n">
        <f aca="false">H15</f>
        <v>58525</v>
      </c>
      <c r="H141" s="156" t="n">
        <f aca="false">(H135+H136+H139+H140+H137)-H138</f>
        <v>70230.004</v>
      </c>
      <c r="J141" s="155" t="s">
        <v>139</v>
      </c>
      <c r="K141" s="155"/>
      <c r="L141" s="155"/>
      <c r="M141" s="155"/>
      <c r="N141" s="155"/>
      <c r="O141" s="155"/>
      <c r="P141" s="157" t="n">
        <f aca="false">H15</f>
        <v>58525</v>
      </c>
      <c r="Q141" s="156" t="n">
        <f aca="false">(Q135+Q136+Q139+Q140+Q137)-Q138</f>
        <v>36655</v>
      </c>
      <c r="S141" s="155" t="s">
        <v>139</v>
      </c>
      <c r="T141" s="155"/>
      <c r="U141" s="155"/>
      <c r="V141" s="155"/>
      <c r="W141" s="155"/>
      <c r="X141" s="155"/>
      <c r="Y141" s="157" t="n">
        <f aca="false">H15</f>
        <v>58525</v>
      </c>
      <c r="Z141" s="156" t="n">
        <f aca="false">(Z135+Z136+Z139+Z140+Z137)-Z138</f>
        <v>58384.43749</v>
      </c>
      <c r="AB141" s="155" t="s">
        <v>139</v>
      </c>
      <c r="AC141" s="155"/>
      <c r="AD141" s="155"/>
      <c r="AE141" s="155"/>
      <c r="AF141" s="155"/>
      <c r="AG141" s="155"/>
      <c r="AH141" s="157" t="n">
        <f aca="false">H15</f>
        <v>58525</v>
      </c>
      <c r="AI141" s="156" t="n">
        <f aca="false">(AI135+AI136+AI139+AI140+AI137)-AI138</f>
        <v>44468.749</v>
      </c>
    </row>
    <row r="142" customFormat="false" ht="17.35" hidden="false" customHeight="false" outlineLevel="0" collapsed="false">
      <c r="A142" s="155" t="s">
        <v>140</v>
      </c>
      <c r="B142" s="155"/>
      <c r="C142" s="155"/>
      <c r="D142" s="155"/>
      <c r="E142" s="155"/>
      <c r="F142" s="155"/>
      <c r="G142" s="21" t="n">
        <f aca="false">H16</f>
        <v>0</v>
      </c>
      <c r="H142" s="52" t="n">
        <f aca="false">G142</f>
        <v>0</v>
      </c>
      <c r="J142" s="155" t="s">
        <v>140</v>
      </c>
      <c r="K142" s="155"/>
      <c r="L142" s="155"/>
      <c r="M142" s="155"/>
      <c r="N142" s="155"/>
      <c r="O142" s="155"/>
      <c r="P142" s="21" t="n">
        <f aca="false">H16</f>
        <v>0</v>
      </c>
      <c r="Q142" s="52" t="n">
        <f aca="false">P142</f>
        <v>0</v>
      </c>
      <c r="S142" s="155" t="s">
        <v>140</v>
      </c>
      <c r="T142" s="155"/>
      <c r="U142" s="155"/>
      <c r="V142" s="155"/>
      <c r="W142" s="155"/>
      <c r="X142" s="155"/>
      <c r="Y142" s="21" t="n">
        <f aca="false">H16</f>
        <v>0</v>
      </c>
      <c r="Z142" s="52" t="n">
        <f aca="false">Y142</f>
        <v>0</v>
      </c>
      <c r="AB142" s="155" t="s">
        <v>140</v>
      </c>
      <c r="AC142" s="155"/>
      <c r="AD142" s="155"/>
      <c r="AE142" s="155"/>
      <c r="AF142" s="155"/>
      <c r="AG142" s="155"/>
      <c r="AH142" s="21" t="n">
        <f aca="false">H16</f>
        <v>0</v>
      </c>
      <c r="AI142" s="52" t="n">
        <f aca="false">AH142</f>
        <v>0</v>
      </c>
    </row>
    <row r="143" customFormat="false" ht="17.35" hidden="false" customHeight="false" outlineLevel="0" collapsed="false">
      <c r="A143" s="70" t="s">
        <v>141</v>
      </c>
      <c r="B143" s="70"/>
      <c r="C143" s="70"/>
      <c r="D143" s="70"/>
      <c r="E143" s="70"/>
      <c r="F143" s="70"/>
      <c r="G143" s="37"/>
      <c r="H143" s="20"/>
      <c r="J143" s="70" t="s">
        <v>141</v>
      </c>
      <c r="K143" s="70"/>
      <c r="L143" s="70"/>
      <c r="M143" s="70"/>
      <c r="N143" s="70"/>
      <c r="O143" s="70"/>
      <c r="P143" s="37"/>
      <c r="Q143" s="20"/>
      <c r="S143" s="70" t="s">
        <v>141</v>
      </c>
      <c r="T143" s="70"/>
      <c r="U143" s="70"/>
      <c r="V143" s="70"/>
      <c r="W143" s="70"/>
      <c r="X143" s="70"/>
      <c r="Y143" s="37"/>
      <c r="Z143" s="20"/>
      <c r="AB143" s="70" t="s">
        <v>141</v>
      </c>
      <c r="AC143" s="70"/>
      <c r="AD143" s="70"/>
      <c r="AE143" s="70"/>
      <c r="AF143" s="70"/>
      <c r="AG143" s="70"/>
      <c r="AH143" s="37"/>
      <c r="AI143" s="20"/>
    </row>
    <row r="144" customFormat="false" ht="17.35" hidden="false" customHeight="false" outlineLevel="0" collapsed="false">
      <c r="A144" s="158" t="s">
        <v>15</v>
      </c>
      <c r="B144" s="159" t="s">
        <v>142</v>
      </c>
      <c r="C144" s="159"/>
      <c r="D144" s="159"/>
      <c r="E144" s="159"/>
      <c r="F144" s="159"/>
      <c r="G144" s="21" t="n">
        <f aca="false">H18</f>
        <v>0</v>
      </c>
      <c r="H144" s="52" t="n">
        <f aca="false">G144</f>
        <v>0</v>
      </c>
      <c r="J144" s="158" t="s">
        <v>15</v>
      </c>
      <c r="K144" s="159" t="s">
        <v>142</v>
      </c>
      <c r="L144" s="159"/>
      <c r="M144" s="159"/>
      <c r="N144" s="159"/>
      <c r="O144" s="159"/>
      <c r="P144" s="21" t="n">
        <f aca="false">H18</f>
        <v>0</v>
      </c>
      <c r="Q144" s="52" t="n">
        <f aca="false">P144</f>
        <v>0</v>
      </c>
      <c r="S144" s="158" t="s">
        <v>15</v>
      </c>
      <c r="T144" s="159" t="s">
        <v>142</v>
      </c>
      <c r="U144" s="159"/>
      <c r="V144" s="159"/>
      <c r="W144" s="159"/>
      <c r="X144" s="159"/>
      <c r="Y144" s="21" t="n">
        <f aca="false">H18</f>
        <v>0</v>
      </c>
      <c r="Z144" s="52" t="n">
        <f aca="false">Y144</f>
        <v>0</v>
      </c>
      <c r="AB144" s="158" t="s">
        <v>15</v>
      </c>
      <c r="AC144" s="159" t="s">
        <v>142</v>
      </c>
      <c r="AD144" s="159"/>
      <c r="AE144" s="159"/>
      <c r="AF144" s="159"/>
      <c r="AG144" s="159"/>
      <c r="AH144" s="21" t="n">
        <f aca="false">H18</f>
        <v>0</v>
      </c>
      <c r="AI144" s="52" t="n">
        <f aca="false">AH144</f>
        <v>0</v>
      </c>
    </row>
    <row r="145" customFormat="false" ht="17.35" hidden="false" customHeight="false" outlineLevel="0" collapsed="false">
      <c r="A145" s="158" t="s">
        <v>17</v>
      </c>
      <c r="B145" s="159" t="s">
        <v>142</v>
      </c>
      <c r="C145" s="159"/>
      <c r="D145" s="159"/>
      <c r="E145" s="159"/>
      <c r="F145" s="159"/>
      <c r="G145" s="21" t="n">
        <f aca="false">H19</f>
        <v>0</v>
      </c>
      <c r="H145" s="52" t="n">
        <f aca="false">G145</f>
        <v>0</v>
      </c>
      <c r="I145" s="1" t="n">
        <f aca="false">(G142+G145+G146+G144)</f>
        <v>0</v>
      </c>
      <c r="J145" s="158" t="s">
        <v>17</v>
      </c>
      <c r="K145" s="159" t="s">
        <v>142</v>
      </c>
      <c r="L145" s="159"/>
      <c r="M145" s="159"/>
      <c r="N145" s="159"/>
      <c r="O145" s="159"/>
      <c r="P145" s="21" t="n">
        <f aca="false">H19</f>
        <v>0</v>
      </c>
      <c r="Q145" s="52" t="n">
        <f aca="false">P145</f>
        <v>0</v>
      </c>
      <c r="S145" s="158" t="s">
        <v>17</v>
      </c>
      <c r="T145" s="159" t="s">
        <v>142</v>
      </c>
      <c r="U145" s="159"/>
      <c r="V145" s="159"/>
      <c r="W145" s="159"/>
      <c r="X145" s="159"/>
      <c r="Y145" s="21" t="n">
        <f aca="false">H19</f>
        <v>0</v>
      </c>
      <c r="Z145" s="52" t="n">
        <f aca="false">Y145</f>
        <v>0</v>
      </c>
      <c r="AB145" s="158" t="s">
        <v>17</v>
      </c>
      <c r="AC145" s="159" t="s">
        <v>142</v>
      </c>
      <c r="AD145" s="159"/>
      <c r="AE145" s="159"/>
      <c r="AF145" s="159"/>
      <c r="AG145" s="159"/>
      <c r="AH145" s="21" t="n">
        <f aca="false">H19</f>
        <v>0</v>
      </c>
      <c r="AI145" s="52" t="n">
        <f aca="false">AH145</f>
        <v>0</v>
      </c>
    </row>
    <row r="146" customFormat="false" ht="17.35" hidden="false" customHeight="false" outlineLevel="0" collapsed="false">
      <c r="A146" s="160" t="s">
        <v>18</v>
      </c>
      <c r="B146" s="161" t="s">
        <v>142</v>
      </c>
      <c r="C146" s="161"/>
      <c r="D146" s="161"/>
      <c r="E146" s="161"/>
      <c r="F146" s="161"/>
      <c r="G146" s="21" t="n">
        <f aca="false">H20</f>
        <v>0</v>
      </c>
      <c r="H146" s="52" t="n">
        <f aca="false">G146</f>
        <v>0</v>
      </c>
      <c r="I146" s="1" t="n">
        <f aca="false">(H142+H144+H145+H146)</f>
        <v>0</v>
      </c>
      <c r="J146" s="160" t="s">
        <v>18</v>
      </c>
      <c r="K146" s="161" t="s">
        <v>142</v>
      </c>
      <c r="L146" s="161"/>
      <c r="M146" s="161"/>
      <c r="N146" s="161"/>
      <c r="O146" s="161"/>
      <c r="P146" s="21" t="n">
        <f aca="false">H20</f>
        <v>0</v>
      </c>
      <c r="Q146" s="52" t="n">
        <f aca="false">P146</f>
        <v>0</v>
      </c>
      <c r="S146" s="160" t="s">
        <v>18</v>
      </c>
      <c r="T146" s="161" t="s">
        <v>142</v>
      </c>
      <c r="U146" s="161"/>
      <c r="V146" s="161"/>
      <c r="W146" s="161"/>
      <c r="X146" s="161"/>
      <c r="Y146" s="21" t="n">
        <f aca="false">H20</f>
        <v>0</v>
      </c>
      <c r="Z146" s="52" t="n">
        <f aca="false">Y146</f>
        <v>0</v>
      </c>
      <c r="AB146" s="160" t="s">
        <v>18</v>
      </c>
      <c r="AC146" s="161" t="s">
        <v>142</v>
      </c>
      <c r="AD146" s="161"/>
      <c r="AE146" s="161"/>
      <c r="AF146" s="161"/>
      <c r="AG146" s="161"/>
      <c r="AH146" s="21" t="n">
        <f aca="false">H20</f>
        <v>0</v>
      </c>
      <c r="AI146" s="52" t="n">
        <f aca="false">AH146</f>
        <v>0</v>
      </c>
    </row>
    <row r="147" customFormat="false" ht="19.7" hidden="false" customHeight="false" outlineLevel="0" collapsed="false">
      <c r="A147" s="155" t="s">
        <v>143</v>
      </c>
      <c r="B147" s="155"/>
      <c r="C147" s="155"/>
      <c r="D147" s="155"/>
      <c r="E147" s="155"/>
      <c r="F147" s="155"/>
      <c r="G147" s="157" t="n">
        <f aca="false">G141-((G144*1.2)+(G145*1.2)+(G146*1.2)+(G142*1.2))</f>
        <v>58525</v>
      </c>
      <c r="H147" s="162" t="n">
        <f aca="false">H141-((H144*1.2)+(H145*1.2)+(H146*1.2)+(H142*1.2))</f>
        <v>70230.004</v>
      </c>
      <c r="J147" s="155" t="s">
        <v>143</v>
      </c>
      <c r="K147" s="155"/>
      <c r="L147" s="155"/>
      <c r="M147" s="155"/>
      <c r="N147" s="155"/>
      <c r="O147" s="155"/>
      <c r="P147" s="157" t="n">
        <f aca="false">P141-((P144*1.2)+(P145*1.2)+(P146*1.2)+(P142*1.2))</f>
        <v>58525</v>
      </c>
      <c r="Q147" s="162" t="n">
        <f aca="false">Q141-((Q144*1.2)+(Q145*1.2)+(Q146*1.2)+(Q142*1.2))</f>
        <v>36655</v>
      </c>
      <c r="S147" s="155" t="s">
        <v>143</v>
      </c>
      <c r="T147" s="155"/>
      <c r="U147" s="155"/>
      <c r="V147" s="155"/>
      <c r="W147" s="155"/>
      <c r="X147" s="155"/>
      <c r="Y147" s="157" t="n">
        <f aca="false">Y141-((Y144*1.2)+(Y145*1.2)+(Y146*1.2)+(Y142*1.2))</f>
        <v>58525</v>
      </c>
      <c r="Z147" s="162" t="n">
        <f aca="false">Z141-((Z144*1.2)+(Z145*1.2)+(Z146*1.2)+(Z142*1.2))</f>
        <v>58384.43749</v>
      </c>
      <c r="AB147" s="155" t="s">
        <v>143</v>
      </c>
      <c r="AC147" s="155"/>
      <c r="AD147" s="155"/>
      <c r="AE147" s="155"/>
      <c r="AF147" s="155"/>
      <c r="AG147" s="155"/>
      <c r="AH147" s="157" t="n">
        <f aca="false">AH141-((AH144*1.2)+(AH145*1.2)+(AH146*1.2)+(AH142*1.2))</f>
        <v>58525</v>
      </c>
      <c r="AI147" s="162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55" t="s">
        <v>144</v>
      </c>
      <c r="B148" s="155"/>
      <c r="C148" s="155"/>
      <c r="D148" s="155"/>
      <c r="E148" s="155"/>
      <c r="F148" s="155"/>
      <c r="G148" s="21"/>
      <c r="H148" s="52" t="n">
        <f aca="false">((H147-G147)-(H137-G137))+((I146-I145)*0.2)</f>
        <v>9754.17</v>
      </c>
      <c r="I148" s="1" t="n">
        <f aca="false">(H148-G81)/1.2</f>
        <v>8128.475</v>
      </c>
      <c r="J148" s="155" t="s">
        <v>144</v>
      </c>
      <c r="K148" s="155"/>
      <c r="L148" s="155"/>
      <c r="M148" s="155"/>
      <c r="N148" s="155"/>
      <c r="O148" s="155"/>
      <c r="P148" s="21"/>
      <c r="Q148" s="52" t="n">
        <f aca="false">Q147-P147</f>
        <v>-21870</v>
      </c>
      <c r="S148" s="155" t="s">
        <v>144</v>
      </c>
      <c r="T148" s="155"/>
      <c r="U148" s="155"/>
      <c r="V148" s="155"/>
      <c r="W148" s="155"/>
      <c r="X148" s="155"/>
      <c r="Y148" s="21"/>
      <c r="Z148" s="52" t="n">
        <f aca="false">Z147-Y147</f>
        <v>-140.562510000003</v>
      </c>
      <c r="AB148" s="155" t="s">
        <v>144</v>
      </c>
      <c r="AC148" s="155"/>
      <c r="AD148" s="155"/>
      <c r="AE148" s="155"/>
      <c r="AF148" s="155"/>
      <c r="AG148" s="155"/>
      <c r="AH148" s="21"/>
      <c r="AI148" s="52" t="n">
        <f aca="false">AI147-AH147</f>
        <v>-14056.251</v>
      </c>
    </row>
    <row r="149" customFormat="false" ht="17.35" hidden="false" customHeight="false" outlineLevel="0" collapsed="false">
      <c r="A149" s="55"/>
      <c r="B149" s="25"/>
      <c r="C149" s="25"/>
      <c r="D149" s="25"/>
      <c r="E149" s="45"/>
      <c r="F149" s="45"/>
      <c r="G149" s="45"/>
      <c r="H149" s="20"/>
      <c r="J149" s="55"/>
      <c r="K149" s="25"/>
      <c r="L149" s="25"/>
      <c r="M149" s="25"/>
      <c r="N149" s="45"/>
      <c r="O149" s="45"/>
      <c r="P149" s="45"/>
      <c r="Q149" s="20"/>
      <c r="S149" s="55"/>
      <c r="T149" s="25"/>
      <c r="U149" s="25"/>
      <c r="V149" s="25"/>
      <c r="W149" s="45"/>
      <c r="X149" s="45"/>
      <c r="Y149" s="45"/>
      <c r="Z149" s="20"/>
      <c r="AB149" s="55"/>
      <c r="AC149" s="25"/>
      <c r="AD149" s="25"/>
      <c r="AE149" s="25"/>
      <c r="AF149" s="45"/>
      <c r="AG149" s="45"/>
      <c r="AH149" s="45"/>
      <c r="AI149" s="20"/>
    </row>
    <row r="150" customFormat="false" ht="22.05" hidden="false" customHeight="false" outlineLevel="0" collapsed="false">
      <c r="A150" s="58" t="s">
        <v>145</v>
      </c>
      <c r="B150" s="58"/>
      <c r="C150" s="58"/>
      <c r="D150" s="58"/>
      <c r="E150" s="58"/>
      <c r="F150" s="58"/>
      <c r="G150" s="58"/>
      <c r="H150" s="58"/>
      <c r="J150" s="58" t="s">
        <v>145</v>
      </c>
      <c r="K150" s="58"/>
      <c r="L150" s="58"/>
      <c r="M150" s="58"/>
      <c r="N150" s="58"/>
      <c r="O150" s="58"/>
      <c r="P150" s="58"/>
      <c r="Q150" s="58"/>
      <c r="S150" s="58" t="s">
        <v>145</v>
      </c>
      <c r="T150" s="58"/>
      <c r="U150" s="58"/>
      <c r="V150" s="58"/>
      <c r="W150" s="58"/>
      <c r="X150" s="58"/>
      <c r="Y150" s="58"/>
      <c r="Z150" s="58"/>
      <c r="AB150" s="58" t="s">
        <v>145</v>
      </c>
      <c r="AC150" s="58"/>
      <c r="AD150" s="58"/>
      <c r="AE150" s="58"/>
      <c r="AF150" s="58"/>
      <c r="AG150" s="58"/>
      <c r="AH150" s="58"/>
      <c r="AI150" s="58"/>
    </row>
    <row r="151" customFormat="false" ht="17.35" hidden="false" customHeight="false" outlineLevel="0" collapsed="false">
      <c r="A151" s="55"/>
      <c r="B151" s="25"/>
      <c r="C151" s="25"/>
      <c r="D151" s="25"/>
      <c r="E151" s="45"/>
      <c r="F151" s="45"/>
      <c r="G151" s="45"/>
      <c r="H151" s="20"/>
      <c r="J151" s="55"/>
      <c r="K151" s="25"/>
      <c r="L151" s="25"/>
      <c r="M151" s="25"/>
      <c r="N151" s="45"/>
      <c r="O151" s="45"/>
      <c r="P151" s="45"/>
      <c r="Q151" s="20"/>
      <c r="S151" s="55"/>
      <c r="T151" s="25"/>
      <c r="U151" s="25"/>
      <c r="V151" s="25"/>
      <c r="W151" s="45"/>
      <c r="X151" s="45"/>
      <c r="Y151" s="45"/>
      <c r="Z151" s="20"/>
      <c r="AB151" s="55"/>
      <c r="AC151" s="25"/>
      <c r="AD151" s="25"/>
      <c r="AE151" s="25"/>
      <c r="AF151" s="45"/>
      <c r="AG151" s="45"/>
      <c r="AH151" s="45"/>
      <c r="AI151" s="20"/>
    </row>
    <row r="152" customFormat="false" ht="17.35" hidden="false" customHeight="false" outlineLevel="0" collapsed="false">
      <c r="A152" s="55" t="s">
        <v>146</v>
      </c>
      <c r="B152" s="25"/>
      <c r="C152" s="25"/>
      <c r="D152" s="45"/>
      <c r="E152" s="72" t="n">
        <v>2000</v>
      </c>
      <c r="F152" s="72"/>
      <c r="G152" s="72" t="n">
        <v>1000</v>
      </c>
      <c r="H152" s="72"/>
      <c r="J152" s="55" t="s">
        <v>146</v>
      </c>
      <c r="K152" s="25"/>
      <c r="L152" s="25"/>
      <c r="M152" s="45"/>
      <c r="N152" s="72" t="n">
        <v>10000</v>
      </c>
      <c r="O152" s="72"/>
      <c r="P152" s="72" t="n">
        <v>5000</v>
      </c>
      <c r="Q152" s="72"/>
      <c r="S152" s="55" t="s">
        <v>146</v>
      </c>
      <c r="T152" s="25"/>
      <c r="U152" s="25"/>
      <c r="V152" s="45"/>
      <c r="W152" s="72" t="n">
        <v>10000</v>
      </c>
      <c r="X152" s="72"/>
      <c r="Y152" s="72" t="n">
        <v>5000</v>
      </c>
      <c r="Z152" s="72"/>
      <c r="AB152" s="55" t="s">
        <v>146</v>
      </c>
      <c r="AC152" s="25"/>
      <c r="AD152" s="25"/>
      <c r="AE152" s="45"/>
      <c r="AF152" s="72" t="n">
        <v>10000</v>
      </c>
      <c r="AG152" s="72"/>
      <c r="AH152" s="72" t="n">
        <v>5000</v>
      </c>
      <c r="AI152" s="72"/>
    </row>
    <row r="153" customFormat="false" ht="17.35" hidden="false" customHeight="false" outlineLevel="0" collapsed="false">
      <c r="A153" s="55" t="s">
        <v>147</v>
      </c>
      <c r="B153" s="25"/>
      <c r="C153" s="25"/>
      <c r="D153" s="45"/>
      <c r="E153" s="38" t="n">
        <f aca="false">G153</f>
        <v>500</v>
      </c>
      <c r="F153" s="38"/>
      <c r="G153" s="72" t="n">
        <v>500</v>
      </c>
      <c r="H153" s="72"/>
      <c r="J153" s="55" t="s">
        <v>147</v>
      </c>
      <c r="K153" s="25"/>
      <c r="L153" s="25"/>
      <c r="M153" s="45"/>
      <c r="N153" s="38" t="n">
        <f aca="false">P153</f>
        <v>7000</v>
      </c>
      <c r="O153" s="38"/>
      <c r="P153" s="72" t="n">
        <v>7000</v>
      </c>
      <c r="Q153" s="72"/>
      <c r="S153" s="55" t="s">
        <v>147</v>
      </c>
      <c r="T153" s="25"/>
      <c r="U153" s="25"/>
      <c r="V153" s="45"/>
      <c r="W153" s="38" t="n">
        <f aca="false">Y153</f>
        <v>7000</v>
      </c>
      <c r="X153" s="38"/>
      <c r="Y153" s="72" t="n">
        <v>7000</v>
      </c>
      <c r="Z153" s="72"/>
      <c r="AB153" s="55" t="s">
        <v>147</v>
      </c>
      <c r="AC153" s="25"/>
      <c r="AD153" s="25"/>
      <c r="AE153" s="45"/>
      <c r="AF153" s="38" t="n">
        <f aca="false">AH153</f>
        <v>7000</v>
      </c>
      <c r="AG153" s="38"/>
      <c r="AH153" s="72" t="n">
        <v>7000</v>
      </c>
      <c r="AI153" s="72"/>
    </row>
    <row r="154" customFormat="false" ht="17.35" hidden="false" customHeight="false" outlineLevel="0" collapsed="false">
      <c r="A154" s="55" t="s">
        <v>148</v>
      </c>
      <c r="B154" s="25"/>
      <c r="C154" s="25"/>
      <c r="D154" s="45"/>
      <c r="E154" s="38" t="n">
        <f aca="false">E152-E153</f>
        <v>1500</v>
      </c>
      <c r="F154" s="38"/>
      <c r="G154" s="163" t="n">
        <f aca="false">G152-G153</f>
        <v>500</v>
      </c>
      <c r="H154" s="163"/>
      <c r="J154" s="55" t="s">
        <v>148</v>
      </c>
      <c r="K154" s="25"/>
      <c r="L154" s="25"/>
      <c r="M154" s="45"/>
      <c r="N154" s="38" t="n">
        <f aca="false">N152-N153</f>
        <v>3000</v>
      </c>
      <c r="O154" s="38"/>
      <c r="P154" s="163" t="n">
        <f aca="false">P152-P153</f>
        <v>-2000</v>
      </c>
      <c r="Q154" s="163"/>
      <c r="S154" s="55" t="s">
        <v>148</v>
      </c>
      <c r="T154" s="25"/>
      <c r="U154" s="25"/>
      <c r="V154" s="45"/>
      <c r="W154" s="38" t="n">
        <f aca="false">W152-W153</f>
        <v>3000</v>
      </c>
      <c r="X154" s="38"/>
      <c r="Y154" s="163" t="n">
        <f aca="false">Y152-Y153</f>
        <v>-2000</v>
      </c>
      <c r="Z154" s="163"/>
      <c r="AB154" s="55" t="s">
        <v>148</v>
      </c>
      <c r="AC154" s="25"/>
      <c r="AD154" s="25"/>
      <c r="AE154" s="45"/>
      <c r="AF154" s="38" t="n">
        <f aca="false">AF152-AF153</f>
        <v>3000</v>
      </c>
      <c r="AG154" s="38"/>
      <c r="AH154" s="163" t="n">
        <f aca="false">AH152-AH153</f>
        <v>-2000</v>
      </c>
      <c r="AI154" s="163"/>
    </row>
    <row r="155" customFormat="false" ht="17.35" hidden="false" customHeight="false" outlineLevel="0" collapsed="false">
      <c r="A155" s="55" t="s">
        <v>149</v>
      </c>
      <c r="B155" s="25"/>
      <c r="C155" s="25"/>
      <c r="D155" s="45"/>
      <c r="E155" s="38" t="n">
        <f aca="false">E154-G154</f>
        <v>1000</v>
      </c>
      <c r="F155" s="38"/>
      <c r="G155" s="45"/>
      <c r="H155" s="20"/>
      <c r="J155" s="55" t="s">
        <v>149</v>
      </c>
      <c r="K155" s="25"/>
      <c r="L155" s="25"/>
      <c r="M155" s="45"/>
      <c r="N155" s="38" t="n">
        <f aca="false">N154-P154</f>
        <v>5000</v>
      </c>
      <c r="O155" s="38"/>
      <c r="P155" s="45"/>
      <c r="Q155" s="20"/>
      <c r="S155" s="55" t="s">
        <v>149</v>
      </c>
      <c r="T155" s="25"/>
      <c r="U155" s="25"/>
      <c r="V155" s="45"/>
      <c r="W155" s="38" t="n">
        <f aca="false">W154-Y154</f>
        <v>5000</v>
      </c>
      <c r="X155" s="38"/>
      <c r="Y155" s="45"/>
      <c r="Z155" s="20"/>
      <c r="AB155" s="55" t="s">
        <v>149</v>
      </c>
      <c r="AC155" s="25"/>
      <c r="AD155" s="25"/>
      <c r="AE155" s="45"/>
      <c r="AF155" s="38" t="n">
        <f aca="false">AF154-AH154</f>
        <v>5000</v>
      </c>
      <c r="AG155" s="38"/>
      <c r="AH155" s="45"/>
      <c r="AI155" s="20"/>
    </row>
    <row r="156" customFormat="false" ht="17.35" hidden="false" customHeight="false" outlineLevel="0" collapsed="false">
      <c r="A156" s="55"/>
      <c r="B156" s="25"/>
      <c r="C156" s="25"/>
      <c r="D156" s="45"/>
      <c r="E156" s="25"/>
      <c r="F156" s="45"/>
      <c r="G156" s="45"/>
      <c r="H156" s="20"/>
      <c r="J156" s="55"/>
      <c r="K156" s="25"/>
      <c r="L156" s="25"/>
      <c r="M156" s="45"/>
      <c r="N156" s="25"/>
      <c r="O156" s="45"/>
      <c r="P156" s="45"/>
      <c r="Q156" s="20"/>
      <c r="S156" s="55"/>
      <c r="T156" s="25"/>
      <c r="U156" s="25"/>
      <c r="V156" s="45"/>
      <c r="W156" s="25"/>
      <c r="X156" s="45"/>
      <c r="Y156" s="45"/>
      <c r="Z156" s="20"/>
      <c r="AB156" s="55"/>
      <c r="AC156" s="25"/>
      <c r="AD156" s="25"/>
      <c r="AE156" s="45"/>
      <c r="AF156" s="25"/>
      <c r="AG156" s="45"/>
      <c r="AH156" s="45"/>
      <c r="AI156" s="20"/>
    </row>
    <row r="157" customFormat="false" ht="17.35" hidden="false" customHeight="false" outlineLevel="0" collapsed="false">
      <c r="A157" s="48" t="s">
        <v>150</v>
      </c>
      <c r="B157" s="49"/>
      <c r="C157" s="49"/>
      <c r="D157" s="93"/>
      <c r="E157" s="49"/>
      <c r="F157" s="93"/>
      <c r="G157" s="164" t="n">
        <f aca="false">A114</f>
        <v>2000</v>
      </c>
      <c r="H157" s="164"/>
      <c r="J157" s="48" t="s">
        <v>150</v>
      </c>
      <c r="K157" s="49"/>
      <c r="L157" s="49"/>
      <c r="M157" s="93"/>
      <c r="N157" s="49"/>
      <c r="O157" s="93"/>
      <c r="P157" s="164" t="n">
        <f aca="false">J114</f>
        <v>1000</v>
      </c>
      <c r="Q157" s="164"/>
      <c r="S157" s="48" t="s">
        <v>150</v>
      </c>
      <c r="T157" s="49"/>
      <c r="U157" s="49"/>
      <c r="V157" s="93"/>
      <c r="W157" s="49"/>
      <c r="X157" s="93"/>
      <c r="Y157" s="164" t="n">
        <f aca="false">S114</f>
        <v>1000</v>
      </c>
      <c r="Z157" s="164"/>
      <c r="AB157" s="48" t="s">
        <v>150</v>
      </c>
      <c r="AC157" s="49"/>
      <c r="AD157" s="49"/>
      <c r="AE157" s="93"/>
      <c r="AF157" s="49"/>
      <c r="AG157" s="93"/>
      <c r="AH157" s="164" t="n">
        <f aca="false">AB114</f>
        <v>1000</v>
      </c>
      <c r="AI157" s="164"/>
    </row>
    <row r="158" customFormat="false" ht="19.7" hidden="false" customHeight="false" outlineLevel="0" collapsed="false">
      <c r="A158" s="165" t="s">
        <v>151</v>
      </c>
      <c r="B158" s="25"/>
      <c r="C158" s="25"/>
      <c r="D158" s="94"/>
      <c r="E158" s="25"/>
      <c r="F158" s="94"/>
      <c r="G158" s="166" t="n">
        <f aca="false">H147-G154-G157</f>
        <v>67730.004</v>
      </c>
      <c r="H158" s="166"/>
      <c r="J158" s="165" t="s">
        <v>151</v>
      </c>
      <c r="K158" s="25"/>
      <c r="L158" s="25"/>
      <c r="M158" s="94"/>
      <c r="N158" s="25"/>
      <c r="O158" s="94"/>
      <c r="P158" s="166" t="n">
        <f aca="false">Q147-P154-P157</f>
        <v>37655</v>
      </c>
      <c r="Q158" s="166"/>
      <c r="S158" s="165" t="s">
        <v>151</v>
      </c>
      <c r="T158" s="25"/>
      <c r="U158" s="25"/>
      <c r="V158" s="94"/>
      <c r="W158" s="25"/>
      <c r="X158" s="94"/>
      <c r="Y158" s="166" t="n">
        <f aca="false">Z147-Y154-Y157</f>
        <v>59384.43749</v>
      </c>
      <c r="Z158" s="166"/>
      <c r="AB158" s="165" t="s">
        <v>151</v>
      </c>
      <c r="AC158" s="25"/>
      <c r="AD158" s="25"/>
      <c r="AE158" s="94"/>
      <c r="AF158" s="25"/>
      <c r="AG158" s="94"/>
      <c r="AH158" s="166" t="n">
        <f aca="false">AI147-AH154-AH157</f>
        <v>45468.749</v>
      </c>
      <c r="AI158" s="166"/>
    </row>
    <row r="159" customFormat="false" ht="17.35" hidden="false" customHeight="false" outlineLevel="0" collapsed="false">
      <c r="A159" s="74" t="s">
        <v>152</v>
      </c>
      <c r="B159" s="75"/>
      <c r="C159" s="75"/>
      <c r="D159" s="116"/>
      <c r="E159" s="75"/>
      <c r="F159" s="116"/>
      <c r="G159" s="167" t="str">
        <f aca="false">B114</f>
        <v>239.99</v>
      </c>
      <c r="H159" s="167"/>
      <c r="J159" s="74" t="s">
        <v>152</v>
      </c>
      <c r="K159" s="75"/>
      <c r="L159" s="75"/>
      <c r="M159" s="116"/>
      <c r="N159" s="75"/>
      <c r="O159" s="116"/>
      <c r="P159" s="167" t="n">
        <f aca="false">K114</f>
        <v>239.99</v>
      </c>
      <c r="Q159" s="167"/>
      <c r="S159" s="74" t="s">
        <v>152</v>
      </c>
      <c r="T159" s="75"/>
      <c r="U159" s="75"/>
      <c r="V159" s="116"/>
      <c r="W159" s="75"/>
      <c r="X159" s="116"/>
      <c r="Y159" s="167" t="n">
        <f aca="false">T114</f>
        <v>199.99</v>
      </c>
      <c r="Z159" s="167"/>
      <c r="AB159" s="74" t="s">
        <v>152</v>
      </c>
      <c r="AC159" s="75"/>
      <c r="AD159" s="75"/>
      <c r="AE159" s="116"/>
      <c r="AF159" s="75"/>
      <c r="AG159" s="116"/>
      <c r="AH159" s="167" t="n">
        <f aca="false">AC114</f>
        <v>239.99</v>
      </c>
      <c r="AI159" s="167"/>
    </row>
    <row r="160" customFormat="false" ht="17.35" hidden="false" customHeight="false" outlineLevel="0" collapsed="false">
      <c r="A160" s="55"/>
      <c r="B160" s="25"/>
      <c r="C160" s="25"/>
      <c r="D160" s="25"/>
      <c r="E160" s="45"/>
      <c r="F160" s="45"/>
      <c r="G160" s="45"/>
      <c r="H160" s="20"/>
      <c r="J160" s="55"/>
      <c r="K160" s="25"/>
      <c r="L160" s="25"/>
      <c r="M160" s="25"/>
      <c r="N160" s="45"/>
      <c r="O160" s="45"/>
      <c r="P160" s="45"/>
      <c r="Q160" s="20"/>
      <c r="S160" s="55"/>
      <c r="T160" s="25"/>
      <c r="U160" s="25"/>
      <c r="V160" s="25"/>
      <c r="W160" s="45"/>
      <c r="X160" s="45"/>
      <c r="Y160" s="45"/>
      <c r="Z160" s="20"/>
      <c r="AB160" s="55"/>
      <c r="AC160" s="25"/>
      <c r="AD160" s="25"/>
      <c r="AE160" s="25"/>
      <c r="AF160" s="45"/>
      <c r="AG160" s="45"/>
      <c r="AH160" s="45"/>
      <c r="AI160" s="20"/>
    </row>
    <row r="161" customFormat="false" ht="17.35" hidden="false" customHeight="false" outlineLevel="0" collapsed="false">
      <c r="A161" s="55"/>
      <c r="B161" s="25"/>
      <c r="C161" s="25"/>
      <c r="D161" s="25"/>
      <c r="E161" s="45"/>
      <c r="F161" s="45"/>
      <c r="G161" s="45"/>
      <c r="H161" s="20"/>
      <c r="J161" s="55"/>
      <c r="K161" s="25"/>
      <c r="L161" s="25"/>
      <c r="M161" s="25"/>
      <c r="N161" s="45"/>
      <c r="O161" s="45"/>
      <c r="P161" s="45"/>
      <c r="Q161" s="20"/>
      <c r="S161" s="55"/>
      <c r="T161" s="25"/>
      <c r="U161" s="25"/>
      <c r="V161" s="25"/>
      <c r="W161" s="45"/>
      <c r="X161" s="45"/>
      <c r="Y161" s="45"/>
      <c r="Z161" s="20"/>
      <c r="AB161" s="55"/>
      <c r="AC161" s="25"/>
      <c r="AD161" s="25"/>
      <c r="AE161" s="25"/>
      <c r="AF161" s="45"/>
      <c r="AG161" s="45"/>
      <c r="AH161" s="45"/>
      <c r="AI161" s="20"/>
    </row>
    <row r="162" customFormat="false" ht="22.05" hidden="false" customHeight="false" outlineLevel="0" collapsed="false">
      <c r="A162" s="58" t="s">
        <v>153</v>
      </c>
      <c r="B162" s="58"/>
      <c r="C162" s="58"/>
      <c r="D162" s="58"/>
      <c r="E162" s="58"/>
      <c r="F162" s="58"/>
      <c r="G162" s="58"/>
      <c r="H162" s="58"/>
      <c r="J162" s="58" t="s">
        <v>153</v>
      </c>
      <c r="K162" s="58"/>
      <c r="L162" s="58"/>
      <c r="M162" s="58"/>
      <c r="N162" s="58"/>
      <c r="O162" s="58"/>
      <c r="P162" s="58"/>
      <c r="Q162" s="58"/>
      <c r="S162" s="58" t="s">
        <v>153</v>
      </c>
      <c r="T162" s="58"/>
      <c r="U162" s="58"/>
      <c r="V162" s="58"/>
      <c r="W162" s="58"/>
      <c r="X162" s="58"/>
      <c r="Y162" s="58"/>
      <c r="Z162" s="58"/>
      <c r="AB162" s="58" t="s">
        <v>153</v>
      </c>
      <c r="AC162" s="58"/>
      <c r="AD162" s="58"/>
      <c r="AE162" s="58"/>
      <c r="AF162" s="58"/>
      <c r="AG162" s="58"/>
      <c r="AH162" s="58"/>
      <c r="AI162" s="58"/>
    </row>
    <row r="163" customFormat="false" ht="17.35" hidden="false" customHeight="false" outlineLevel="0" collapsed="false">
      <c r="A163" s="55"/>
      <c r="B163" s="25"/>
      <c r="C163" s="25"/>
      <c r="D163" s="25"/>
      <c r="E163" s="45"/>
      <c r="F163" s="45"/>
      <c r="G163" s="45"/>
      <c r="H163" s="20"/>
      <c r="J163" s="55"/>
      <c r="K163" s="25"/>
      <c r="L163" s="25"/>
      <c r="M163" s="25"/>
      <c r="N163" s="45"/>
      <c r="O163" s="45"/>
      <c r="P163" s="45"/>
      <c r="Q163" s="20"/>
      <c r="S163" s="55"/>
      <c r="T163" s="25"/>
      <c r="U163" s="25"/>
      <c r="V163" s="25"/>
      <c r="W163" s="45"/>
      <c r="X163" s="45"/>
      <c r="Y163" s="45"/>
      <c r="Z163" s="20"/>
      <c r="AB163" s="55"/>
      <c r="AC163" s="25"/>
      <c r="AD163" s="25"/>
      <c r="AE163" s="25"/>
      <c r="AF163" s="45"/>
      <c r="AG163" s="45"/>
      <c r="AH163" s="45"/>
      <c r="AI163" s="20"/>
    </row>
    <row r="164" customFormat="false" ht="17.35" hidden="false" customHeight="false" outlineLevel="0" collapsed="false">
      <c r="A164" s="55" t="s">
        <v>29</v>
      </c>
      <c r="B164" s="168" t="n">
        <v>0</v>
      </c>
      <c r="C164" s="168"/>
      <c r="D164" s="25"/>
      <c r="E164" s="45"/>
      <c r="F164" s="45"/>
      <c r="G164" s="45"/>
      <c r="H164" s="20"/>
      <c r="J164" s="55" t="s">
        <v>29</v>
      </c>
      <c r="K164" s="168" t="n">
        <v>0</v>
      </c>
      <c r="L164" s="168"/>
      <c r="M164" s="25"/>
      <c r="N164" s="45"/>
      <c r="O164" s="45"/>
      <c r="P164" s="45"/>
      <c r="Q164" s="20"/>
      <c r="S164" s="55" t="s">
        <v>29</v>
      </c>
      <c r="T164" s="168" t="n">
        <v>0</v>
      </c>
      <c r="U164" s="168"/>
      <c r="V164" s="25"/>
      <c r="W164" s="45"/>
      <c r="X164" s="45"/>
      <c r="Y164" s="45"/>
      <c r="Z164" s="20"/>
      <c r="AB164" s="55" t="s">
        <v>29</v>
      </c>
      <c r="AC164" s="168" t="n">
        <v>0</v>
      </c>
      <c r="AD164" s="168"/>
      <c r="AE164" s="25"/>
      <c r="AF164" s="45"/>
      <c r="AG164" s="45"/>
      <c r="AH164" s="45"/>
      <c r="AI164" s="20"/>
    </row>
    <row r="165" customFormat="false" ht="17.35" hidden="false" customHeight="false" outlineLevel="0" collapsed="false">
      <c r="A165" s="55"/>
      <c r="B165" s="25"/>
      <c r="C165" s="25"/>
      <c r="D165" s="25"/>
      <c r="E165" s="45"/>
      <c r="F165" s="45"/>
      <c r="G165" s="45"/>
      <c r="H165" s="20"/>
      <c r="J165" s="55"/>
      <c r="K165" s="25"/>
      <c r="L165" s="25"/>
      <c r="M165" s="25"/>
      <c r="N165" s="45"/>
      <c r="O165" s="45"/>
      <c r="P165" s="45"/>
      <c r="Q165" s="20"/>
      <c r="S165" s="55"/>
      <c r="T165" s="25"/>
      <c r="U165" s="25"/>
      <c r="V165" s="25"/>
      <c r="W165" s="45"/>
      <c r="X165" s="45"/>
      <c r="Y165" s="45"/>
      <c r="Z165" s="20"/>
      <c r="AB165" s="55"/>
      <c r="AC165" s="25"/>
      <c r="AD165" s="25"/>
      <c r="AE165" s="25"/>
      <c r="AF165" s="45"/>
      <c r="AG165" s="45"/>
      <c r="AH165" s="45"/>
      <c r="AI165" s="20"/>
    </row>
    <row r="166" customFormat="false" ht="17.35" hidden="false" customHeight="false" outlineLevel="0" collapsed="false">
      <c r="A166" s="169" t="s">
        <v>154</v>
      </c>
      <c r="B166" s="170" t="s">
        <v>155</v>
      </c>
      <c r="C166" s="170"/>
      <c r="D166" s="170"/>
      <c r="E166" s="170" t="s">
        <v>156</v>
      </c>
      <c r="F166" s="45"/>
      <c r="G166" s="45"/>
      <c r="H166" s="20"/>
      <c r="J166" s="169" t="s">
        <v>154</v>
      </c>
      <c r="K166" s="170" t="s">
        <v>155</v>
      </c>
      <c r="L166" s="170"/>
      <c r="M166" s="170"/>
      <c r="N166" s="170" t="s">
        <v>156</v>
      </c>
      <c r="O166" s="45"/>
      <c r="P166" s="45"/>
      <c r="Q166" s="20"/>
      <c r="S166" s="169" t="s">
        <v>154</v>
      </c>
      <c r="T166" s="170" t="s">
        <v>155</v>
      </c>
      <c r="U166" s="170"/>
      <c r="V166" s="170"/>
      <c r="W166" s="170" t="s">
        <v>156</v>
      </c>
      <c r="X166" s="45"/>
      <c r="Y166" s="45"/>
      <c r="Z166" s="20"/>
      <c r="AB166" s="169" t="s">
        <v>154</v>
      </c>
      <c r="AC166" s="170" t="s">
        <v>155</v>
      </c>
      <c r="AD166" s="170"/>
      <c r="AE166" s="170"/>
      <c r="AF166" s="170" t="s">
        <v>156</v>
      </c>
      <c r="AG166" s="45"/>
      <c r="AH166" s="45"/>
      <c r="AI166" s="20"/>
    </row>
    <row r="167" customFormat="false" ht="17.35" hidden="false" customHeight="false" outlineLevel="0" collapsed="false">
      <c r="A167" s="173" t="n">
        <f aca="false">B95</f>
        <v>2165.20916325754</v>
      </c>
      <c r="B167" s="172" t="n">
        <f aca="false">B94</f>
        <v>86.0592352941177</v>
      </c>
      <c r="C167" s="170"/>
      <c r="D167" s="170"/>
      <c r="E167" s="172" t="n">
        <f aca="false">B96</f>
        <v>2251.26839855166</v>
      </c>
      <c r="F167" s="45"/>
      <c r="G167" s="45"/>
      <c r="H167" s="20"/>
      <c r="J167" s="173" t="n">
        <f aca="false">K95</f>
        <v>1506.2831870777</v>
      </c>
      <c r="K167" s="172" t="n">
        <f aca="false">K94</f>
        <v>83.6004</v>
      </c>
      <c r="L167" s="170"/>
      <c r="M167" s="170"/>
      <c r="N167" s="172" t="n">
        <f aca="false">K96</f>
        <v>1589.8835870777</v>
      </c>
      <c r="O167" s="45"/>
      <c r="P167" s="45"/>
      <c r="Q167" s="20"/>
      <c r="S167" s="173" t="n">
        <f aca="false">T95</f>
        <v>1926.02522260238</v>
      </c>
      <c r="T167" s="172" t="n">
        <f aca="false">T94</f>
        <v>66.1994117647059</v>
      </c>
      <c r="U167" s="170"/>
      <c r="V167" s="170"/>
      <c r="W167" s="172" t="n">
        <f aca="false">T96</f>
        <v>1992.22463436709</v>
      </c>
      <c r="X167" s="45"/>
      <c r="Y167" s="45"/>
      <c r="Z167" s="20"/>
      <c r="AB167" s="173" t="n">
        <f aca="false">AC95</f>
        <v>1433.89112033067</v>
      </c>
      <c r="AC167" s="172" t="n">
        <f aca="false">AC94</f>
        <v>79.4392941176471</v>
      </c>
      <c r="AD167" s="170"/>
      <c r="AE167" s="170"/>
      <c r="AF167" s="172" t="n">
        <f aca="false">AC96</f>
        <v>1513.33041444831</v>
      </c>
      <c r="AG167" s="45"/>
      <c r="AH167" s="45"/>
      <c r="AI167" s="20"/>
    </row>
    <row r="168" customFormat="false" ht="17.35" hidden="false" customHeight="false" outlineLevel="0" collapsed="false">
      <c r="A168" s="55"/>
      <c r="B168" s="25"/>
      <c r="C168" s="25"/>
      <c r="D168" s="25"/>
      <c r="E168" s="45"/>
      <c r="F168" s="45"/>
      <c r="G168" s="45"/>
      <c r="H168" s="20"/>
      <c r="J168" s="55"/>
      <c r="K168" s="25"/>
      <c r="L168" s="25"/>
      <c r="M168" s="25"/>
      <c r="N168" s="45"/>
      <c r="O168" s="45"/>
      <c r="P168" s="45"/>
      <c r="Q168" s="20"/>
      <c r="S168" s="55"/>
      <c r="T168" s="25"/>
      <c r="U168" s="25"/>
      <c r="V168" s="25"/>
      <c r="W168" s="45"/>
      <c r="X168" s="45"/>
      <c r="Y168" s="45"/>
      <c r="Z168" s="20"/>
      <c r="AB168" s="55"/>
      <c r="AC168" s="25"/>
      <c r="AD168" s="25"/>
      <c r="AE168" s="25"/>
      <c r="AF168" s="45"/>
      <c r="AG168" s="45"/>
      <c r="AH168" s="45"/>
      <c r="AI168" s="20"/>
    </row>
    <row r="169" customFormat="false" ht="17.35" hidden="false" customHeight="false" outlineLevel="0" collapsed="false">
      <c r="A169" s="55" t="s">
        <v>28</v>
      </c>
      <c r="B169" s="25" t="s">
        <v>33</v>
      </c>
      <c r="C169" s="25"/>
      <c r="D169" s="45"/>
      <c r="E169" s="25" t="s">
        <v>157</v>
      </c>
      <c r="F169" s="45"/>
      <c r="G169" s="45"/>
      <c r="H169" s="20"/>
      <c r="J169" s="55" t="s">
        <v>28</v>
      </c>
      <c r="K169" s="25" t="s">
        <v>33</v>
      </c>
      <c r="L169" s="25"/>
      <c r="M169" s="45"/>
      <c r="N169" s="25" t="s">
        <v>157</v>
      </c>
      <c r="O169" s="45"/>
      <c r="P169" s="45"/>
      <c r="Q169" s="20"/>
      <c r="S169" s="55" t="s">
        <v>28</v>
      </c>
      <c r="T169" s="25" t="s">
        <v>33</v>
      </c>
      <c r="U169" s="25"/>
      <c r="V169" s="45"/>
      <c r="W169" s="25" t="s">
        <v>157</v>
      </c>
      <c r="X169" s="45"/>
      <c r="Y169" s="45"/>
      <c r="Z169" s="20"/>
      <c r="AB169" s="55" t="s">
        <v>28</v>
      </c>
      <c r="AC169" s="25" t="s">
        <v>33</v>
      </c>
      <c r="AD169" s="25"/>
      <c r="AE169" s="45"/>
      <c r="AF169" s="25" t="s">
        <v>157</v>
      </c>
      <c r="AG169" s="45"/>
      <c r="AH169" s="45"/>
      <c r="AI169" s="20"/>
    </row>
    <row r="170" customFormat="false" ht="17.35" hidden="false" customHeight="false" outlineLevel="0" collapsed="false">
      <c r="A170" s="63" t="n">
        <f aca="false">K29</f>
        <v>35</v>
      </c>
      <c r="B170" s="174" t="n">
        <f aca="false">K30</f>
        <v>35000</v>
      </c>
      <c r="C170" s="175"/>
      <c r="D170" s="45"/>
      <c r="E170" s="73" t="n">
        <f aca="false">IF(A111="YES", A40, 0)</f>
        <v>7200</v>
      </c>
      <c r="F170" s="45"/>
      <c r="G170" s="45"/>
      <c r="H170" s="20"/>
      <c r="J170" s="63" t="n">
        <f aca="false">K29</f>
        <v>35</v>
      </c>
      <c r="K170" s="176" t="n">
        <f aca="false">K30</f>
        <v>35000</v>
      </c>
      <c r="L170" s="175"/>
      <c r="M170" s="45"/>
      <c r="N170" s="73" t="n">
        <f aca="false">IF(A111="YES", A40, 0)</f>
        <v>7200</v>
      </c>
      <c r="O170" s="45"/>
      <c r="P170" s="45"/>
      <c r="Q170" s="20"/>
      <c r="S170" s="63" t="n">
        <f aca="false">K29</f>
        <v>35</v>
      </c>
      <c r="T170" s="176" t="n">
        <f aca="false">K30</f>
        <v>35000</v>
      </c>
      <c r="U170" s="175"/>
      <c r="V170" s="45"/>
      <c r="W170" s="73" t="n">
        <f aca="false">IF(A111="YES", A40, 0)</f>
        <v>7200</v>
      </c>
      <c r="X170" s="45"/>
      <c r="Y170" s="45"/>
      <c r="Z170" s="20"/>
      <c r="AB170" s="63" t="n">
        <f aca="false">K29</f>
        <v>35</v>
      </c>
      <c r="AC170" s="176" t="n">
        <f aca="false">K30</f>
        <v>35000</v>
      </c>
      <c r="AD170" s="175"/>
      <c r="AE170" s="45"/>
      <c r="AF170" s="73" t="n">
        <f aca="false">IF(A111="YES", A40, 0)</f>
        <v>7200</v>
      </c>
      <c r="AG170" s="45"/>
      <c r="AH170" s="45"/>
      <c r="AI170" s="20"/>
    </row>
    <row r="171" customFormat="false" ht="17.35" hidden="false" customHeight="false" outlineLevel="0" collapsed="false">
      <c r="A171" s="55"/>
      <c r="B171" s="25"/>
      <c r="C171" s="25"/>
      <c r="D171" s="45"/>
      <c r="E171" s="25"/>
      <c r="F171" s="45"/>
      <c r="G171" s="45"/>
      <c r="H171" s="20"/>
      <c r="J171" s="55"/>
      <c r="K171" s="25"/>
      <c r="L171" s="25"/>
      <c r="M171" s="45"/>
      <c r="N171" s="25"/>
      <c r="O171" s="45"/>
      <c r="P171" s="45"/>
      <c r="Q171" s="20"/>
      <c r="S171" s="55"/>
      <c r="T171" s="25"/>
      <c r="U171" s="25"/>
      <c r="V171" s="45"/>
      <c r="W171" s="25"/>
      <c r="X171" s="45"/>
      <c r="Y171" s="45"/>
      <c r="Z171" s="20"/>
      <c r="AB171" s="55"/>
      <c r="AC171" s="25"/>
      <c r="AD171" s="25"/>
      <c r="AE171" s="45"/>
      <c r="AF171" s="25"/>
      <c r="AG171" s="45"/>
      <c r="AH171" s="45"/>
      <c r="AI171" s="20"/>
    </row>
    <row r="172" customFormat="false" ht="17.35" hidden="false" customHeight="false" outlineLevel="0" collapsed="false">
      <c r="A172" s="55" t="s">
        <v>158</v>
      </c>
      <c r="B172" s="25" t="s">
        <v>159</v>
      </c>
      <c r="C172" s="25"/>
      <c r="D172" s="45"/>
      <c r="E172" s="25" t="s">
        <v>160</v>
      </c>
      <c r="F172" s="45"/>
      <c r="G172" s="45"/>
      <c r="H172" s="20"/>
      <c r="J172" s="55" t="s">
        <v>158</v>
      </c>
      <c r="K172" s="25" t="s">
        <v>159</v>
      </c>
      <c r="L172" s="25"/>
      <c r="M172" s="45"/>
      <c r="N172" s="25" t="s">
        <v>160</v>
      </c>
      <c r="O172" s="45"/>
      <c r="P172" s="45"/>
      <c r="Q172" s="20"/>
      <c r="S172" s="55" t="s">
        <v>158</v>
      </c>
      <c r="T172" s="25" t="s">
        <v>159</v>
      </c>
      <c r="U172" s="25"/>
      <c r="V172" s="45"/>
      <c r="W172" s="25" t="s">
        <v>160</v>
      </c>
      <c r="X172" s="45"/>
      <c r="Y172" s="45"/>
      <c r="Z172" s="20"/>
      <c r="AB172" s="55" t="s">
        <v>158</v>
      </c>
      <c r="AC172" s="25" t="s">
        <v>159</v>
      </c>
      <c r="AD172" s="25"/>
      <c r="AE172" s="45"/>
      <c r="AF172" s="25" t="s">
        <v>160</v>
      </c>
      <c r="AG172" s="45"/>
      <c r="AH172" s="45"/>
      <c r="AI172" s="20"/>
    </row>
    <row r="173" customFormat="false" ht="17.35" hidden="false" customHeight="false" outlineLevel="0" collapsed="false">
      <c r="A173" s="69" t="n">
        <f aca="false">H141-H137-H139-H140</f>
        <v>57991.67</v>
      </c>
      <c r="B173" s="37" t="n">
        <f aca="false">H137</f>
        <v>11598.334</v>
      </c>
      <c r="C173" s="67"/>
      <c r="D173" s="45"/>
      <c r="E173" s="73" t="n">
        <f aca="false">H139+H140</f>
        <v>640</v>
      </c>
      <c r="F173" s="45"/>
      <c r="G173" s="45"/>
      <c r="H173" s="20"/>
      <c r="J173" s="69" t="n">
        <f aca="false">Q141-Q137-Q139-Q140</f>
        <v>30012.5</v>
      </c>
      <c r="K173" s="37" t="n">
        <f aca="false">Q137</f>
        <v>6002.5</v>
      </c>
      <c r="L173" s="67"/>
      <c r="M173" s="45"/>
      <c r="N173" s="73" t="n">
        <f aca="false">Q139+Q140</f>
        <v>640</v>
      </c>
      <c r="O173" s="45"/>
      <c r="P173" s="45"/>
      <c r="Q173" s="20"/>
      <c r="S173" s="69" t="n">
        <f aca="false">Z141-Z137-Z139-Z140</f>
        <v>48120.364575</v>
      </c>
      <c r="T173" s="37" t="n">
        <f aca="false">Z137</f>
        <v>9624.072915</v>
      </c>
      <c r="U173" s="67"/>
      <c r="V173" s="45"/>
      <c r="W173" s="73" t="n">
        <f aca="false">Z139+Z140</f>
        <v>640</v>
      </c>
      <c r="X173" s="45"/>
      <c r="Y173" s="45"/>
      <c r="Z173" s="20"/>
      <c r="AB173" s="69" t="n">
        <f aca="false">AI141-AI137-AI139-AI140</f>
        <v>36523.9575</v>
      </c>
      <c r="AC173" s="37" t="n">
        <f aca="false">AI137</f>
        <v>7304.7915</v>
      </c>
      <c r="AD173" s="67"/>
      <c r="AE173" s="45"/>
      <c r="AF173" s="73" t="n">
        <f aca="false">AI139+AI140</f>
        <v>640</v>
      </c>
      <c r="AG173" s="45"/>
      <c r="AH173" s="45"/>
      <c r="AI173" s="20"/>
    </row>
    <row r="174" customFormat="false" ht="17.35" hidden="false" customHeight="false" outlineLevel="0" collapsed="false">
      <c r="A174" s="55"/>
      <c r="B174" s="25"/>
      <c r="C174" s="25"/>
      <c r="D174" s="45"/>
      <c r="E174" s="25"/>
      <c r="F174" s="45"/>
      <c r="G174" s="45"/>
      <c r="H174" s="20"/>
      <c r="J174" s="55"/>
      <c r="K174" s="25"/>
      <c r="L174" s="25"/>
      <c r="M174" s="45"/>
      <c r="N174" s="25"/>
      <c r="O174" s="45"/>
      <c r="P174" s="45"/>
      <c r="Q174" s="20"/>
      <c r="S174" s="55"/>
      <c r="T174" s="25"/>
      <c r="U174" s="25"/>
      <c r="V174" s="45"/>
      <c r="W174" s="25"/>
      <c r="X174" s="45"/>
      <c r="Y174" s="45"/>
      <c r="Z174" s="20"/>
      <c r="AB174" s="55"/>
      <c r="AC174" s="25"/>
      <c r="AD174" s="25"/>
      <c r="AE174" s="45"/>
      <c r="AF174" s="25"/>
      <c r="AG174" s="45"/>
      <c r="AH174" s="45"/>
      <c r="AI174" s="20"/>
    </row>
    <row r="175" customFormat="false" ht="17.35" hidden="false" customHeight="false" outlineLevel="0" collapsed="false">
      <c r="A175" s="55" t="s">
        <v>161</v>
      </c>
      <c r="B175" s="25" t="s">
        <v>108</v>
      </c>
      <c r="C175" s="25"/>
      <c r="D175" s="45"/>
      <c r="E175" s="25" t="s">
        <v>109</v>
      </c>
      <c r="F175" s="45"/>
      <c r="G175" s="45"/>
      <c r="H175" s="20"/>
      <c r="J175" s="55" t="s">
        <v>161</v>
      </c>
      <c r="K175" s="25" t="s">
        <v>108</v>
      </c>
      <c r="L175" s="25"/>
      <c r="M175" s="45"/>
      <c r="N175" s="25" t="s">
        <v>109</v>
      </c>
      <c r="O175" s="45"/>
      <c r="P175" s="45"/>
      <c r="Q175" s="20"/>
      <c r="S175" s="55" t="s">
        <v>161</v>
      </c>
      <c r="T175" s="25" t="s">
        <v>108</v>
      </c>
      <c r="U175" s="25"/>
      <c r="V175" s="45"/>
      <c r="W175" s="25" t="s">
        <v>109</v>
      </c>
      <c r="X175" s="45"/>
      <c r="Y175" s="45"/>
      <c r="Z175" s="20"/>
      <c r="AB175" s="55" t="s">
        <v>161</v>
      </c>
      <c r="AC175" s="25" t="s">
        <v>108</v>
      </c>
      <c r="AD175" s="25"/>
      <c r="AE175" s="45"/>
      <c r="AF175" s="25" t="s">
        <v>109</v>
      </c>
      <c r="AG175" s="45"/>
      <c r="AH175" s="45"/>
      <c r="AI175" s="20"/>
    </row>
    <row r="176" customFormat="false" ht="17.35" hidden="false" customHeight="false" outlineLevel="0" collapsed="false">
      <c r="A176" s="69" t="n">
        <f aca="false">H147</f>
        <v>70230.004</v>
      </c>
      <c r="B176" s="37" t="n">
        <f aca="false">B111</f>
        <v>1000</v>
      </c>
      <c r="C176" s="37"/>
      <c r="D176" s="45"/>
      <c r="E176" s="37" t="n">
        <f aca="false">E111</f>
        <v>1000</v>
      </c>
      <c r="F176" s="45"/>
      <c r="G176" s="45"/>
      <c r="H176" s="177"/>
      <c r="J176" s="69" t="n">
        <f aca="false">Q141</f>
        <v>36655</v>
      </c>
      <c r="K176" s="37" t="n">
        <f aca="false">K111</f>
        <v>1000</v>
      </c>
      <c r="L176" s="37"/>
      <c r="M176" s="45"/>
      <c r="N176" s="37" t="n">
        <f aca="false">N111</f>
        <v>0</v>
      </c>
      <c r="O176" s="45"/>
      <c r="P176" s="45"/>
      <c r="Q176" s="177"/>
      <c r="S176" s="69" t="n">
        <f aca="false">Z141</f>
        <v>58384.43749</v>
      </c>
      <c r="T176" s="37" t="n">
        <f aca="false">T111</f>
        <v>1000</v>
      </c>
      <c r="U176" s="37"/>
      <c r="V176" s="45"/>
      <c r="W176" s="37" t="n">
        <f aca="false">W111</f>
        <v>0</v>
      </c>
      <c r="X176" s="45"/>
      <c r="Y176" s="45"/>
      <c r="Z176" s="177"/>
      <c r="AB176" s="69" t="n">
        <f aca="false">AI141</f>
        <v>44468.749</v>
      </c>
      <c r="AC176" s="37" t="n">
        <f aca="false">AC111</f>
        <v>1000</v>
      </c>
      <c r="AD176" s="37"/>
      <c r="AE176" s="45"/>
      <c r="AF176" s="37" t="n">
        <f aca="false">AF111</f>
        <v>0</v>
      </c>
      <c r="AG176" s="45"/>
      <c r="AH176" s="45"/>
      <c r="AI176" s="177"/>
    </row>
    <row r="177" customFormat="false" ht="17.35" hidden="false" customHeight="false" outlineLevel="0" collapsed="false">
      <c r="A177" s="55"/>
      <c r="B177" s="25"/>
      <c r="C177" s="25"/>
      <c r="D177" s="45"/>
      <c r="E177" s="25"/>
      <c r="F177" s="45"/>
      <c r="G177" s="45"/>
      <c r="H177" s="20"/>
      <c r="J177" s="55"/>
      <c r="K177" s="25"/>
      <c r="L177" s="25"/>
      <c r="M177" s="45"/>
      <c r="N177" s="25"/>
      <c r="O177" s="45"/>
      <c r="P177" s="45"/>
      <c r="Q177" s="20"/>
      <c r="S177" s="55"/>
      <c r="T177" s="25"/>
      <c r="U177" s="25"/>
      <c r="V177" s="45"/>
      <c r="W177" s="25"/>
      <c r="X177" s="45"/>
      <c r="Y177" s="45"/>
      <c r="Z177" s="20"/>
      <c r="AB177" s="55"/>
      <c r="AC177" s="25"/>
      <c r="AD177" s="25"/>
      <c r="AE177" s="45"/>
      <c r="AF177" s="25"/>
      <c r="AG177" s="45"/>
      <c r="AH177" s="45"/>
      <c r="AI177" s="20"/>
    </row>
    <row r="178" customFormat="false" ht="17.35" hidden="false" customHeight="false" outlineLevel="0" collapsed="false">
      <c r="A178" s="55" t="s">
        <v>110</v>
      </c>
      <c r="B178" s="25" t="s">
        <v>146</v>
      </c>
      <c r="C178" s="25"/>
      <c r="D178" s="45"/>
      <c r="E178" s="25" t="s">
        <v>151</v>
      </c>
      <c r="F178" s="45"/>
      <c r="G178" s="45"/>
      <c r="H178" s="20"/>
      <c r="J178" s="55" t="s">
        <v>110</v>
      </c>
      <c r="K178" s="25" t="s">
        <v>146</v>
      </c>
      <c r="L178" s="25"/>
      <c r="M178" s="45"/>
      <c r="N178" s="25" t="s">
        <v>151</v>
      </c>
      <c r="O178" s="45"/>
      <c r="P178" s="45"/>
      <c r="Q178" s="20"/>
      <c r="S178" s="55" t="s">
        <v>110</v>
      </c>
      <c r="T178" s="25" t="s">
        <v>146</v>
      </c>
      <c r="U178" s="25"/>
      <c r="V178" s="45"/>
      <c r="W178" s="25" t="s">
        <v>151</v>
      </c>
      <c r="X178" s="45"/>
      <c r="Y178" s="45"/>
      <c r="Z178" s="20"/>
      <c r="AB178" s="55" t="s">
        <v>110</v>
      </c>
      <c r="AC178" s="25" t="s">
        <v>146</v>
      </c>
      <c r="AD178" s="25"/>
      <c r="AE178" s="45"/>
      <c r="AF178" s="25" t="s">
        <v>151</v>
      </c>
      <c r="AG178" s="45"/>
      <c r="AH178" s="45"/>
      <c r="AI178" s="20"/>
    </row>
    <row r="179" customFormat="false" ht="17.35" hidden="false" customHeight="false" outlineLevel="0" collapsed="false">
      <c r="A179" s="70" t="n">
        <f aca="false">B176+E176</f>
        <v>2000</v>
      </c>
      <c r="B179" s="37" t="n">
        <f aca="false">G154</f>
        <v>500</v>
      </c>
      <c r="C179" s="37"/>
      <c r="D179" s="45"/>
      <c r="E179" s="37" t="n">
        <f aca="false">A176-A179-B179</f>
        <v>67730.004</v>
      </c>
      <c r="F179" s="45"/>
      <c r="G179" s="45"/>
      <c r="H179" s="177"/>
      <c r="J179" s="70" t="n">
        <f aca="false">K176+N176</f>
        <v>1000</v>
      </c>
      <c r="K179" s="37" t="n">
        <f aca="false">P154</f>
        <v>-2000</v>
      </c>
      <c r="L179" s="37"/>
      <c r="M179" s="45"/>
      <c r="N179" s="37" t="n">
        <f aca="false">J176-J179-K179</f>
        <v>37655</v>
      </c>
      <c r="O179" s="45"/>
      <c r="P179" s="45"/>
      <c r="Q179" s="177"/>
      <c r="S179" s="70" t="n">
        <f aca="false">T176+W176</f>
        <v>1000</v>
      </c>
      <c r="T179" s="37" t="n">
        <f aca="false">Y154</f>
        <v>-2000</v>
      </c>
      <c r="U179" s="37"/>
      <c r="V179" s="45"/>
      <c r="W179" s="37" t="n">
        <f aca="false">S176-S179-T179</f>
        <v>59384.43749</v>
      </c>
      <c r="X179" s="45"/>
      <c r="Y179" s="45"/>
      <c r="Z179" s="177"/>
      <c r="AB179" s="70" t="n">
        <f aca="false">AC176+AF176</f>
        <v>1000</v>
      </c>
      <c r="AC179" s="37" t="n">
        <f aca="false">AH154</f>
        <v>-2000</v>
      </c>
      <c r="AD179" s="37"/>
      <c r="AE179" s="45"/>
      <c r="AF179" s="37" t="n">
        <f aca="false">AB176-AB179-AC179</f>
        <v>45468.749</v>
      </c>
      <c r="AG179" s="45"/>
      <c r="AH179" s="45"/>
      <c r="AI179" s="177"/>
    </row>
    <row r="180" customFormat="false" ht="17.35" hidden="false" customHeight="false" outlineLevel="0" collapsed="false">
      <c r="A180" s="55"/>
      <c r="B180" s="25"/>
      <c r="C180" s="25"/>
      <c r="D180" s="45"/>
      <c r="E180" s="25"/>
      <c r="F180" s="45"/>
      <c r="G180" s="45"/>
      <c r="H180" s="20"/>
      <c r="J180" s="55"/>
      <c r="K180" s="25"/>
      <c r="L180" s="25"/>
      <c r="M180" s="45"/>
      <c r="N180" s="25"/>
      <c r="O180" s="45"/>
      <c r="P180" s="45"/>
      <c r="Q180" s="20"/>
      <c r="S180" s="55"/>
      <c r="T180" s="25"/>
      <c r="U180" s="25"/>
      <c r="V180" s="45"/>
      <c r="W180" s="25"/>
      <c r="X180" s="45"/>
      <c r="Y180" s="45"/>
      <c r="Z180" s="20"/>
      <c r="AB180" s="55"/>
      <c r="AC180" s="25"/>
      <c r="AD180" s="25"/>
      <c r="AE180" s="45"/>
      <c r="AF180" s="25"/>
      <c r="AG180" s="45"/>
      <c r="AH180" s="45"/>
      <c r="AI180" s="20"/>
    </row>
    <row r="181" customFormat="false" ht="17.35" hidden="false" customHeight="false" outlineLevel="0" collapsed="false">
      <c r="A181" s="55" t="s">
        <v>162</v>
      </c>
      <c r="B181" s="25" t="s">
        <v>152</v>
      </c>
      <c r="C181" s="25"/>
      <c r="D181" s="45"/>
      <c r="E181" s="25" t="s">
        <v>163</v>
      </c>
      <c r="F181" s="45"/>
      <c r="G181" s="45"/>
      <c r="H181" s="20"/>
      <c r="J181" s="55" t="s">
        <v>162</v>
      </c>
      <c r="K181" s="25" t="s">
        <v>152</v>
      </c>
      <c r="L181" s="25"/>
      <c r="M181" s="45"/>
      <c r="N181" s="25" t="s">
        <v>163</v>
      </c>
      <c r="O181" s="45"/>
      <c r="P181" s="45"/>
      <c r="Q181" s="20"/>
      <c r="S181" s="55" t="s">
        <v>162</v>
      </c>
      <c r="T181" s="25" t="s">
        <v>152</v>
      </c>
      <c r="U181" s="25"/>
      <c r="V181" s="45"/>
      <c r="W181" s="25" t="s">
        <v>163</v>
      </c>
      <c r="X181" s="45"/>
      <c r="Y181" s="45"/>
      <c r="Z181" s="20"/>
      <c r="AB181" s="55" t="s">
        <v>162</v>
      </c>
      <c r="AC181" s="25" t="s">
        <v>152</v>
      </c>
      <c r="AD181" s="25"/>
      <c r="AE181" s="45"/>
      <c r="AF181" s="25" t="s">
        <v>163</v>
      </c>
      <c r="AG181" s="45"/>
      <c r="AH181" s="45"/>
      <c r="AI181" s="20"/>
    </row>
    <row r="182" customFormat="false" ht="17.35" hidden="false" customHeight="false" outlineLevel="0" collapsed="false">
      <c r="A182" s="70" t="n">
        <f aca="false">(A167*B59)+E185-E179-A185</f>
        <v>13087.1075507564</v>
      </c>
      <c r="B182" s="37" t="str">
        <f aca="false">B114</f>
        <v>239.99</v>
      </c>
      <c r="C182" s="37"/>
      <c r="D182" s="45"/>
      <c r="E182" s="37" t="n">
        <f aca="false">E179+A182+B182+A185</f>
        <v>81067.1015507564</v>
      </c>
      <c r="F182" s="45"/>
      <c r="G182" s="45"/>
      <c r="H182" s="177"/>
      <c r="J182" s="70" t="n">
        <f aca="false">(J167*K59)+N185-N179-J185</f>
        <v>20758.6283606416</v>
      </c>
      <c r="K182" s="37" t="n">
        <f aca="false">K114</f>
        <v>239.99</v>
      </c>
      <c r="L182" s="37"/>
      <c r="M182" s="45"/>
      <c r="N182" s="37" t="n">
        <f aca="false">N179+J182+K182+J185</f>
        <v>58673.6183606416</v>
      </c>
      <c r="O182" s="45"/>
      <c r="P182" s="45"/>
      <c r="Q182" s="177"/>
      <c r="S182" s="70" t="n">
        <f aca="false">(S167*T59)+W185-W179-S185</f>
        <v>13300.4200784809</v>
      </c>
      <c r="T182" s="37" t="n">
        <f aca="false">T114</f>
        <v>199.99</v>
      </c>
      <c r="U182" s="37"/>
      <c r="V182" s="45"/>
      <c r="W182" s="37" t="n">
        <f aca="false">W179+S182+T182+S185</f>
        <v>72894.8475684809</v>
      </c>
      <c r="X182" s="45"/>
      <c r="Y182" s="45"/>
      <c r="Z182" s="177"/>
      <c r="AB182" s="70" t="n">
        <f aca="false">(AB167*AC59)+AF185-AF179-AB185</f>
        <v>10483.5490912427</v>
      </c>
      <c r="AC182" s="37" t="n">
        <f aca="false">AC114</f>
        <v>239.99</v>
      </c>
      <c r="AD182" s="37"/>
      <c r="AE182" s="45"/>
      <c r="AF182" s="37" t="n">
        <f aca="false">AF179+AB182+AC182+AB185</f>
        <v>56202.2880912427</v>
      </c>
      <c r="AG182" s="45"/>
      <c r="AH182" s="45"/>
      <c r="AI182" s="177"/>
    </row>
    <row r="183" customFormat="false" ht="17.35" hidden="false" customHeight="false" outlineLevel="0" collapsed="false">
      <c r="A183" s="55"/>
      <c r="B183" s="25"/>
      <c r="C183" s="25"/>
      <c r="D183" s="45"/>
      <c r="E183" s="25"/>
      <c r="F183" s="45"/>
      <c r="G183" s="45"/>
      <c r="H183" s="20"/>
      <c r="J183" s="55"/>
      <c r="K183" s="25"/>
      <c r="L183" s="25"/>
      <c r="M183" s="45"/>
      <c r="N183" s="25"/>
      <c r="O183" s="45"/>
      <c r="P183" s="45"/>
      <c r="Q183" s="20"/>
      <c r="S183" s="55"/>
      <c r="T183" s="25"/>
      <c r="U183" s="25"/>
      <c r="V183" s="45"/>
      <c r="W183" s="25"/>
      <c r="X183" s="45"/>
      <c r="Y183" s="45"/>
      <c r="Z183" s="20"/>
      <c r="AB183" s="55"/>
      <c r="AC183" s="25"/>
      <c r="AD183" s="25"/>
      <c r="AE183" s="45"/>
      <c r="AF183" s="25"/>
      <c r="AG183" s="45"/>
      <c r="AH183" s="45"/>
      <c r="AI183" s="20"/>
    </row>
    <row r="184" customFormat="false" ht="17.35" hidden="false" customHeight="false" outlineLevel="0" collapsed="false">
      <c r="A184" s="55" t="s">
        <v>164</v>
      </c>
      <c r="B184" s="25" t="s">
        <v>165</v>
      </c>
      <c r="C184" s="25"/>
      <c r="D184" s="45"/>
      <c r="E184" s="25" t="s">
        <v>166</v>
      </c>
      <c r="F184" s="45"/>
      <c r="G184" s="45"/>
      <c r="H184" s="20"/>
      <c r="J184" s="55" t="s">
        <v>164</v>
      </c>
      <c r="K184" s="25" t="s">
        <v>165</v>
      </c>
      <c r="L184" s="25"/>
      <c r="M184" s="45"/>
      <c r="N184" s="25" t="s">
        <v>166</v>
      </c>
      <c r="O184" s="45"/>
      <c r="P184" s="45"/>
      <c r="Q184" s="20"/>
      <c r="S184" s="55" t="s">
        <v>164</v>
      </c>
      <c r="T184" s="25" t="s">
        <v>165</v>
      </c>
      <c r="U184" s="25"/>
      <c r="V184" s="45"/>
      <c r="W184" s="25" t="s">
        <v>166</v>
      </c>
      <c r="X184" s="45"/>
      <c r="Y184" s="45"/>
      <c r="Z184" s="20"/>
      <c r="AB184" s="55" t="s">
        <v>164</v>
      </c>
      <c r="AC184" s="25" t="s">
        <v>165</v>
      </c>
      <c r="AD184" s="25"/>
      <c r="AE184" s="45"/>
      <c r="AF184" s="25" t="s">
        <v>166</v>
      </c>
      <c r="AG184" s="45"/>
      <c r="AH184" s="45"/>
      <c r="AI184" s="20"/>
    </row>
    <row r="185" customFormat="false" ht="17.35" hidden="false" customHeight="false" outlineLevel="0" collapsed="false">
      <c r="A185" s="70" t="n">
        <f aca="false">B60</f>
        <v>10</v>
      </c>
      <c r="B185" s="37" t="n">
        <f aca="false">A179+(B182)</f>
        <v>2239.99</v>
      </c>
      <c r="C185" s="37"/>
      <c r="D185" s="45"/>
      <c r="E185" s="37" t="n">
        <f aca="false">E170+A185</f>
        <v>7210</v>
      </c>
      <c r="F185" s="45"/>
      <c r="G185" s="45"/>
      <c r="H185" s="177"/>
      <c r="J185" s="70" t="n">
        <f aca="false">K60</f>
        <v>20</v>
      </c>
      <c r="K185" s="37" t="n">
        <f aca="false">J179+K182</f>
        <v>1239.99</v>
      </c>
      <c r="L185" s="37"/>
      <c r="M185" s="45"/>
      <c r="N185" s="37" t="n">
        <f aca="false">N170+J185</f>
        <v>7220</v>
      </c>
      <c r="O185" s="45"/>
      <c r="P185" s="45"/>
      <c r="Q185" s="177"/>
      <c r="S185" s="70" t="n">
        <f aca="false">T60</f>
        <v>10</v>
      </c>
      <c r="T185" s="37" t="n">
        <f aca="false">S179+T182</f>
        <v>1199.99</v>
      </c>
      <c r="U185" s="37"/>
      <c r="V185" s="45"/>
      <c r="W185" s="37" t="n">
        <f aca="false">W170+S185</f>
        <v>7210</v>
      </c>
      <c r="X185" s="45"/>
      <c r="Y185" s="45"/>
      <c r="Z185" s="177"/>
      <c r="AB185" s="70" t="n">
        <f aca="false">AC60</f>
        <v>10</v>
      </c>
      <c r="AC185" s="37" t="n">
        <f aca="false">AB179+AC182</f>
        <v>1239.99</v>
      </c>
      <c r="AD185" s="37"/>
      <c r="AE185" s="45"/>
      <c r="AF185" s="37" t="n">
        <f aca="false">AF170+AB185</f>
        <v>7210</v>
      </c>
      <c r="AG185" s="45"/>
      <c r="AH185" s="45"/>
      <c r="AI185" s="177"/>
    </row>
    <row r="186" customFormat="false" ht="17.35" hidden="false" customHeight="false" outlineLevel="0" collapsed="false">
      <c r="A186" s="55"/>
      <c r="B186" s="25"/>
      <c r="C186" s="25"/>
      <c r="D186" s="25"/>
      <c r="E186" s="45"/>
      <c r="F186" s="45"/>
      <c r="G186" s="45"/>
      <c r="H186" s="20"/>
      <c r="J186" s="55"/>
      <c r="K186" s="25"/>
      <c r="L186" s="25"/>
      <c r="M186" s="25"/>
      <c r="N186" s="45"/>
      <c r="O186" s="45"/>
      <c r="P186" s="45"/>
      <c r="Q186" s="20"/>
      <c r="S186" s="55"/>
      <c r="T186" s="25"/>
      <c r="U186" s="25"/>
      <c r="V186" s="25"/>
      <c r="W186" s="45"/>
      <c r="X186" s="178"/>
      <c r="Y186" s="178"/>
      <c r="Z186" s="20"/>
      <c r="AB186" s="55"/>
      <c r="AC186" s="25"/>
      <c r="AD186" s="25"/>
      <c r="AE186" s="25"/>
      <c r="AF186" s="45"/>
      <c r="AG186" s="45"/>
      <c r="AH186" s="45"/>
      <c r="AI186" s="20"/>
    </row>
    <row r="187" customFormat="false" ht="17.35" hidden="false" customHeight="false" outlineLevel="0" collapsed="false">
      <c r="A187" s="55" t="s">
        <v>167</v>
      </c>
      <c r="B187" s="25" t="s">
        <v>168</v>
      </c>
      <c r="C187" s="25"/>
      <c r="D187" s="25"/>
      <c r="E187" s="38" t="s">
        <v>169</v>
      </c>
      <c r="F187" s="45"/>
      <c r="G187" s="45"/>
      <c r="H187" s="20"/>
      <c r="J187" s="55" t="s">
        <v>167</v>
      </c>
      <c r="K187" s="25" t="s">
        <v>168</v>
      </c>
      <c r="L187" s="25"/>
      <c r="M187" s="25"/>
      <c r="N187" s="38" t="s">
        <v>169</v>
      </c>
      <c r="O187" s="45"/>
      <c r="P187" s="45"/>
      <c r="Q187" s="20"/>
      <c r="S187" s="55" t="s">
        <v>167</v>
      </c>
      <c r="T187" s="25" t="s">
        <v>168</v>
      </c>
      <c r="U187" s="25"/>
      <c r="V187" s="25"/>
      <c r="W187" s="38" t="s">
        <v>169</v>
      </c>
      <c r="X187" s="178"/>
      <c r="Y187" s="178"/>
      <c r="Z187" s="20"/>
      <c r="AB187" s="55" t="s">
        <v>167</v>
      </c>
      <c r="AC187" s="25" t="s">
        <v>168</v>
      </c>
      <c r="AD187" s="25"/>
      <c r="AE187" s="25"/>
      <c r="AF187" s="38" t="s">
        <v>169</v>
      </c>
      <c r="AG187" s="178"/>
      <c r="AH187" s="178"/>
      <c r="AI187" s="20"/>
    </row>
    <row r="188" customFormat="false" ht="17.35" hidden="false" customHeight="false" outlineLevel="0" collapsed="false">
      <c r="A188" s="70" t="n">
        <f aca="false">IF(E105="YES", J18*0.000002, 0)*100 *1.2</f>
        <v>13.8924</v>
      </c>
      <c r="B188" s="37" t="n">
        <f aca="false">(G158*B67)</f>
        <v>663.1896225</v>
      </c>
      <c r="C188" s="25"/>
      <c r="D188" s="25"/>
      <c r="E188" s="37" t="n">
        <f aca="false">(E40*A108)*0.1</f>
        <v>56.2695</v>
      </c>
      <c r="F188" s="45"/>
      <c r="G188" s="45"/>
      <c r="H188" s="20"/>
      <c r="J188" s="70" t="n">
        <f aca="false">IF(N105="YES", H15*0.000002, 0)</f>
        <v>0.11705</v>
      </c>
      <c r="K188" s="37" t="n">
        <f aca="false">(P158*K67)/1.2</f>
        <v>2320.75086805556</v>
      </c>
      <c r="L188" s="25"/>
      <c r="M188" s="25"/>
      <c r="N188" s="37" t="n">
        <f aca="false">(E40*J108)*0.1</f>
        <v>56.2695</v>
      </c>
      <c r="O188" s="45"/>
      <c r="P188" s="45"/>
      <c r="Q188" s="20"/>
      <c r="S188" s="70" t="n">
        <f aca="false">IF(W105="YES", Z15*0.000002, 0)</f>
        <v>0</v>
      </c>
      <c r="T188" s="37" t="n">
        <f aca="false">(Y158*T67)/1.2</f>
        <v>484.560514241319</v>
      </c>
      <c r="U188" s="25"/>
      <c r="V188" s="25"/>
      <c r="W188" s="37" t="n">
        <f aca="false">(E40*S108)*0.1</f>
        <v>37.513</v>
      </c>
      <c r="X188" s="178"/>
      <c r="Y188" s="178"/>
      <c r="Z188" s="20"/>
      <c r="AB188" s="70" t="n">
        <f aca="false">IF(AF105="YES", AI15*0.000002, 0)</f>
        <v>0</v>
      </c>
      <c r="AC188" s="37" t="n">
        <f aca="false">(AH158*AC67)/1.2</f>
        <v>371.012361631944</v>
      </c>
      <c r="AD188" s="25"/>
      <c r="AE188" s="25"/>
      <c r="AF188" s="37" t="n">
        <f aca="false">(E40*AB108)*0.1</f>
        <v>37.513</v>
      </c>
      <c r="AG188" s="178"/>
      <c r="AH188" s="178"/>
      <c r="AI188" s="20"/>
    </row>
    <row r="189" customFormat="false" ht="17.35" hidden="false" customHeight="false" outlineLevel="0" collapsed="false">
      <c r="A189" s="70"/>
      <c r="B189" s="37"/>
      <c r="C189" s="25"/>
      <c r="D189" s="25"/>
      <c r="E189" s="45"/>
      <c r="F189" s="45"/>
      <c r="G189" s="45"/>
      <c r="H189" s="20"/>
      <c r="J189" s="70"/>
      <c r="K189" s="37"/>
      <c r="L189" s="25"/>
      <c r="M189" s="25"/>
      <c r="N189" s="45"/>
      <c r="O189" s="45"/>
      <c r="P189" s="45"/>
      <c r="Q189" s="20"/>
      <c r="S189" s="70"/>
      <c r="T189" s="37"/>
      <c r="U189" s="25"/>
      <c r="V189" s="25"/>
      <c r="W189" s="45"/>
      <c r="X189" s="178"/>
      <c r="Y189" s="178"/>
      <c r="Z189" s="20"/>
      <c r="AB189" s="70"/>
      <c r="AC189" s="37"/>
      <c r="AD189" s="25"/>
      <c r="AE189" s="25"/>
      <c r="AF189" s="45"/>
      <c r="AG189" s="178"/>
      <c r="AH189" s="178"/>
      <c r="AI189" s="20"/>
    </row>
    <row r="190" customFormat="false" ht="17.35" hidden="false" customHeight="false" outlineLevel="0" collapsed="false">
      <c r="A190" s="78" t="s">
        <v>170</v>
      </c>
      <c r="B190" s="38" t="s">
        <v>171</v>
      </c>
      <c r="C190" s="25"/>
      <c r="D190" s="25"/>
      <c r="E190" s="38" t="s">
        <v>172</v>
      </c>
      <c r="F190" s="45"/>
      <c r="G190" s="45"/>
      <c r="H190" s="20"/>
      <c r="J190" s="78" t="s">
        <v>170</v>
      </c>
      <c r="K190" s="38" t="s">
        <v>171</v>
      </c>
      <c r="L190" s="25"/>
      <c r="M190" s="25"/>
      <c r="N190" s="38" t="s">
        <v>172</v>
      </c>
      <c r="O190" s="45"/>
      <c r="P190" s="45"/>
      <c r="Q190" s="20"/>
      <c r="S190" s="78" t="s">
        <v>170</v>
      </c>
      <c r="T190" s="38" t="s">
        <v>171</v>
      </c>
      <c r="U190" s="25"/>
      <c r="V190" s="25"/>
      <c r="W190" s="38" t="s">
        <v>172</v>
      </c>
      <c r="X190" s="178"/>
      <c r="Y190" s="178"/>
      <c r="Z190" s="20"/>
      <c r="AB190" s="78" t="s">
        <v>170</v>
      </c>
      <c r="AC190" s="38" t="s">
        <v>171</v>
      </c>
      <c r="AD190" s="25"/>
      <c r="AE190" s="25"/>
      <c r="AF190" s="38" t="s">
        <v>172</v>
      </c>
      <c r="AG190" s="178"/>
      <c r="AH190" s="178"/>
      <c r="AI190" s="20"/>
    </row>
    <row r="191" customFormat="false" ht="17.35" hidden="false" customHeight="false" outlineLevel="0" collapsed="false">
      <c r="A191" s="70" t="n">
        <f aca="false">B182/1.2-100</f>
        <v>99.9916666666667</v>
      </c>
      <c r="B191" s="37" t="n">
        <f aca="false">B188+E188+A191</f>
        <v>819.450789166667</v>
      </c>
      <c r="C191" s="25"/>
      <c r="D191" s="25"/>
      <c r="E191" s="37" t="n">
        <f aca="false">H148</f>
        <v>9754.17</v>
      </c>
      <c r="F191" s="45"/>
      <c r="G191" s="45"/>
      <c r="H191" s="20"/>
      <c r="J191" s="70" t="n">
        <f aca="false">K185-100</f>
        <v>1139.99</v>
      </c>
      <c r="K191" s="37" t="n">
        <f aca="false">K188+N188+J191</f>
        <v>3517.01036805556</v>
      </c>
      <c r="L191" s="25"/>
      <c r="M191" s="25"/>
      <c r="N191" s="37" t="n">
        <f aca="false">Q148</f>
        <v>-21870</v>
      </c>
      <c r="O191" s="45"/>
      <c r="P191" s="45"/>
      <c r="Q191" s="20"/>
      <c r="S191" s="70" t="n">
        <f aca="false">T185-100</f>
        <v>1099.99</v>
      </c>
      <c r="T191" s="37" t="n">
        <f aca="false">T188+W188+S191</f>
        <v>1622.06351424132</v>
      </c>
      <c r="U191" s="25"/>
      <c r="V191" s="25"/>
      <c r="W191" s="37" t="n">
        <f aca="false">Z148</f>
        <v>-140.562510000003</v>
      </c>
      <c r="X191" s="178"/>
      <c r="Y191" s="178"/>
      <c r="Z191" s="20"/>
      <c r="AB191" s="70" t="n">
        <f aca="false">AC185-100</f>
        <v>1139.99</v>
      </c>
      <c r="AC191" s="37" t="n">
        <f aca="false">AC188+AF188+AB191</f>
        <v>1548.51536163194</v>
      </c>
      <c r="AD191" s="25"/>
      <c r="AE191" s="25"/>
      <c r="AF191" s="37" t="n">
        <f aca="false">AI148</f>
        <v>-14056.251</v>
      </c>
      <c r="AG191" s="178"/>
      <c r="AH191" s="178"/>
      <c r="AI191" s="20"/>
    </row>
    <row r="192" customFormat="false" ht="17.35" hidden="false" customHeight="false" outlineLevel="0" collapsed="false">
      <c r="A192" s="55"/>
      <c r="B192" s="25"/>
      <c r="C192" s="25"/>
      <c r="D192" s="25"/>
      <c r="E192" s="45"/>
      <c r="F192" s="45"/>
      <c r="G192" s="45"/>
      <c r="H192" s="20"/>
      <c r="J192" s="55"/>
      <c r="K192" s="25"/>
      <c r="L192" s="25"/>
      <c r="M192" s="25"/>
      <c r="N192" s="45"/>
      <c r="O192" s="45"/>
      <c r="P192" s="45"/>
      <c r="Q192" s="20"/>
      <c r="S192" s="55"/>
      <c r="T192" s="25"/>
      <c r="U192" s="25"/>
      <c r="V192" s="25"/>
      <c r="W192" s="45"/>
      <c r="X192" s="45"/>
      <c r="Y192" s="45"/>
      <c r="Z192" s="20"/>
      <c r="AB192" s="55"/>
      <c r="AC192" s="25"/>
      <c r="AD192" s="25"/>
      <c r="AE192" s="25"/>
      <c r="AF192" s="45"/>
      <c r="AG192" s="45"/>
      <c r="AH192" s="45"/>
      <c r="AI192" s="20"/>
    </row>
    <row r="193" customFormat="false" ht="17.35" hidden="false" customHeight="false" outlineLevel="0" collapsed="false">
      <c r="A193" s="83" t="s">
        <v>173</v>
      </c>
      <c r="B193" s="25"/>
      <c r="C193" s="25"/>
      <c r="D193" s="84"/>
      <c r="E193" s="84"/>
      <c r="F193" s="84"/>
      <c r="G193" s="84"/>
      <c r="H193" s="85"/>
      <c r="J193" s="83" t="s">
        <v>173</v>
      </c>
      <c r="K193" s="25"/>
      <c r="L193" s="25"/>
      <c r="M193" s="84"/>
      <c r="N193" s="84"/>
      <c r="O193" s="84"/>
      <c r="P193" s="84"/>
      <c r="Q193" s="85"/>
      <c r="S193" s="83" t="s">
        <v>173</v>
      </c>
      <c r="T193" s="25"/>
      <c r="U193" s="25"/>
      <c r="V193" s="84"/>
      <c r="W193" s="84"/>
      <c r="X193" s="84"/>
      <c r="Y193" s="84"/>
      <c r="Z193" s="85"/>
      <c r="AB193" s="83" t="s">
        <v>173</v>
      </c>
      <c r="AC193" s="25"/>
      <c r="AD193" s="25"/>
      <c r="AE193" s="84"/>
      <c r="AF193" s="84"/>
      <c r="AG193" s="84"/>
      <c r="AH193" s="84"/>
      <c r="AI193" s="85"/>
    </row>
    <row r="194" customFormat="false" ht="17.35" hidden="false" customHeight="false" outlineLevel="0" collapsed="false">
      <c r="A194" s="55"/>
      <c r="B194" s="87"/>
      <c r="C194" s="87"/>
      <c r="D194" s="25"/>
      <c r="E194" s="45"/>
      <c r="F194" s="45"/>
      <c r="G194" s="45"/>
      <c r="H194" s="20"/>
      <c r="J194" s="55"/>
      <c r="K194" s="87"/>
      <c r="L194" s="87"/>
      <c r="M194" s="25"/>
      <c r="N194" s="45"/>
      <c r="O194" s="45"/>
      <c r="P194" s="45"/>
      <c r="Q194" s="20"/>
      <c r="S194" s="55"/>
      <c r="T194" s="87"/>
      <c r="U194" s="87"/>
      <c r="V194" s="25"/>
      <c r="W194" s="45"/>
      <c r="X194" s="45"/>
      <c r="Y194" s="45"/>
      <c r="Z194" s="20"/>
      <c r="AB194" s="55"/>
      <c r="AC194" s="87"/>
      <c r="AD194" s="87"/>
      <c r="AE194" s="25"/>
      <c r="AF194" s="45"/>
      <c r="AG194" s="45"/>
      <c r="AH194" s="45"/>
      <c r="AI194" s="20"/>
    </row>
    <row r="195" customFormat="false" ht="19.7" hidden="false" customHeight="false" outlineLevel="0" collapsed="false">
      <c r="A195" s="88" t="s">
        <v>28</v>
      </c>
      <c r="B195" s="89" t="s">
        <v>33</v>
      </c>
      <c r="C195" s="89"/>
      <c r="D195" s="89"/>
      <c r="E195" s="45"/>
      <c r="F195" s="45"/>
      <c r="G195" s="45"/>
      <c r="H195" s="20"/>
      <c r="J195" s="88" t="s">
        <v>28</v>
      </c>
      <c r="K195" s="89" t="s">
        <v>33</v>
      </c>
      <c r="L195" s="89"/>
      <c r="M195" s="89"/>
      <c r="N195" s="45"/>
      <c r="O195" s="45"/>
      <c r="P195" s="45"/>
      <c r="Q195" s="20"/>
      <c r="S195" s="88" t="s">
        <v>28</v>
      </c>
      <c r="T195" s="89" t="s">
        <v>33</v>
      </c>
      <c r="U195" s="89"/>
      <c r="V195" s="89"/>
      <c r="W195" s="45"/>
      <c r="X195" s="45"/>
      <c r="Y195" s="45"/>
      <c r="Z195" s="20"/>
      <c r="AB195" s="88" t="s">
        <v>28</v>
      </c>
      <c r="AC195" s="89" t="s">
        <v>33</v>
      </c>
      <c r="AD195" s="89"/>
      <c r="AE195" s="89"/>
      <c r="AF195" s="45"/>
      <c r="AG195" s="45"/>
      <c r="AH195" s="45"/>
      <c r="AI195" s="20"/>
    </row>
    <row r="196" customFormat="false" ht="19.5" hidden="false" customHeight="true" outlineLevel="0" collapsed="false">
      <c r="A196" s="88"/>
      <c r="B196" s="90" t="n">
        <f aca="false">K30</f>
        <v>35000</v>
      </c>
      <c r="C196" s="90"/>
      <c r="D196" s="90"/>
      <c r="E196" s="45"/>
      <c r="F196" s="45"/>
      <c r="G196" s="45"/>
      <c r="H196" s="20"/>
      <c r="J196" s="88"/>
      <c r="K196" s="90" t="n">
        <f aca="false">K30</f>
        <v>35000</v>
      </c>
      <c r="L196" s="90"/>
      <c r="M196" s="90"/>
      <c r="N196" s="45"/>
      <c r="O196" s="45"/>
      <c r="P196" s="45"/>
      <c r="Q196" s="20"/>
      <c r="S196" s="88"/>
      <c r="T196" s="90" t="n">
        <f aca="false">K30</f>
        <v>35000</v>
      </c>
      <c r="U196" s="90"/>
      <c r="V196" s="90"/>
      <c r="W196" s="45"/>
      <c r="X196" s="45"/>
      <c r="Y196" s="45"/>
      <c r="Z196" s="20"/>
      <c r="AB196" s="88"/>
      <c r="AC196" s="90" t="n">
        <f aca="false">K30</f>
        <v>35000</v>
      </c>
      <c r="AD196" s="90"/>
      <c r="AE196" s="90"/>
      <c r="AF196" s="45"/>
      <c r="AG196" s="45"/>
      <c r="AH196" s="45"/>
      <c r="AI196" s="20"/>
    </row>
    <row r="197" customFormat="false" ht="17.35" hidden="false" customHeight="false" outlineLevel="0" collapsed="false">
      <c r="A197" s="91" t="n">
        <f aca="false">K29</f>
        <v>35</v>
      </c>
      <c r="B197" s="92" t="n">
        <f aca="false">B96</f>
        <v>2251.26839855166</v>
      </c>
      <c r="C197" s="92"/>
      <c r="D197" s="92"/>
      <c r="E197" s="45"/>
      <c r="F197" s="45"/>
      <c r="G197" s="45"/>
      <c r="H197" s="20"/>
      <c r="J197" s="91" t="n">
        <f aca="false">K29</f>
        <v>35</v>
      </c>
      <c r="K197" s="92" t="n">
        <f aca="false">K96</f>
        <v>1589.8835870777</v>
      </c>
      <c r="L197" s="92"/>
      <c r="M197" s="92"/>
      <c r="N197" s="45"/>
      <c r="O197" s="45"/>
      <c r="P197" s="45"/>
      <c r="Q197" s="20"/>
      <c r="S197" s="91" t="n">
        <f aca="false">K29</f>
        <v>35</v>
      </c>
      <c r="T197" s="92" t="n">
        <f aca="false">T96</f>
        <v>1992.22463436709</v>
      </c>
      <c r="U197" s="92"/>
      <c r="V197" s="92"/>
      <c r="W197" s="45"/>
      <c r="X197" s="45"/>
      <c r="Y197" s="45"/>
      <c r="Z197" s="20"/>
      <c r="AB197" s="91" t="n">
        <f aca="false">K29</f>
        <v>35</v>
      </c>
      <c r="AC197" s="92" t="n">
        <f aca="false">AC96</f>
        <v>1513.33041444831</v>
      </c>
      <c r="AD197" s="92"/>
      <c r="AE197" s="92"/>
      <c r="AF197" s="45"/>
      <c r="AG197" s="45"/>
      <c r="AH197" s="45"/>
      <c r="AI197" s="20"/>
    </row>
    <row r="198" customFormat="false" ht="17.35" hidden="false" customHeight="false" outlineLevel="0" collapsed="false">
      <c r="A198" s="55"/>
      <c r="B198" s="25"/>
      <c r="C198" s="25"/>
      <c r="D198" s="25"/>
      <c r="E198" s="45"/>
      <c r="F198" s="45"/>
      <c r="G198" s="45"/>
      <c r="H198" s="20"/>
      <c r="J198" s="55"/>
      <c r="K198" s="25"/>
      <c r="L198" s="25"/>
      <c r="M198" s="25"/>
      <c r="N198" s="45"/>
      <c r="O198" s="45"/>
      <c r="P198" s="45"/>
      <c r="Q198" s="20"/>
      <c r="S198" s="55"/>
      <c r="T198" s="25"/>
      <c r="U198" s="25"/>
      <c r="V198" s="25"/>
      <c r="W198" s="45"/>
      <c r="X198" s="45"/>
      <c r="Y198" s="45"/>
      <c r="Z198" s="20"/>
      <c r="AB198" s="55"/>
      <c r="AC198" s="25"/>
      <c r="AD198" s="25"/>
      <c r="AE198" s="25"/>
      <c r="AF198" s="45"/>
      <c r="AG198" s="45"/>
      <c r="AH198" s="45"/>
      <c r="AI198" s="20"/>
    </row>
    <row r="199" customFormat="false" ht="17.35" hidden="false" customHeight="false" outlineLevel="0" collapsed="false">
      <c r="A199" s="55"/>
      <c r="B199" s="25"/>
      <c r="C199" s="25"/>
      <c r="D199" s="25"/>
      <c r="E199" s="45"/>
      <c r="F199" s="45"/>
      <c r="G199" s="45"/>
      <c r="H199" s="20"/>
      <c r="J199" s="55"/>
      <c r="K199" s="25"/>
      <c r="L199" s="25"/>
      <c r="M199" s="25"/>
      <c r="N199" s="45"/>
      <c r="O199" s="45"/>
      <c r="P199" s="45"/>
      <c r="Q199" s="20"/>
      <c r="S199" s="55"/>
      <c r="T199" s="25"/>
      <c r="U199" s="25"/>
      <c r="V199" s="25"/>
      <c r="W199" s="45"/>
      <c r="X199" s="45"/>
      <c r="Y199" s="45"/>
      <c r="Z199" s="20"/>
      <c r="AB199" s="55"/>
      <c r="AC199" s="25"/>
      <c r="AD199" s="25"/>
      <c r="AE199" s="25"/>
      <c r="AF199" s="45"/>
      <c r="AG199" s="45"/>
      <c r="AH199" s="45"/>
      <c r="AI199" s="20"/>
    </row>
    <row r="200" customFormat="false" ht="17.35" hidden="false" customHeight="false" outlineLevel="0" collapsed="false">
      <c r="A200" s="55"/>
      <c r="B200" s="25"/>
      <c r="C200" s="25"/>
      <c r="D200" s="25"/>
      <c r="E200" s="45"/>
      <c r="F200" s="45"/>
      <c r="G200" s="45"/>
      <c r="H200" s="20"/>
      <c r="J200" s="55"/>
      <c r="K200" s="25"/>
      <c r="L200" s="25"/>
      <c r="M200" s="25"/>
      <c r="N200" s="45"/>
      <c r="O200" s="45"/>
      <c r="P200" s="45"/>
      <c r="Q200" s="20"/>
      <c r="S200" s="55"/>
      <c r="T200" s="25"/>
      <c r="U200" s="25"/>
      <c r="V200" s="25"/>
      <c r="W200" s="45"/>
      <c r="X200" s="45"/>
      <c r="Y200" s="45"/>
      <c r="Z200" s="20"/>
      <c r="AB200" s="55"/>
      <c r="AC200" s="25"/>
      <c r="AD200" s="25"/>
      <c r="AE200" s="25"/>
      <c r="AF200" s="45"/>
      <c r="AG200" s="45"/>
      <c r="AH200" s="45"/>
      <c r="AI200" s="20"/>
    </row>
    <row r="201" customFormat="false" ht="17.35" hidden="false" customHeight="false" outlineLevel="0" collapsed="false">
      <c r="A201" s="55"/>
      <c r="B201" s="25"/>
      <c r="C201" s="25"/>
      <c r="D201" s="25"/>
      <c r="E201" s="45"/>
      <c r="F201" s="45"/>
      <c r="G201" s="45"/>
      <c r="H201" s="20"/>
      <c r="J201" s="55"/>
      <c r="K201" s="25"/>
      <c r="L201" s="25"/>
      <c r="M201" s="25"/>
      <c r="N201" s="45"/>
      <c r="O201" s="45"/>
      <c r="P201" s="45"/>
      <c r="Q201" s="20"/>
      <c r="S201" s="55"/>
      <c r="T201" s="25"/>
      <c r="U201" s="25"/>
      <c r="V201" s="25"/>
      <c r="W201" s="45"/>
      <c r="X201" s="45"/>
      <c r="Y201" s="45"/>
      <c r="Z201" s="20"/>
      <c r="AB201" s="55"/>
      <c r="AC201" s="25"/>
      <c r="AD201" s="25"/>
      <c r="AE201" s="25"/>
      <c r="AF201" s="45"/>
      <c r="AG201" s="45"/>
      <c r="AH201" s="45"/>
      <c r="AI201" s="20"/>
    </row>
    <row r="202" customFormat="false" ht="17.35" hidden="false" customHeight="false" outlineLevel="0" collapsed="false">
      <c r="A202" s="74"/>
      <c r="B202" s="75"/>
      <c r="C202" s="75"/>
      <c r="D202" s="75"/>
      <c r="E202" s="75"/>
      <c r="F202" s="75"/>
      <c r="G202" s="75"/>
      <c r="H202" s="82"/>
      <c r="J202" s="74"/>
      <c r="K202" s="75"/>
      <c r="L202" s="75"/>
      <c r="M202" s="75"/>
      <c r="N202" s="75"/>
      <c r="O202" s="75"/>
      <c r="P202" s="75"/>
      <c r="Q202" s="82"/>
      <c r="S202" s="74"/>
      <c r="T202" s="75"/>
      <c r="U202" s="75"/>
      <c r="V202" s="75"/>
      <c r="W202" s="75"/>
      <c r="X202" s="75"/>
      <c r="Y202" s="75"/>
      <c r="Z202" s="82"/>
      <c r="AB202" s="74"/>
      <c r="AC202" s="75"/>
      <c r="AD202" s="75"/>
      <c r="AE202" s="75"/>
      <c r="AF202" s="75"/>
      <c r="AG202" s="75"/>
      <c r="AH202" s="75"/>
      <c r="AI202" s="82"/>
    </row>
    <row r="206" customFormat="false" ht="22.05" hidden="false" customHeight="false" outlineLevel="0" collapsed="false">
      <c r="A206" s="179" t="s">
        <v>153</v>
      </c>
      <c r="B206" s="179"/>
      <c r="C206" s="179"/>
      <c r="D206" s="179"/>
      <c r="E206" s="179"/>
      <c r="F206" s="179"/>
      <c r="G206" s="179"/>
      <c r="H206" s="179"/>
    </row>
    <row r="207" customFormat="false" ht="17.35" hidden="false" customHeight="false" outlineLevel="0" collapsed="false">
      <c r="A207" s="55"/>
      <c r="B207" s="25"/>
      <c r="C207" s="25"/>
      <c r="D207" s="25"/>
      <c r="E207" s="94"/>
      <c r="F207" s="94"/>
      <c r="G207" s="94"/>
      <c r="H207" s="20"/>
    </row>
    <row r="208" customFormat="false" ht="17.35" hidden="false" customHeight="false" outlineLevel="0" collapsed="false">
      <c r="A208" s="180" t="s">
        <v>98</v>
      </c>
      <c r="B208" s="181" t="s">
        <v>174</v>
      </c>
      <c r="C208" s="181"/>
      <c r="D208" s="181"/>
      <c r="E208" s="181" t="s">
        <v>175</v>
      </c>
      <c r="F208" s="182"/>
      <c r="G208" s="94"/>
      <c r="H208" s="20"/>
    </row>
    <row r="209" customFormat="false" ht="17.35" hidden="false" customHeight="false" outlineLevel="0" collapsed="false">
      <c r="A209" s="169" t="s">
        <v>207</v>
      </c>
      <c r="B209" s="170" t="n">
        <f aca="false">A197</f>
        <v>35</v>
      </c>
      <c r="C209" s="170"/>
      <c r="D209" s="170"/>
      <c r="E209" s="170" t="n">
        <f aca="false">B196</f>
        <v>35000</v>
      </c>
      <c r="F209" s="182"/>
      <c r="G209" s="94"/>
      <c r="H209" s="20"/>
    </row>
    <row r="210" customFormat="false" ht="17.35" hidden="false" customHeight="false" outlineLevel="0" collapsed="false">
      <c r="A210" s="55"/>
      <c r="B210" s="25"/>
      <c r="C210" s="25"/>
      <c r="D210" s="25"/>
      <c r="E210" s="94"/>
      <c r="F210" s="94"/>
      <c r="G210" s="94"/>
      <c r="H210" s="20"/>
    </row>
    <row r="211" customFormat="false" ht="17.35" hidden="false" customHeight="false" outlineLevel="0" collapsed="false">
      <c r="A211" s="180" t="s">
        <v>154</v>
      </c>
      <c r="B211" s="181" t="s">
        <v>155</v>
      </c>
      <c r="C211" s="181"/>
      <c r="D211" s="181"/>
      <c r="E211" s="181" t="s">
        <v>156</v>
      </c>
      <c r="F211" s="94"/>
      <c r="G211" s="94"/>
      <c r="H211" s="20"/>
    </row>
    <row r="212" customFormat="false" ht="17.35" hidden="false" customHeight="false" outlineLevel="0" collapsed="false">
      <c r="A212" s="173" t="n">
        <f aca="false">A167</f>
        <v>2165.20916325754</v>
      </c>
      <c r="B212" s="172" t="n">
        <f aca="false">B167</f>
        <v>86.0592352941177</v>
      </c>
      <c r="C212" s="170"/>
      <c r="D212" s="170"/>
      <c r="E212" s="172" t="n">
        <f aca="false">E167</f>
        <v>2251.26839855166</v>
      </c>
      <c r="F212" s="94"/>
      <c r="G212" s="94"/>
      <c r="H212" s="20"/>
    </row>
    <row r="213" customFormat="false" ht="17.35" hidden="false" customHeight="false" outlineLevel="0" collapsed="false">
      <c r="A213" s="55"/>
      <c r="B213" s="25"/>
      <c r="C213" s="25"/>
      <c r="D213" s="25"/>
      <c r="E213" s="94"/>
      <c r="F213" s="94"/>
      <c r="G213" s="94"/>
      <c r="H213" s="20"/>
    </row>
    <row r="214" customFormat="false" ht="17.35" hidden="false" customHeight="false" outlineLevel="0" collapsed="false">
      <c r="A214" s="55" t="s">
        <v>158</v>
      </c>
      <c r="B214" s="25" t="s">
        <v>159</v>
      </c>
      <c r="C214" s="25"/>
      <c r="D214" s="94"/>
      <c r="E214" s="25" t="s">
        <v>160</v>
      </c>
      <c r="F214" s="94"/>
      <c r="G214" s="94"/>
      <c r="H214" s="20"/>
    </row>
    <row r="215" customFormat="false" ht="17.35" hidden="false" customHeight="false" outlineLevel="0" collapsed="false">
      <c r="A215" s="69" t="n">
        <f aca="false">A173</f>
        <v>57991.67</v>
      </c>
      <c r="B215" s="37" t="n">
        <f aca="false">B173</f>
        <v>11598.334</v>
      </c>
      <c r="C215" s="67"/>
      <c r="D215" s="94"/>
      <c r="E215" s="73" t="n">
        <f aca="false">E173</f>
        <v>640</v>
      </c>
      <c r="F215" s="94"/>
      <c r="G215" s="94"/>
      <c r="H215" s="20"/>
    </row>
    <row r="216" customFormat="false" ht="17.35" hidden="false" customHeight="false" outlineLevel="0" collapsed="false">
      <c r="A216" s="55"/>
      <c r="B216" s="25"/>
      <c r="C216" s="25"/>
      <c r="D216" s="94"/>
      <c r="E216" s="25"/>
      <c r="F216" s="94"/>
      <c r="G216" s="94"/>
      <c r="H216" s="20"/>
    </row>
    <row r="217" customFormat="false" ht="17.35" hidden="false" customHeight="false" outlineLevel="0" collapsed="false">
      <c r="A217" s="55" t="s">
        <v>161</v>
      </c>
      <c r="B217" s="25" t="s">
        <v>108</v>
      </c>
      <c r="C217" s="25"/>
      <c r="D217" s="94"/>
      <c r="E217" s="25" t="s">
        <v>109</v>
      </c>
      <c r="F217" s="94"/>
      <c r="G217" s="94"/>
      <c r="H217" s="20"/>
    </row>
    <row r="218" customFormat="false" ht="17.35" hidden="false" customHeight="false" outlineLevel="0" collapsed="false">
      <c r="A218" s="69" t="n">
        <f aca="false">A176</f>
        <v>70230.004</v>
      </c>
      <c r="B218" s="37" t="n">
        <f aca="false">B176</f>
        <v>1000</v>
      </c>
      <c r="C218" s="37"/>
      <c r="D218" s="94"/>
      <c r="E218" s="37" t="n">
        <f aca="false">E176</f>
        <v>1000</v>
      </c>
      <c r="F218" s="94"/>
      <c r="G218" s="94"/>
      <c r="H218" s="177"/>
    </row>
    <row r="219" customFormat="false" ht="17.35" hidden="false" customHeight="false" outlineLevel="0" collapsed="false">
      <c r="A219" s="55"/>
      <c r="B219" s="25"/>
      <c r="C219" s="25"/>
      <c r="D219" s="94"/>
      <c r="E219" s="25"/>
      <c r="F219" s="94"/>
      <c r="G219" s="94"/>
      <c r="H219" s="20"/>
    </row>
    <row r="220" customFormat="false" ht="17.35" hidden="false" customHeight="false" outlineLevel="0" collapsed="false">
      <c r="A220" s="55" t="s">
        <v>110</v>
      </c>
      <c r="B220" s="25" t="s">
        <v>146</v>
      </c>
      <c r="C220" s="25"/>
      <c r="D220" s="94"/>
      <c r="E220" s="25" t="s">
        <v>151</v>
      </c>
      <c r="F220" s="94"/>
      <c r="G220" s="94"/>
      <c r="H220" s="20"/>
    </row>
    <row r="221" customFormat="false" ht="17.35" hidden="false" customHeight="false" outlineLevel="0" collapsed="false">
      <c r="A221" s="70" t="n">
        <f aca="false">A179</f>
        <v>2000</v>
      </c>
      <c r="B221" s="37" t="n">
        <f aca="false">B179</f>
        <v>500</v>
      </c>
      <c r="C221" s="37"/>
      <c r="D221" s="94"/>
      <c r="E221" s="37" t="n">
        <f aca="false">E179</f>
        <v>67730.004</v>
      </c>
      <c r="F221" s="94"/>
      <c r="G221" s="94"/>
      <c r="H221" s="177"/>
    </row>
    <row r="222" customFormat="false" ht="17.35" hidden="false" customHeight="false" outlineLevel="0" collapsed="false">
      <c r="A222" s="55"/>
      <c r="B222" s="25"/>
      <c r="C222" s="25"/>
      <c r="D222" s="94"/>
      <c r="E222" s="25"/>
      <c r="F222" s="94"/>
      <c r="G222" s="94"/>
      <c r="H222" s="20"/>
    </row>
    <row r="223" customFormat="false" ht="17.35" hidden="false" customHeight="false" outlineLevel="0" collapsed="false">
      <c r="A223" s="55" t="s">
        <v>162</v>
      </c>
      <c r="B223" s="25" t="s">
        <v>152</v>
      </c>
      <c r="C223" s="25"/>
      <c r="D223" s="94"/>
      <c r="E223" s="25" t="s">
        <v>163</v>
      </c>
      <c r="F223" s="94"/>
      <c r="G223" s="94"/>
      <c r="H223" s="20"/>
    </row>
    <row r="224" customFormat="false" ht="17.35" hidden="false" customHeight="false" outlineLevel="0" collapsed="false">
      <c r="A224" s="70" t="n">
        <f aca="false">A182</f>
        <v>13087.1075507564</v>
      </c>
      <c r="B224" s="37" t="str">
        <f aca="false">B182</f>
        <v>239.99</v>
      </c>
      <c r="C224" s="37"/>
      <c r="D224" s="94"/>
      <c r="E224" s="37" t="n">
        <f aca="false">E182</f>
        <v>81067.1015507564</v>
      </c>
      <c r="F224" s="94"/>
      <c r="G224" s="94"/>
      <c r="H224" s="177"/>
    </row>
    <row r="225" customFormat="false" ht="17.35" hidden="false" customHeight="false" outlineLevel="0" collapsed="false">
      <c r="A225" s="55"/>
      <c r="B225" s="25"/>
      <c r="C225" s="25"/>
      <c r="D225" s="94"/>
      <c r="E225" s="25"/>
      <c r="F225" s="94"/>
      <c r="G225" s="94"/>
      <c r="H225" s="20"/>
    </row>
    <row r="226" customFormat="false" ht="17.35" hidden="false" customHeight="false" outlineLevel="0" collapsed="false">
      <c r="A226" s="55" t="s">
        <v>164</v>
      </c>
      <c r="B226" s="25" t="s">
        <v>165</v>
      </c>
      <c r="C226" s="25"/>
      <c r="D226" s="94"/>
      <c r="E226" s="25" t="s">
        <v>177</v>
      </c>
      <c r="F226" s="94"/>
      <c r="G226" s="94"/>
      <c r="H226" s="20"/>
    </row>
    <row r="227" customFormat="false" ht="17.35" hidden="false" customHeight="false" outlineLevel="0" collapsed="false">
      <c r="A227" s="70" t="n">
        <f aca="false">A185</f>
        <v>10</v>
      </c>
      <c r="B227" s="37" t="n">
        <f aca="false">B185</f>
        <v>2239.99</v>
      </c>
      <c r="C227" s="37"/>
      <c r="D227" s="94"/>
      <c r="E227" s="37" t="n">
        <f aca="false">B59</f>
        <v>34</v>
      </c>
      <c r="F227" s="94"/>
      <c r="G227" s="94"/>
      <c r="H227" s="177"/>
    </row>
    <row r="228" customFormat="false" ht="17.35" hidden="false" customHeight="false" outlineLevel="0" collapsed="false">
      <c r="A228" s="55"/>
      <c r="B228" s="25"/>
      <c r="C228" s="25"/>
      <c r="D228" s="25"/>
      <c r="E228" s="94"/>
      <c r="F228" s="94"/>
      <c r="G228" s="94"/>
      <c r="H228" s="20"/>
    </row>
    <row r="229" customFormat="false" ht="17.35" hidden="false" customHeight="false" outlineLevel="0" collapsed="false">
      <c r="A229" s="55" t="s">
        <v>154</v>
      </c>
      <c r="B229" s="25" t="s">
        <v>155</v>
      </c>
      <c r="C229" s="25"/>
      <c r="D229" s="25"/>
      <c r="E229" s="25" t="s">
        <v>156</v>
      </c>
      <c r="F229" s="94"/>
      <c r="G229" s="94"/>
      <c r="H229" s="20"/>
    </row>
    <row r="230" customFormat="false" ht="17.35" hidden="false" customHeight="false" outlineLevel="0" collapsed="false">
      <c r="A230" s="70" t="n">
        <f aca="false">A167</f>
        <v>2165.20916325754</v>
      </c>
      <c r="B230" s="37" t="n">
        <f aca="false">B167</f>
        <v>86.0592352941177</v>
      </c>
      <c r="C230" s="67"/>
      <c r="D230" s="67"/>
      <c r="E230" s="37" t="n">
        <f aca="false">E167</f>
        <v>2251.26839855166</v>
      </c>
      <c r="F230" s="94"/>
      <c r="G230" s="94"/>
      <c r="H230" s="20"/>
    </row>
    <row r="231" customFormat="false" ht="17.35" hidden="false" customHeight="false" outlineLevel="0" collapsed="false">
      <c r="A231" s="55"/>
      <c r="B231" s="25"/>
      <c r="C231" s="25"/>
      <c r="D231" s="25"/>
      <c r="E231" s="94"/>
      <c r="F231" s="94"/>
      <c r="G231" s="94"/>
      <c r="H231" s="20"/>
    </row>
    <row r="232" customFormat="false" ht="17.35" hidden="false" customHeight="false" outlineLevel="0" collapsed="false">
      <c r="A232" s="55" t="s">
        <v>157</v>
      </c>
      <c r="B232" s="25" t="s">
        <v>179</v>
      </c>
      <c r="C232" s="25"/>
      <c r="D232" s="25"/>
      <c r="E232" s="25" t="s">
        <v>181</v>
      </c>
      <c r="F232" s="94"/>
      <c r="G232" s="94"/>
      <c r="H232" s="20"/>
    </row>
    <row r="233" customFormat="false" ht="17.35" hidden="false" customHeight="false" outlineLevel="0" collapsed="false">
      <c r="A233" s="70" t="n">
        <f aca="false">E170</f>
        <v>7200</v>
      </c>
      <c r="B233" s="37" t="n">
        <f aca="false">E185</f>
        <v>7210</v>
      </c>
      <c r="C233" s="25"/>
      <c r="D233" s="25"/>
      <c r="E233" s="37" t="n">
        <f aca="false">A188</f>
        <v>13.8924</v>
      </c>
      <c r="F233" s="94"/>
      <c r="G233" s="94"/>
      <c r="H233" s="20"/>
    </row>
    <row r="234" customFormat="false" ht="17.35" hidden="false" customHeight="false" outlineLevel="0" collapsed="false">
      <c r="A234" s="70"/>
      <c r="B234" s="37"/>
      <c r="C234" s="25"/>
      <c r="D234" s="25"/>
      <c r="E234" s="37"/>
      <c r="F234" s="94"/>
      <c r="G234" s="94"/>
      <c r="H234" s="20"/>
    </row>
    <row r="235" customFormat="false" ht="17.35" hidden="false" customHeight="false" outlineLevel="0" collapsed="false">
      <c r="A235" s="78" t="s">
        <v>102</v>
      </c>
      <c r="B235" s="37"/>
      <c r="C235" s="25"/>
      <c r="D235" s="25"/>
      <c r="E235" s="37"/>
      <c r="F235" s="94"/>
      <c r="G235" s="94"/>
      <c r="H235" s="20"/>
    </row>
    <row r="236" customFormat="false" ht="17.35" hidden="false" customHeight="false" outlineLevel="0" collapsed="false">
      <c r="A236" s="70"/>
      <c r="B236" s="37"/>
      <c r="C236" s="25"/>
      <c r="D236" s="25"/>
      <c r="E236" s="37"/>
      <c r="F236" s="94"/>
      <c r="G236" s="94"/>
      <c r="H236" s="20"/>
    </row>
    <row r="237" customFormat="false" ht="17.35" hidden="false" customHeight="false" outlineLevel="0" collapsed="false">
      <c r="A237" s="70"/>
      <c r="B237" s="37"/>
      <c r="C237" s="25"/>
      <c r="D237" s="25"/>
      <c r="E237" s="37"/>
      <c r="F237" s="94"/>
      <c r="G237" s="94"/>
      <c r="H237" s="20"/>
    </row>
    <row r="238" customFormat="false" ht="22.05" hidden="false" customHeight="false" outlineLevel="0" collapsed="false">
      <c r="A238" s="184" t="s">
        <v>183</v>
      </c>
      <c r="B238" s="184"/>
      <c r="C238" s="184"/>
      <c r="D238" s="184"/>
      <c r="E238" s="184"/>
      <c r="F238" s="184"/>
      <c r="G238" s="184"/>
      <c r="H238" s="184"/>
    </row>
    <row r="239" customFormat="false" ht="17.35" hidden="false" customHeight="false" outlineLevel="0" collapsed="false">
      <c r="A239" s="55" t="s">
        <v>184</v>
      </c>
      <c r="B239" s="25" t="s">
        <v>168</v>
      </c>
      <c r="C239" s="25"/>
      <c r="D239" s="25"/>
      <c r="E239" s="38" t="s">
        <v>169</v>
      </c>
      <c r="F239" s="94"/>
      <c r="G239" s="94"/>
      <c r="H239" s="20"/>
    </row>
    <row r="240" customFormat="false" ht="17.35" hidden="false" customHeight="false" outlineLevel="0" collapsed="false">
      <c r="A240" s="70" t="n">
        <f aca="false">H148</f>
        <v>9754.17</v>
      </c>
      <c r="B240" s="37" t="n">
        <f aca="false">B68</f>
        <v>552.65801875</v>
      </c>
      <c r="C240" s="25"/>
      <c r="D240" s="25"/>
      <c r="E240" s="37" t="n">
        <f aca="false">E188</f>
        <v>56.2695</v>
      </c>
      <c r="F240" s="94"/>
      <c r="G240" s="94"/>
      <c r="H240" s="20"/>
    </row>
    <row r="241" customFormat="false" ht="17.35" hidden="false" customHeight="false" outlineLevel="0" collapsed="false">
      <c r="A241" s="70"/>
      <c r="B241" s="37"/>
      <c r="C241" s="25"/>
      <c r="D241" s="25"/>
      <c r="E241" s="94"/>
      <c r="F241" s="94"/>
      <c r="G241" s="94"/>
      <c r="H241" s="20"/>
    </row>
    <row r="242" customFormat="false" ht="17.35" hidden="false" customHeight="false" outlineLevel="0" collapsed="false">
      <c r="A242" s="78" t="s">
        <v>170</v>
      </c>
      <c r="B242" s="38" t="s">
        <v>171</v>
      </c>
      <c r="C242" s="25"/>
      <c r="D242" s="25"/>
      <c r="E242" s="38"/>
      <c r="F242" s="94"/>
      <c r="G242" s="94"/>
      <c r="H242" s="20"/>
    </row>
    <row r="243" customFormat="false" ht="17.35" hidden="false" customHeight="false" outlineLevel="0" collapsed="false">
      <c r="A243" s="70" t="n">
        <f aca="false">A191</f>
        <v>99.9916666666667</v>
      </c>
      <c r="B243" s="37" t="n">
        <f aca="false">B240+E240+A243+A240</f>
        <v>10463.0891854167</v>
      </c>
      <c r="C243" s="25"/>
      <c r="D243" s="25"/>
      <c r="E243" s="37"/>
      <c r="F243" s="94"/>
      <c r="G243" s="94"/>
      <c r="H243" s="20"/>
    </row>
    <row r="244" customFormat="false" ht="17.35" hidden="false" customHeight="false" outlineLevel="0" collapsed="false">
      <c r="A244" s="55"/>
      <c r="B244" s="25"/>
      <c r="C244" s="25"/>
      <c r="D244" s="25"/>
      <c r="E244" s="94"/>
      <c r="F244" s="94"/>
      <c r="G244" s="94"/>
      <c r="H244" s="20"/>
    </row>
    <row r="245" customFormat="false" ht="17.35" hidden="false" customHeight="false" outlineLevel="0" collapsed="false">
      <c r="A245" s="74"/>
      <c r="B245" s="75"/>
      <c r="C245" s="75"/>
      <c r="D245" s="75"/>
      <c r="E245" s="75"/>
      <c r="F245" s="75"/>
      <c r="G245" s="75"/>
      <c r="H245" s="82"/>
    </row>
    <row r="251" customFormat="false" ht="22.05" hidden="false" customHeight="false" outlineLevel="0" collapsed="false">
      <c r="A251" s="179" t="s">
        <v>185</v>
      </c>
      <c r="B251" s="179"/>
      <c r="C251" s="179"/>
      <c r="D251" s="179"/>
      <c r="E251" s="179"/>
      <c r="F251" s="179"/>
      <c r="G251" s="179"/>
      <c r="H251" s="179"/>
    </row>
    <row r="252" customFormat="false" ht="17.35" hidden="false" customHeight="false" outlineLevel="0" collapsed="false">
      <c r="A252" s="55"/>
      <c r="B252" s="178"/>
      <c r="C252" s="178"/>
      <c r="D252" s="178"/>
      <c r="E252" s="45"/>
      <c r="F252" s="45"/>
      <c r="G252" s="45"/>
      <c r="H252" s="20"/>
    </row>
    <row r="253" customFormat="false" ht="17.35" hidden="false" customHeight="false" outlineLevel="0" collapsed="false">
      <c r="A253" s="180" t="s">
        <v>186</v>
      </c>
      <c r="B253" s="185" t="n">
        <f aca="false">K35</f>
        <v>0.065</v>
      </c>
      <c r="C253" s="186"/>
      <c r="D253" s="187" t="s">
        <v>187</v>
      </c>
      <c r="E253" s="187"/>
      <c r="F253" s="185" t="n">
        <f aca="false">B83</f>
        <v>0.115</v>
      </c>
      <c r="G253" s="45"/>
      <c r="H253" s="20"/>
    </row>
    <row r="254" customFormat="false" ht="17.35" hidden="false" customHeight="false" outlineLevel="0" collapsed="false">
      <c r="A254" s="180" t="s">
        <v>188</v>
      </c>
      <c r="B254" s="188"/>
      <c r="C254" s="186"/>
      <c r="D254" s="187" t="s">
        <v>189</v>
      </c>
      <c r="E254" s="187"/>
      <c r="F254" s="188" t="n">
        <f aca="false">F261+F267+F269+B270+B271</f>
        <v>663.1896225</v>
      </c>
      <c r="G254" s="45"/>
      <c r="H254" s="20"/>
    </row>
    <row r="255" customFormat="false" ht="17.35" hidden="false" customHeight="false" outlineLevel="0" collapsed="false">
      <c r="A255" s="180" t="s">
        <v>190</v>
      </c>
      <c r="B255" s="188" t="n">
        <f aca="false">F262+B263</f>
        <v>662.686666666667</v>
      </c>
      <c r="C255" s="186"/>
      <c r="D255" s="187" t="s">
        <v>191</v>
      </c>
      <c r="E255" s="187"/>
      <c r="F255" s="188" t="n">
        <f aca="false">(B254-F254)+B255</f>
        <v>-0.502955833333431</v>
      </c>
      <c r="G255" s="45"/>
      <c r="H255" s="20"/>
    </row>
    <row r="256" customFormat="false" ht="17.35" hidden="false" customHeight="false" outlineLevel="0" collapsed="false">
      <c r="A256" s="189"/>
      <c r="B256" s="187"/>
      <c r="C256" s="190"/>
      <c r="D256" s="190"/>
      <c r="E256" s="190"/>
      <c r="F256" s="190"/>
      <c r="G256" s="191"/>
      <c r="H256" s="192"/>
    </row>
    <row r="257" customFormat="false" ht="17.35" hidden="false" customHeight="false" outlineLevel="0" collapsed="false">
      <c r="A257" s="55" t="s">
        <v>186</v>
      </c>
      <c r="B257" s="193" t="n">
        <f aca="false">B253</f>
        <v>0.065</v>
      </c>
      <c r="C257" s="186"/>
      <c r="D257" s="186"/>
      <c r="E257" s="186"/>
      <c r="F257" s="186"/>
      <c r="G257" s="45"/>
      <c r="H257" s="20"/>
    </row>
    <row r="258" customFormat="false" ht="17.35" hidden="false" customHeight="false" outlineLevel="0" collapsed="false">
      <c r="A258" s="194"/>
      <c r="B258" s="195"/>
      <c r="C258" s="196"/>
      <c r="D258" s="196"/>
      <c r="E258" s="191"/>
      <c r="F258" s="191"/>
      <c r="G258" s="191"/>
      <c r="H258" s="192"/>
    </row>
    <row r="259" customFormat="false" ht="17.35" hidden="false" customHeight="false" outlineLevel="0" collapsed="false">
      <c r="A259" s="55" t="s">
        <v>192</v>
      </c>
      <c r="B259" s="193" t="n">
        <f aca="false">B64</f>
        <v>0.05</v>
      </c>
      <c r="C259" s="178"/>
      <c r="D259" s="38" t="s">
        <v>193</v>
      </c>
      <c r="E259" s="38"/>
      <c r="F259" s="193" t="n">
        <v>0</v>
      </c>
      <c r="G259" s="45"/>
      <c r="H259" s="20"/>
    </row>
    <row r="260" customFormat="false" ht="17.35" hidden="false" customHeight="false" outlineLevel="0" collapsed="false">
      <c r="A260" s="123" t="s">
        <v>187</v>
      </c>
      <c r="B260" s="197" t="n">
        <f aca="false">B83</f>
        <v>0.115</v>
      </c>
      <c r="C260" s="198"/>
      <c r="D260" s="38" t="s">
        <v>188</v>
      </c>
      <c r="E260" s="38"/>
      <c r="F260" s="199" t="n">
        <f aca="false">(B89*B59)-(C89*B59)</f>
        <v>73617.1115507564</v>
      </c>
      <c r="G260" s="45"/>
      <c r="H260" s="20"/>
    </row>
    <row r="261" customFormat="false" ht="17.35" hidden="false" customHeight="false" outlineLevel="0" collapsed="false">
      <c r="A261" s="55" t="s">
        <v>194</v>
      </c>
      <c r="B261" s="197" t="n">
        <f aca="false">B67</f>
        <v>0.00979166666666667</v>
      </c>
      <c r="C261" s="178"/>
      <c r="D261" s="38" t="s">
        <v>194</v>
      </c>
      <c r="E261" s="38"/>
      <c r="F261" s="152" t="n">
        <f aca="false">B68*1.2</f>
        <v>663.1896225</v>
      </c>
      <c r="G261" s="45"/>
      <c r="H261" s="20"/>
    </row>
    <row r="262" customFormat="false" ht="17.35" hidden="false" customHeight="false" outlineLevel="0" collapsed="false">
      <c r="A262" s="55" t="s">
        <v>195</v>
      </c>
      <c r="B262" s="193" t="n">
        <f aca="false">A108</f>
        <v>0.3</v>
      </c>
      <c r="C262" s="178"/>
      <c r="D262" s="38" t="s">
        <v>195</v>
      </c>
      <c r="E262" s="38"/>
      <c r="F262" s="199" t="n">
        <f aca="false">E240*10</f>
        <v>562.695</v>
      </c>
      <c r="G262" s="45"/>
      <c r="H262" s="20"/>
    </row>
    <row r="263" customFormat="false" ht="17.35" hidden="false" customHeight="false" outlineLevel="0" collapsed="false">
      <c r="A263" s="55" t="s">
        <v>196</v>
      </c>
      <c r="B263" s="199" t="n">
        <f aca="false">A243</f>
        <v>99.9916666666667</v>
      </c>
      <c r="C263" s="178"/>
      <c r="D263" s="200" t="s">
        <v>191</v>
      </c>
      <c r="E263" s="200"/>
      <c r="F263" s="199" t="n">
        <f aca="false">(B254-F254)+B255</f>
        <v>-0.502955833333431</v>
      </c>
      <c r="G263" s="45"/>
      <c r="H263" s="20"/>
    </row>
    <row r="264" customFormat="false" ht="17.35" hidden="false" customHeight="false" outlineLevel="0" collapsed="false">
      <c r="A264" s="70"/>
      <c r="B264" s="201"/>
      <c r="C264" s="178"/>
      <c r="D264" s="178"/>
      <c r="E264" s="201"/>
      <c r="F264" s="45"/>
      <c r="G264" s="45"/>
      <c r="H264" s="20"/>
    </row>
    <row r="265" customFormat="false" ht="22.05" hidden="false" customHeight="false" outlineLevel="0" collapsed="false">
      <c r="A265" s="184" t="s">
        <v>197</v>
      </c>
      <c r="B265" s="184"/>
      <c r="C265" s="184"/>
      <c r="D265" s="184"/>
      <c r="E265" s="184"/>
      <c r="F265" s="184"/>
      <c r="G265" s="184"/>
      <c r="H265" s="184"/>
    </row>
    <row r="266" customFormat="false" ht="17.35" hidden="false" customHeight="false" outlineLevel="0" collapsed="false">
      <c r="A266" s="55" t="s">
        <v>198</v>
      </c>
      <c r="B266" s="152" t="n">
        <v>0</v>
      </c>
      <c r="C266" s="178"/>
      <c r="D266" s="202" t="s">
        <v>199</v>
      </c>
      <c r="E266" s="202"/>
      <c r="F266" s="152" t="n">
        <v>0</v>
      </c>
      <c r="G266" s="45"/>
      <c r="H266" s="20"/>
    </row>
    <row r="267" customFormat="false" ht="17.35" hidden="false" customHeight="false" outlineLevel="0" collapsed="false">
      <c r="A267" s="70"/>
      <c r="B267" s="199"/>
      <c r="C267" s="178"/>
      <c r="D267" s="38" t="s">
        <v>200</v>
      </c>
      <c r="E267" s="38"/>
      <c r="F267" s="199" t="n">
        <f aca="false">B266+F266*B209</f>
        <v>0</v>
      </c>
      <c r="G267" s="45"/>
      <c r="H267" s="20"/>
    </row>
    <row r="268" customFormat="false" ht="17.35" hidden="false" customHeight="false" outlineLevel="0" collapsed="false">
      <c r="A268" s="78" t="s">
        <v>201</v>
      </c>
      <c r="B268" s="203" t="s">
        <v>4</v>
      </c>
      <c r="C268" s="178"/>
      <c r="D268" s="38" t="s">
        <v>202</v>
      </c>
      <c r="E268" s="38"/>
      <c r="F268" s="203" t="n">
        <f aca="false">B70</f>
        <v>0</v>
      </c>
      <c r="G268" s="45"/>
      <c r="H268" s="20"/>
    </row>
    <row r="269" customFormat="false" ht="17.35" hidden="false" customHeight="false" outlineLevel="0" collapsed="false">
      <c r="A269" s="78"/>
      <c r="B269" s="204"/>
      <c r="C269" s="178"/>
      <c r="D269" s="38" t="s">
        <v>203</v>
      </c>
      <c r="E269" s="38"/>
      <c r="F269" s="199" t="n">
        <f aca="false">B91</f>
        <v>0</v>
      </c>
      <c r="G269" s="45"/>
      <c r="H269" s="20"/>
    </row>
    <row r="270" customFormat="false" ht="17.35" hidden="false" customHeight="false" outlineLevel="0" collapsed="false">
      <c r="A270" s="78" t="s">
        <v>204</v>
      </c>
      <c r="B270" s="152" t="n">
        <v>0</v>
      </c>
      <c r="C270" s="178"/>
      <c r="D270" s="178"/>
      <c r="E270" s="201"/>
      <c r="F270" s="45"/>
      <c r="G270" s="45"/>
      <c r="H270" s="20"/>
    </row>
    <row r="271" customFormat="false" ht="17.35" hidden="false" customHeight="false" outlineLevel="0" collapsed="false">
      <c r="A271" s="55" t="s">
        <v>205</v>
      </c>
      <c r="B271" s="152" t="n">
        <v>0</v>
      </c>
      <c r="C271" s="178"/>
      <c r="D271" s="178"/>
      <c r="E271" s="45"/>
      <c r="F271" s="45"/>
      <c r="G271" s="45"/>
      <c r="H271" s="20"/>
    </row>
    <row r="272" customFormat="false" ht="17.35" hidden="false" customHeight="false" outlineLevel="0" collapsed="false">
      <c r="A272" s="74"/>
      <c r="B272" s="75"/>
      <c r="C272" s="75"/>
      <c r="D272" s="75"/>
      <c r="E272" s="75"/>
      <c r="F272" s="75"/>
      <c r="G272" s="75"/>
      <c r="H272" s="82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operator="between" showDropDown="false" showErrorMessage="true" showInputMessage="true" sqref="B105 K105 T105 AC105" type="list">
      <formula1>$Y$127:$Y$136</formula1>
      <formula2>0</formula2>
    </dataValidation>
    <dataValidation allowBlank="true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61" colorId="64" zoomScale="75" zoomScaleNormal="75" zoomScalePageLayoutView="100" workbookViewId="0">
      <selection pane="topLeft" activeCell="B82" activeCellId="0" sqref="B82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4" t="s">
        <v>324</v>
      </c>
      <c r="B1" s="4"/>
      <c r="C1" s="4"/>
      <c r="D1" s="4"/>
      <c r="E1" s="4"/>
      <c r="F1" s="4"/>
      <c r="G1" s="4"/>
      <c r="H1" s="4"/>
      <c r="I1" s="2"/>
      <c r="J1" s="2"/>
    </row>
    <row r="2" customFormat="false" ht="19.7" hidden="false" customHeight="false" outlineLevel="0" collapsed="false">
      <c r="A2" s="99"/>
      <c r="B2" s="8" t="s">
        <v>115</v>
      </c>
      <c r="C2" s="8"/>
      <c r="D2" s="8" t="s">
        <v>116</v>
      </c>
      <c r="E2" s="8"/>
      <c r="F2" s="8" t="s">
        <v>117</v>
      </c>
      <c r="G2" s="8"/>
      <c r="H2" s="9" t="s">
        <v>118</v>
      </c>
      <c r="I2" s="2"/>
      <c r="J2" s="2"/>
    </row>
    <row r="3" customFormat="false" ht="17.35" hidden="false" customHeight="false" outlineLevel="0" collapsed="false">
      <c r="A3" s="55" t="s">
        <v>121</v>
      </c>
      <c r="B3" s="13" t="n">
        <v>46854.17</v>
      </c>
      <c r="C3" s="13" t="n">
        <v>0</v>
      </c>
      <c r="D3" s="13" t="n">
        <v>0</v>
      </c>
      <c r="E3" s="13"/>
      <c r="F3" s="13" t="n">
        <v>833.33</v>
      </c>
      <c r="G3" s="13"/>
      <c r="H3" s="14" t="n">
        <v>0</v>
      </c>
      <c r="I3" s="2"/>
      <c r="J3" s="2"/>
    </row>
    <row r="4" customFormat="false" ht="17.35" hidden="false" customHeight="false" outlineLevel="0" collapsed="false">
      <c r="A4" s="55" t="s">
        <v>122</v>
      </c>
      <c r="B4" s="17" t="n">
        <v>0</v>
      </c>
      <c r="C4" s="17" t="n">
        <v>0</v>
      </c>
      <c r="D4" s="17" t="n">
        <v>0</v>
      </c>
      <c r="E4" s="17"/>
      <c r="F4" s="17" t="n">
        <v>0</v>
      </c>
      <c r="G4" s="17"/>
      <c r="H4" s="18"/>
      <c r="I4" s="2"/>
      <c r="J4" s="2"/>
    </row>
    <row r="5" customFormat="false" ht="17.35" hidden="false" customHeight="false" outlineLevel="0" collapsed="false">
      <c r="A5" s="55" t="s">
        <v>123</v>
      </c>
      <c r="B5" s="13" t="n">
        <v>0</v>
      </c>
      <c r="C5" s="13" t="n">
        <v>0</v>
      </c>
      <c r="D5" s="13" t="n">
        <v>0</v>
      </c>
      <c r="E5" s="13"/>
      <c r="F5" s="13" t="n">
        <v>0</v>
      </c>
      <c r="G5" s="13"/>
      <c r="H5" s="20"/>
      <c r="I5" s="2"/>
      <c r="J5" s="2"/>
    </row>
    <row r="6" customFormat="false" ht="17.35" hidden="false" customHeight="false" outlineLevel="0" collapsed="false">
      <c r="A6" s="55" t="s">
        <v>124</v>
      </c>
      <c r="B6" s="21" t="n">
        <f aca="false">(B3*B4/100)+B5</f>
        <v>0</v>
      </c>
      <c r="C6" s="21" t="n">
        <f aca="false">(C3*C4/100)+C5</f>
        <v>0</v>
      </c>
      <c r="D6" s="21" t="n">
        <f aca="false">(D3*D4/100)+D5</f>
        <v>0</v>
      </c>
      <c r="E6" s="21"/>
      <c r="F6" s="21" t="n">
        <f aca="false">(F3*F4/100)+F5</f>
        <v>0</v>
      </c>
      <c r="G6" s="21"/>
      <c r="H6" s="20"/>
      <c r="I6" s="2"/>
      <c r="J6" s="2"/>
    </row>
    <row r="7" customFormat="false" ht="17.35" hidden="false" customHeight="false" outlineLevel="0" collapsed="false">
      <c r="A7" s="55" t="s">
        <v>125</v>
      </c>
      <c r="B7" s="21" t="n">
        <f aca="false">B3-B6</f>
        <v>46854.17</v>
      </c>
      <c r="C7" s="21" t="n">
        <f aca="false">C3-C6</f>
        <v>0</v>
      </c>
      <c r="D7" s="21" t="n">
        <f aca="false">D3-D6</f>
        <v>0</v>
      </c>
      <c r="E7" s="21"/>
      <c r="F7" s="21" t="n">
        <f aca="false">F3-F6</f>
        <v>833.33</v>
      </c>
      <c r="G7" s="21"/>
      <c r="H7" s="20"/>
      <c r="I7" s="2"/>
      <c r="J7" s="2"/>
    </row>
    <row r="8" customFormat="false" ht="17.35" hidden="false" customHeight="false" outlineLevel="0" collapsed="false">
      <c r="A8" s="55"/>
      <c r="B8" s="25"/>
      <c r="C8" s="25"/>
      <c r="D8" s="25"/>
      <c r="E8" s="25"/>
      <c r="F8" s="25"/>
      <c r="G8" s="25"/>
      <c r="H8" s="20"/>
      <c r="I8" s="2"/>
      <c r="J8" s="2"/>
      <c r="L8" s="26" t="s">
        <v>3</v>
      </c>
      <c r="M8" s="27" t="n">
        <f aca="false">H13+H14</f>
        <v>640</v>
      </c>
    </row>
    <row r="9" customFormat="false" ht="19.7" hidden="false" customHeight="false" outlineLevel="0" collapsed="false">
      <c r="A9" s="153" t="s">
        <v>133</v>
      </c>
      <c r="B9" s="153"/>
      <c r="C9" s="153"/>
      <c r="D9" s="153"/>
      <c r="E9" s="153" t="n">
        <f aca="false">(B7+C7+D7+E3)</f>
        <v>46854.17</v>
      </c>
      <c r="F9" s="153"/>
      <c r="G9" s="29"/>
      <c r="H9" s="30" t="n">
        <f aca="false">B7+D7+F7+H3</f>
        <v>47687.5</v>
      </c>
      <c r="I9" s="2"/>
      <c r="J9" s="2"/>
      <c r="L9" s="27"/>
      <c r="M9" s="27"/>
    </row>
    <row r="10" customFormat="false" ht="17.35" hidden="false" customHeight="false" outlineLevel="0" collapsed="false">
      <c r="A10" s="155" t="s">
        <v>134</v>
      </c>
      <c r="B10" s="155"/>
      <c r="C10" s="155"/>
      <c r="D10" s="155"/>
      <c r="E10" s="155" t="n">
        <v>550</v>
      </c>
      <c r="F10" s="155"/>
      <c r="G10" s="21"/>
      <c r="H10" s="14" t="n">
        <v>550</v>
      </c>
      <c r="I10" s="2"/>
      <c r="J10" s="2"/>
      <c r="L10" s="32" t="s">
        <v>1</v>
      </c>
      <c r="M10" s="27" t="n">
        <f aca="false">H15-H11-M8</f>
        <v>48237.5</v>
      </c>
    </row>
    <row r="11" customFormat="false" ht="17.35" hidden="false" customHeight="false" outlineLevel="0" collapsed="false">
      <c r="A11" s="155" t="s">
        <v>135</v>
      </c>
      <c r="B11" s="155"/>
      <c r="C11" s="155"/>
      <c r="D11" s="155"/>
      <c r="E11" s="155"/>
      <c r="F11" s="155"/>
      <c r="G11" s="21"/>
      <c r="H11" s="20" t="n">
        <f aca="false">(H9+H10)*20%</f>
        <v>9647.5</v>
      </c>
      <c r="I11" s="2"/>
      <c r="J11" s="2"/>
      <c r="L11" s="27"/>
      <c r="M11" s="27"/>
    </row>
    <row r="12" customFormat="false" ht="17.35" hidden="false" customHeight="false" outlineLevel="0" collapsed="false">
      <c r="A12" s="155" t="s">
        <v>136</v>
      </c>
      <c r="B12" s="155"/>
      <c r="C12" s="155"/>
      <c r="D12" s="155"/>
      <c r="E12" s="155"/>
      <c r="F12" s="155"/>
      <c r="G12" s="21"/>
      <c r="H12" s="14" t="n">
        <v>0</v>
      </c>
      <c r="I12" s="2"/>
      <c r="J12" s="2"/>
    </row>
    <row r="13" customFormat="false" ht="17.35" hidden="false" customHeight="false" outlineLevel="0" collapsed="false">
      <c r="A13" s="155" t="s">
        <v>137</v>
      </c>
      <c r="B13" s="155"/>
      <c r="C13" s="155"/>
      <c r="D13" s="155"/>
      <c r="E13" s="155" t="n">
        <v>555</v>
      </c>
      <c r="F13" s="155"/>
      <c r="G13" s="21"/>
      <c r="H13" s="14" t="n">
        <v>585</v>
      </c>
      <c r="I13" s="2"/>
      <c r="J13" s="2"/>
    </row>
    <row r="14" customFormat="false" ht="17.35" hidden="false" customHeight="false" outlineLevel="0" collapsed="false">
      <c r="A14" s="155" t="s">
        <v>138</v>
      </c>
      <c r="B14" s="155"/>
      <c r="C14" s="155"/>
      <c r="D14" s="155"/>
      <c r="E14" s="155" t="n">
        <v>55</v>
      </c>
      <c r="F14" s="155"/>
      <c r="G14" s="21"/>
      <c r="H14" s="14" t="n">
        <v>55</v>
      </c>
      <c r="I14" s="2"/>
      <c r="J14" s="2" t="s">
        <v>13</v>
      </c>
    </row>
    <row r="15" customFormat="false" ht="17.35" hidden="false" customHeight="false" outlineLevel="0" collapsed="false">
      <c r="A15" s="155" t="s">
        <v>139</v>
      </c>
      <c r="B15" s="155"/>
      <c r="C15" s="155"/>
      <c r="D15" s="155"/>
      <c r="E15" s="155"/>
      <c r="F15" s="155"/>
      <c r="G15" s="21"/>
      <c r="H15" s="33" t="n">
        <f aca="false">(H9+H10+H13+H14+H11)-H12</f>
        <v>58525</v>
      </c>
      <c r="I15" s="2"/>
      <c r="J15" s="34" t="n">
        <f aca="false">H15</f>
        <v>58525</v>
      </c>
    </row>
    <row r="16" customFormat="false" ht="17.35" hidden="false" customHeight="false" outlineLevel="0" collapsed="false">
      <c r="A16" s="155" t="s">
        <v>140</v>
      </c>
      <c r="B16" s="155"/>
      <c r="C16" s="155"/>
      <c r="D16" s="155"/>
      <c r="E16" s="155" t="n">
        <v>0</v>
      </c>
      <c r="F16" s="155"/>
      <c r="G16" s="21"/>
      <c r="H16" s="14" t="n">
        <v>0</v>
      </c>
      <c r="I16" s="2"/>
      <c r="J16" s="2"/>
      <c r="Y16" s="36" t="s">
        <v>15</v>
      </c>
    </row>
    <row r="17" customFormat="false" ht="17.35" hidden="false" customHeight="false" outlineLevel="0" collapsed="false">
      <c r="A17" s="70" t="s">
        <v>141</v>
      </c>
      <c r="B17" s="70"/>
      <c r="C17" s="70"/>
      <c r="D17" s="70"/>
      <c r="E17" s="70"/>
      <c r="F17" s="70"/>
      <c r="G17" s="37"/>
      <c r="H17" s="20"/>
      <c r="I17" s="2"/>
      <c r="J17" s="2" t="s">
        <v>16</v>
      </c>
      <c r="Y17" s="36" t="s">
        <v>17</v>
      </c>
    </row>
    <row r="18" customFormat="false" ht="17.35" hidden="false" customHeight="false" outlineLevel="0" collapsed="false">
      <c r="A18" s="158" t="s">
        <v>15</v>
      </c>
      <c r="B18" s="159" t="s">
        <v>142</v>
      </c>
      <c r="C18" s="159"/>
      <c r="D18" s="159"/>
      <c r="E18" s="159"/>
      <c r="F18" s="159"/>
      <c r="G18" s="38"/>
      <c r="H18" s="39" t="n">
        <v>0</v>
      </c>
      <c r="I18" s="2"/>
      <c r="J18" s="34" t="n">
        <f aca="false">(B3+D3+F3+H3+H10)*1.2</f>
        <v>57885</v>
      </c>
      <c r="Y18" s="36" t="s">
        <v>18</v>
      </c>
    </row>
    <row r="19" customFormat="false" ht="17.35" hidden="false" customHeight="false" outlineLevel="0" collapsed="false">
      <c r="A19" s="158" t="s">
        <v>17</v>
      </c>
      <c r="B19" s="159" t="s">
        <v>142</v>
      </c>
      <c r="C19" s="159"/>
      <c r="D19" s="159"/>
      <c r="E19" s="159"/>
      <c r="F19" s="159"/>
      <c r="G19" s="38"/>
      <c r="H19" s="39" t="n">
        <v>0</v>
      </c>
      <c r="I19" s="2"/>
      <c r="J19" s="2"/>
      <c r="Z19" s="2" t="s">
        <v>9</v>
      </c>
    </row>
    <row r="20" customFormat="false" ht="17.35" hidden="false" customHeight="false" outlineLevel="0" collapsed="false">
      <c r="A20" s="158" t="s">
        <v>18</v>
      </c>
      <c r="B20" s="159" t="s">
        <v>142</v>
      </c>
      <c r="C20" s="159"/>
      <c r="D20" s="159"/>
      <c r="E20" s="159"/>
      <c r="F20" s="159"/>
      <c r="G20" s="38"/>
      <c r="H20" s="39" t="n">
        <v>0</v>
      </c>
      <c r="I20" s="2"/>
      <c r="J20" s="2"/>
      <c r="Z20" s="2" t="s">
        <v>10</v>
      </c>
    </row>
    <row r="21" customFormat="false" ht="19.7" hidden="false" customHeight="false" outlineLevel="0" collapsed="false">
      <c r="A21" s="449" t="s">
        <v>143</v>
      </c>
      <c r="B21" s="449"/>
      <c r="C21" s="449"/>
      <c r="D21" s="449"/>
      <c r="E21" s="449"/>
      <c r="F21" s="449"/>
      <c r="G21" s="43"/>
      <c r="H21" s="44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45"/>
      <c r="B22" s="45"/>
      <c r="C22" s="45"/>
      <c r="D22" s="45"/>
      <c r="E22" s="45"/>
      <c r="F22" s="45"/>
      <c r="G22" s="45"/>
      <c r="H22" s="45"/>
      <c r="J22" s="2"/>
      <c r="K22" s="2"/>
      <c r="P22" s="46"/>
    </row>
    <row r="23" customFormat="false" ht="17.35" hidden="false" customHeight="false" outlineLevel="0" collapsed="false">
      <c r="A23" s="45"/>
      <c r="B23" s="45"/>
      <c r="C23" s="45"/>
      <c r="D23" s="45"/>
      <c r="E23" s="45"/>
      <c r="F23" s="45"/>
      <c r="G23" s="45"/>
      <c r="H23" s="45"/>
      <c r="J23" s="2"/>
      <c r="K23" s="2"/>
      <c r="P23" s="46"/>
    </row>
    <row r="24" customFormat="false" ht="46.5" hidden="false" customHeight="true" outlineLevel="0" collapsed="false">
      <c r="A24" s="47" t="s">
        <v>21</v>
      </c>
      <c r="B24" s="47"/>
      <c r="C24" s="47"/>
      <c r="D24" s="47"/>
      <c r="E24" s="47"/>
      <c r="F24" s="47"/>
      <c r="G24" s="47"/>
      <c r="H24" s="47"/>
      <c r="I24" s="2"/>
      <c r="J24" s="2"/>
      <c r="K24" s="2"/>
      <c r="P24" s="46"/>
    </row>
    <row r="25" customFormat="false" ht="17.35" hidden="false" customHeight="false" outlineLevel="0" collapsed="false">
      <c r="A25" s="48"/>
      <c r="B25" s="49"/>
      <c r="C25" s="49"/>
      <c r="D25" s="49"/>
      <c r="E25" s="49"/>
      <c r="F25" s="49"/>
      <c r="G25" s="49"/>
      <c r="H25" s="50"/>
      <c r="I25" s="2"/>
      <c r="J25" s="2"/>
      <c r="K25" s="2"/>
      <c r="P25" s="46"/>
    </row>
    <row r="26" customFormat="false" ht="17.9" hidden="false" customHeight="false" outlineLevel="0" collapsed="false">
      <c r="A26" s="51" t="s">
        <v>22</v>
      </c>
      <c r="B26" s="52" t="s">
        <v>10</v>
      </c>
      <c r="C26" s="25"/>
      <c r="D26" s="25"/>
      <c r="E26" s="25"/>
      <c r="F26" s="25"/>
      <c r="G26" s="25"/>
      <c r="H26" s="20"/>
      <c r="I26" s="2"/>
      <c r="J26" s="53" t="s">
        <v>23</v>
      </c>
      <c r="K26" s="54" t="s">
        <v>24</v>
      </c>
      <c r="P26" s="46"/>
    </row>
    <row r="27" customFormat="false" ht="17.9" hidden="false" customHeight="false" outlineLevel="0" collapsed="false">
      <c r="A27" s="55"/>
      <c r="B27" s="25"/>
      <c r="C27" s="25"/>
      <c r="D27" s="25"/>
      <c r="E27" s="25"/>
      <c r="F27" s="25"/>
      <c r="G27" s="25"/>
      <c r="H27" s="20"/>
      <c r="I27" s="2"/>
      <c r="J27" s="56" t="s">
        <v>25</v>
      </c>
      <c r="K27" s="57" t="n">
        <v>1</v>
      </c>
      <c r="P27" s="46"/>
    </row>
    <row r="28" customFormat="false" ht="22.05" hidden="false" customHeight="false" outlineLevel="0" collapsed="false">
      <c r="A28" s="58" t="s">
        <v>26</v>
      </c>
      <c r="B28" s="58"/>
      <c r="C28" s="58"/>
      <c r="D28" s="58"/>
      <c r="E28" s="58"/>
      <c r="F28" s="58"/>
      <c r="G28" s="58"/>
      <c r="H28" s="58"/>
      <c r="I28" s="2"/>
      <c r="J28" s="56" t="s">
        <v>27</v>
      </c>
      <c r="K28" s="57"/>
      <c r="P28" s="46"/>
    </row>
    <row r="29" customFormat="false" ht="17.9" hidden="false" customHeight="false" outlineLevel="0" collapsed="false">
      <c r="A29" s="55"/>
      <c r="B29" s="25"/>
      <c r="C29" s="25"/>
      <c r="D29" s="25"/>
      <c r="E29" s="25"/>
      <c r="F29" s="25"/>
      <c r="G29" s="25"/>
      <c r="H29" s="20" t="n">
        <v>36</v>
      </c>
      <c r="I29" s="25"/>
      <c r="J29" s="53" t="s">
        <v>214</v>
      </c>
      <c r="K29" s="59" t="n">
        <v>35</v>
      </c>
      <c r="P29" s="46"/>
    </row>
    <row r="30" customFormat="false" ht="17.9" hidden="false" customHeight="false" outlineLevel="0" collapsed="false">
      <c r="A30" s="55" t="s">
        <v>29</v>
      </c>
      <c r="B30" s="60" t="s">
        <v>30</v>
      </c>
      <c r="C30" s="60"/>
      <c r="D30" s="60"/>
      <c r="E30" s="25"/>
      <c r="F30" s="25"/>
      <c r="G30" s="25"/>
      <c r="H30" s="20" t="n">
        <v>10000</v>
      </c>
      <c r="I30" s="25"/>
      <c r="J30" s="53" t="s">
        <v>31</v>
      </c>
      <c r="K30" s="61" t="n">
        <v>35000</v>
      </c>
      <c r="P30" s="46"/>
    </row>
    <row r="31" customFormat="false" ht="17.9" hidden="false" customHeight="false" outlineLevel="0" collapsed="false">
      <c r="A31" s="55"/>
      <c r="B31" s="25"/>
      <c r="C31" s="25"/>
      <c r="D31" s="25"/>
      <c r="E31" s="25"/>
      <c r="F31" s="25"/>
      <c r="G31" s="25"/>
      <c r="H31" s="20" t="n">
        <v>27500</v>
      </c>
      <c r="I31" s="25"/>
      <c r="J31" s="53" t="s">
        <v>32</v>
      </c>
      <c r="K31" s="62" t="n">
        <v>5400</v>
      </c>
      <c r="P31" s="46"/>
    </row>
    <row r="32" customFormat="false" ht="34.8" hidden="false" customHeight="false" outlineLevel="0" collapsed="false">
      <c r="A32" s="55" t="s">
        <v>28</v>
      </c>
      <c r="B32" s="25" t="s">
        <v>33</v>
      </c>
      <c r="C32" s="25"/>
      <c r="D32" s="25"/>
      <c r="E32" s="25" t="s">
        <v>34</v>
      </c>
      <c r="F32" s="25"/>
      <c r="G32" s="25"/>
      <c r="H32" s="20"/>
      <c r="I32" s="2" t="n">
        <v>0</v>
      </c>
      <c r="J32" s="53" t="s">
        <v>35</v>
      </c>
      <c r="K32" s="62" t="n">
        <v>0</v>
      </c>
      <c r="P32" s="46"/>
    </row>
    <row r="33" customFormat="false" ht="34.8" hidden="false" customHeight="false" outlineLevel="0" collapsed="false">
      <c r="A33" s="63" t="n">
        <f aca="false">A52</f>
        <v>35</v>
      </c>
      <c r="B33" s="64" t="n">
        <f aca="false">B51</f>
        <v>35000</v>
      </c>
      <c r="C33" s="25"/>
      <c r="D33" s="25"/>
      <c r="E33" s="64" t="n">
        <f aca="false">K48</f>
        <v>1420.33961176863</v>
      </c>
      <c r="F33" s="64"/>
      <c r="G33" s="64"/>
      <c r="H33" s="65"/>
      <c r="I33" s="2"/>
      <c r="J33" s="56" t="s">
        <v>36</v>
      </c>
      <c r="K33" s="66" t="n">
        <f aca="false">H21-H11+(H16*20%)</f>
        <v>48877.5</v>
      </c>
      <c r="L33" s="1" t="n">
        <f aca="false">H21-H11+(H16*20%)</f>
        <v>48877.5</v>
      </c>
      <c r="P33" s="46"/>
    </row>
    <row r="34" customFormat="false" ht="17.35" hidden="false" customHeight="false" outlineLevel="0" collapsed="false">
      <c r="A34" s="55"/>
      <c r="B34" s="25"/>
      <c r="C34" s="25"/>
      <c r="D34" s="25"/>
      <c r="E34" s="67"/>
      <c r="F34" s="67"/>
      <c r="G34" s="67"/>
      <c r="H34" s="65"/>
      <c r="I34" s="2"/>
      <c r="J34" s="2"/>
      <c r="K34" s="2"/>
      <c r="P34" s="46"/>
    </row>
    <row r="35" customFormat="false" ht="21.6" hidden="false" customHeight="false" outlineLevel="0" collapsed="false">
      <c r="A35" s="55" t="s">
        <v>37</v>
      </c>
      <c r="B35" s="25" t="s">
        <v>38</v>
      </c>
      <c r="C35" s="25"/>
      <c r="D35" s="46"/>
      <c r="E35" s="25" t="s">
        <v>39</v>
      </c>
      <c r="F35" s="67"/>
      <c r="G35" s="67"/>
      <c r="H35" s="65"/>
      <c r="I35" s="2"/>
      <c r="J35" s="68" t="s">
        <v>40</v>
      </c>
      <c r="K35" s="0" t="n">
        <v>0.065</v>
      </c>
      <c r="P35" s="46"/>
    </row>
    <row r="36" customFormat="false" ht="17.35" hidden="false" customHeight="false" outlineLevel="0" collapsed="false">
      <c r="A36" s="69" t="n">
        <f aca="false">K47</f>
        <v>1420.33961176863</v>
      </c>
      <c r="B36" s="64" t="str">
        <f aca="false">IF(B26="YES", K42, "0.00")</f>
        <v>0.00</v>
      </c>
      <c r="C36" s="64"/>
      <c r="D36" s="64"/>
      <c r="E36" s="64" t="n">
        <f aca="false">K31</f>
        <v>5400</v>
      </c>
      <c r="F36" s="64"/>
      <c r="G36" s="64"/>
      <c r="H36" s="65"/>
      <c r="I36" s="2"/>
      <c r="J36" s="2" t="s">
        <v>41</v>
      </c>
      <c r="K36" s="2" t="n">
        <f aca="false">K29</f>
        <v>35</v>
      </c>
      <c r="P36" s="46"/>
    </row>
    <row r="37" customFormat="false" ht="17.35" hidden="false" customHeight="false" outlineLevel="0" collapsed="false">
      <c r="A37" s="70"/>
      <c r="B37" s="37"/>
      <c r="C37" s="67"/>
      <c r="D37" s="67"/>
      <c r="E37" s="67"/>
      <c r="F37" s="67"/>
      <c r="G37" s="67"/>
      <c r="H37" s="65"/>
      <c r="I37" s="2"/>
      <c r="J37" s="2"/>
      <c r="K37" s="2"/>
      <c r="P37" s="46"/>
    </row>
    <row r="38" customFormat="false" ht="17.35" hidden="false" customHeight="false" outlineLevel="0" collapsed="false">
      <c r="A38" s="55"/>
      <c r="B38" s="25"/>
      <c r="C38" s="67"/>
      <c r="D38" s="67"/>
      <c r="E38" s="67"/>
      <c r="F38" s="67"/>
      <c r="G38" s="67"/>
      <c r="H38" s="65"/>
      <c r="J38" s="71" t="s">
        <v>42</v>
      </c>
      <c r="K38" s="71"/>
      <c r="L38" s="2" t="n">
        <v>42030.76</v>
      </c>
      <c r="N38" s="1" t="n">
        <f aca="false">80.88*36</f>
        <v>2911.68</v>
      </c>
      <c r="P38" s="46"/>
    </row>
    <row r="39" customFormat="false" ht="17.35" hidden="false" customHeight="false" outlineLevel="0" collapsed="false">
      <c r="A39" s="55" t="s">
        <v>43</v>
      </c>
      <c r="B39" s="25" t="s">
        <v>44</v>
      </c>
      <c r="C39" s="25"/>
      <c r="D39" s="46"/>
      <c r="E39" s="25" t="s">
        <v>45</v>
      </c>
      <c r="F39" s="67"/>
      <c r="G39" s="67"/>
      <c r="H39" s="65"/>
      <c r="J39" s="2" t="s">
        <v>46</v>
      </c>
      <c r="K39" s="2" t="n">
        <f aca="false">K33</f>
        <v>48877.5</v>
      </c>
      <c r="L39" s="2" t="n">
        <f aca="false">(L47*K46)+K44</f>
        <v>29148.0818340459</v>
      </c>
      <c r="N39" s="1" t="n">
        <f aca="false">K39-L39</f>
        <v>19729.4181659541</v>
      </c>
      <c r="P39" s="46"/>
    </row>
    <row r="40" customFormat="false" ht="17.35" hidden="false" customHeight="false" outlineLevel="0" collapsed="false">
      <c r="A40" s="288" t="n">
        <f aca="false">E36*A45/100</f>
        <v>5400</v>
      </c>
      <c r="B40" s="72" t="str">
        <f aca="false">IF(B26="YES", K42, "0.00")</f>
        <v>0.00</v>
      </c>
      <c r="C40" s="72"/>
      <c r="D40" s="72"/>
      <c r="E40" s="73" t="n">
        <f aca="false">K32</f>
        <v>0</v>
      </c>
      <c r="F40" s="67"/>
      <c r="G40" s="67"/>
      <c r="H40" s="65"/>
      <c r="J40" s="2" t="s">
        <v>47</v>
      </c>
      <c r="K40" s="2" t="n">
        <f aca="false">(A40)/1.2</f>
        <v>4500</v>
      </c>
      <c r="L40" s="2" t="n">
        <f aca="false">K39-L39</f>
        <v>19729.4181659541</v>
      </c>
      <c r="N40" s="1" t="n">
        <f aca="false">N38-N39</f>
        <v>-16817.7381659541</v>
      </c>
      <c r="P40" s="46"/>
    </row>
    <row r="41" customFormat="false" ht="17.35" hidden="false" customHeight="false" outlineLevel="0" collapsed="false">
      <c r="A41" s="55"/>
      <c r="B41" s="25"/>
      <c r="C41" s="25"/>
      <c r="D41" s="25"/>
      <c r="E41" s="25"/>
      <c r="F41" s="67"/>
      <c r="G41" s="67"/>
      <c r="H41" s="65"/>
      <c r="J41" s="2" t="s">
        <v>48</v>
      </c>
      <c r="K41" s="2" t="n">
        <f aca="false">K35/12</f>
        <v>0.00541666666666667</v>
      </c>
      <c r="L41" s="2"/>
      <c r="P41" s="46"/>
    </row>
    <row r="42" customFormat="false" ht="17.35" hidden="false" customHeight="false" outlineLevel="0" collapsed="false">
      <c r="A42" s="74"/>
      <c r="B42" s="75"/>
      <c r="C42" s="75"/>
      <c r="D42" s="75"/>
      <c r="E42" s="75"/>
      <c r="F42" s="75"/>
      <c r="G42" s="76"/>
      <c r="H42" s="77"/>
      <c r="J42" s="2" t="s">
        <v>49</v>
      </c>
      <c r="K42" s="2" t="n">
        <f aca="false">(K32/K36/100)*C45</f>
        <v>0</v>
      </c>
      <c r="L42" s="2"/>
      <c r="P42" s="46"/>
    </row>
    <row r="43" customFormat="false" ht="17.35" hidden="false" customHeight="false" outlineLevel="0" collapsed="false">
      <c r="A43" s="48"/>
      <c r="B43" s="49"/>
      <c r="C43" s="49"/>
      <c r="D43" s="49"/>
      <c r="E43" s="49"/>
      <c r="F43" s="49"/>
      <c r="G43" s="49"/>
      <c r="H43" s="50"/>
      <c r="J43" s="2" t="s">
        <v>50</v>
      </c>
      <c r="K43" s="2"/>
      <c r="L43" s="2"/>
      <c r="P43" s="46"/>
    </row>
    <row r="44" customFormat="false" ht="17.35" hidden="false" customHeight="false" outlineLevel="0" collapsed="false">
      <c r="A44" s="78" t="s">
        <v>51</v>
      </c>
      <c r="B44" s="25"/>
      <c r="C44" s="79" t="s">
        <v>52</v>
      </c>
      <c r="D44" s="79"/>
      <c r="E44" s="25"/>
      <c r="F44" s="25"/>
      <c r="G44" s="25"/>
      <c r="H44" s="20"/>
      <c r="J44" s="2" t="s">
        <v>53</v>
      </c>
      <c r="K44" s="2" t="n">
        <f aca="false">(K40/(1+K41)^(K36+1))</f>
        <v>3704.70495897661</v>
      </c>
      <c r="L44" s="2"/>
      <c r="P44" s="46"/>
    </row>
    <row r="45" customFormat="false" ht="17.35" hidden="false" customHeight="false" outlineLevel="0" collapsed="false">
      <c r="A45" s="500" t="n">
        <v>100</v>
      </c>
      <c r="B45" s="25"/>
      <c r="C45" s="499" t="n">
        <v>100</v>
      </c>
      <c r="D45" s="499"/>
      <c r="E45" s="499"/>
      <c r="F45" s="25"/>
      <c r="G45" s="25"/>
      <c r="H45" s="20"/>
      <c r="J45" s="2" t="s">
        <v>54</v>
      </c>
      <c r="K45" s="2" t="n">
        <f aca="false">(K39-K44)</f>
        <v>45172.7950410234</v>
      </c>
      <c r="L45" s="2"/>
      <c r="P45" s="46"/>
    </row>
    <row r="46" customFormat="false" ht="17.35" hidden="false" customHeight="false" outlineLevel="0" collapsed="false">
      <c r="A46" s="74"/>
      <c r="B46" s="75"/>
      <c r="C46" s="75"/>
      <c r="D46" s="75"/>
      <c r="E46" s="75"/>
      <c r="F46" s="75"/>
      <c r="G46" s="75"/>
      <c r="H46" s="82"/>
      <c r="J46" s="2" t="s">
        <v>55</v>
      </c>
      <c r="K46" s="2" t="n">
        <f aca="false">((1-(1/((1+K41)^K36)))/K41)</f>
        <v>31.8042210938366</v>
      </c>
      <c r="L46" s="2"/>
      <c r="P46" s="46"/>
    </row>
    <row r="47" customFormat="false" ht="17.35" hidden="false" customHeight="false" outlineLevel="0" collapsed="false">
      <c r="A47" s="48"/>
      <c r="B47" s="49"/>
      <c r="C47" s="49"/>
      <c r="D47" s="49"/>
      <c r="E47" s="49"/>
      <c r="F47" s="49"/>
      <c r="G47" s="49"/>
      <c r="H47" s="50"/>
      <c r="J47" s="2" t="s">
        <v>56</v>
      </c>
      <c r="K47" s="2" t="n">
        <f aca="false">K45/K46</f>
        <v>1420.33961176863</v>
      </c>
      <c r="L47" s="2" t="n">
        <f aca="false">L49-K42</f>
        <v>800</v>
      </c>
      <c r="M47" s="1" t="n">
        <f aca="false">K47-L47</f>
        <v>620.339611768627</v>
      </c>
      <c r="P47" s="46"/>
    </row>
    <row r="48" customFormat="false" ht="31.8" hidden="false" customHeight="false" outlineLevel="0" collapsed="false">
      <c r="A48" s="83" t="s">
        <v>57</v>
      </c>
      <c r="B48" s="25"/>
      <c r="C48" s="25"/>
      <c r="D48" s="84"/>
      <c r="E48" s="84"/>
      <c r="F48" s="84"/>
      <c r="G48" s="84"/>
      <c r="H48" s="85"/>
      <c r="J48" s="86" t="s">
        <v>58</v>
      </c>
      <c r="K48" s="2" t="n">
        <f aca="false">IF(B26="YES", K47+K42, K47)</f>
        <v>1420.33961176863</v>
      </c>
      <c r="L48" s="2"/>
      <c r="P48" s="46"/>
    </row>
    <row r="49" customFormat="false" ht="17.35" hidden="false" customHeight="false" outlineLevel="0" collapsed="false">
      <c r="A49" s="55"/>
      <c r="B49" s="87"/>
      <c r="C49" s="87"/>
      <c r="D49" s="25"/>
      <c r="E49" s="25"/>
      <c r="F49" s="25"/>
      <c r="G49" s="25"/>
      <c r="H49" s="20"/>
      <c r="J49" s="2" t="s">
        <v>59</v>
      </c>
      <c r="K49" s="2"/>
      <c r="L49" s="2" t="n">
        <v>800</v>
      </c>
      <c r="P49" s="46"/>
    </row>
    <row r="50" customFormat="false" ht="19.7" hidden="false" customHeight="false" outlineLevel="0" collapsed="false">
      <c r="A50" s="88" t="s">
        <v>28</v>
      </c>
      <c r="B50" s="89" t="s">
        <v>33</v>
      </c>
      <c r="C50" s="89"/>
      <c r="D50" s="89"/>
      <c r="E50" s="25"/>
      <c r="F50" s="25"/>
      <c r="G50" s="25"/>
      <c r="H50" s="20"/>
      <c r="I50" s="2"/>
      <c r="J50" s="2"/>
      <c r="K50" s="2"/>
      <c r="P50" s="46"/>
    </row>
    <row r="51" customFormat="false" ht="19.5" hidden="false" customHeight="true" outlineLevel="0" collapsed="false">
      <c r="A51" s="88"/>
      <c r="B51" s="90" t="n">
        <f aca="false">K30</f>
        <v>35000</v>
      </c>
      <c r="C51" s="90"/>
      <c r="D51" s="90"/>
      <c r="E51" s="25"/>
      <c r="F51" s="25"/>
      <c r="G51" s="25"/>
      <c r="H51" s="20"/>
      <c r="I51" s="2"/>
      <c r="J51" s="2"/>
      <c r="K51" s="2"/>
      <c r="P51" s="46"/>
    </row>
    <row r="52" customFormat="false" ht="17.35" hidden="false" customHeight="false" outlineLevel="0" collapsed="false">
      <c r="A52" s="91" t="n">
        <f aca="false">K29</f>
        <v>35</v>
      </c>
      <c r="B52" s="92" t="n">
        <f aca="false">K48</f>
        <v>1420.33961176863</v>
      </c>
      <c r="C52" s="92"/>
      <c r="D52" s="92"/>
      <c r="E52" s="25"/>
      <c r="F52" s="25"/>
      <c r="G52" s="25"/>
      <c r="H52" s="20"/>
      <c r="I52" s="2"/>
      <c r="J52" s="2"/>
      <c r="K52" s="2"/>
      <c r="P52" s="46"/>
    </row>
    <row r="53" customFormat="false" ht="17.35" hidden="false" customHeight="false" outlineLevel="0" collapsed="false">
      <c r="A53" s="55"/>
      <c r="B53" s="25"/>
      <c r="C53" s="25"/>
      <c r="D53" s="25"/>
      <c r="E53" s="25"/>
      <c r="F53" s="25"/>
      <c r="G53" s="25"/>
      <c r="H53" s="20"/>
      <c r="I53" s="2"/>
      <c r="J53" s="2"/>
      <c r="K53" s="2"/>
      <c r="P53" s="46"/>
    </row>
    <row r="54" customFormat="false" ht="17.35" hidden="false" customHeight="false" outlineLevel="0" collapsed="false">
      <c r="A54" s="74"/>
      <c r="B54" s="75"/>
      <c r="C54" s="75"/>
      <c r="D54" s="75"/>
      <c r="E54" s="75"/>
      <c r="F54" s="75"/>
      <c r="G54" s="75"/>
      <c r="H54" s="82"/>
      <c r="I54" s="2"/>
      <c r="J54" s="2"/>
      <c r="K54" s="2"/>
      <c r="P54" s="46"/>
    </row>
    <row r="55" customFormat="false" ht="17.35" hidden="false" customHeight="false" outlineLevel="0" collapsed="false">
      <c r="A55" s="45"/>
      <c r="B55" s="45"/>
      <c r="C55" s="45"/>
      <c r="D55" s="45"/>
      <c r="E55" s="45"/>
      <c r="F55" s="45"/>
      <c r="G55" s="45"/>
      <c r="H55" s="45"/>
      <c r="J55" s="2"/>
      <c r="K55" s="2"/>
      <c r="P55" s="46"/>
    </row>
    <row r="56" customFormat="false" ht="17.35" hidden="false" customHeight="false" outlineLevel="0" collapsed="false">
      <c r="A56" s="45"/>
      <c r="B56" s="45"/>
      <c r="C56" s="45"/>
      <c r="D56" s="45"/>
      <c r="E56" s="45"/>
      <c r="F56" s="45"/>
      <c r="G56" s="45"/>
      <c r="H56" s="45"/>
      <c r="J56" s="2"/>
      <c r="K56" s="2"/>
      <c r="P56" s="46"/>
    </row>
    <row r="57" customFormat="false" ht="17.35" hidden="false" customHeight="false" outlineLevel="0" collapsed="false">
      <c r="A57" s="48"/>
      <c r="B57" s="49"/>
      <c r="C57" s="49"/>
      <c r="D57" s="49"/>
      <c r="E57" s="93"/>
      <c r="F57" s="93"/>
      <c r="G57" s="93"/>
      <c r="H57" s="50"/>
      <c r="J57" s="48"/>
      <c r="K57" s="49"/>
      <c r="L57" s="49"/>
      <c r="M57" s="49"/>
      <c r="N57" s="93"/>
      <c r="O57" s="93"/>
      <c r="P57" s="93"/>
      <c r="Q57" s="50"/>
      <c r="S57" s="48"/>
      <c r="T57" s="49"/>
      <c r="U57" s="49"/>
      <c r="V57" s="49"/>
      <c r="W57" s="93"/>
      <c r="X57" s="93"/>
      <c r="Y57" s="93"/>
      <c r="Z57" s="50"/>
      <c r="AB57" s="48"/>
      <c r="AC57" s="49"/>
      <c r="AD57" s="49"/>
      <c r="AE57" s="49"/>
      <c r="AF57" s="93"/>
      <c r="AG57" s="93"/>
      <c r="AH57" s="93"/>
      <c r="AI57" s="50"/>
    </row>
    <row r="58" customFormat="false" ht="17.35" hidden="false" customHeight="false" outlineLevel="0" collapsed="false">
      <c r="A58" s="55" t="s">
        <v>46</v>
      </c>
      <c r="B58" s="25" t="n">
        <v>1</v>
      </c>
      <c r="C58" s="25"/>
      <c r="D58" s="25"/>
      <c r="E58" s="94"/>
      <c r="F58" s="94"/>
      <c r="G58" s="94"/>
      <c r="H58" s="20"/>
      <c r="J58" s="55" t="s">
        <v>46</v>
      </c>
      <c r="K58" s="25" t="n">
        <v>1</v>
      </c>
      <c r="L58" s="25"/>
      <c r="M58" s="25"/>
      <c r="N58" s="94"/>
      <c r="O58" s="94"/>
      <c r="P58" s="94"/>
      <c r="Q58" s="20"/>
      <c r="S58" s="55" t="s">
        <v>46</v>
      </c>
      <c r="T58" s="25" t="n">
        <v>1</v>
      </c>
      <c r="U58" s="25"/>
      <c r="V58" s="25"/>
      <c r="W58" s="94"/>
      <c r="X58" s="94"/>
      <c r="Y58" s="94"/>
      <c r="Z58" s="20"/>
      <c r="AB58" s="55" t="s">
        <v>46</v>
      </c>
      <c r="AC58" s="25" t="n">
        <v>1</v>
      </c>
      <c r="AD58" s="25"/>
      <c r="AE58" s="25"/>
      <c r="AF58" s="94"/>
      <c r="AG58" s="94"/>
      <c r="AH58" s="94"/>
      <c r="AI58" s="20"/>
    </row>
    <row r="59" customFormat="false" ht="17.35" hidden="false" customHeight="false" outlineLevel="0" collapsed="false">
      <c r="A59" s="55" t="s">
        <v>60</v>
      </c>
      <c r="B59" s="25" t="n">
        <f aca="false">K29-B58</f>
        <v>34</v>
      </c>
      <c r="C59" s="25"/>
      <c r="D59" s="25"/>
      <c r="E59" s="94"/>
      <c r="F59" s="94"/>
      <c r="G59" s="94"/>
      <c r="H59" s="20"/>
      <c r="J59" s="55" t="s">
        <v>60</v>
      </c>
      <c r="K59" s="25" t="n">
        <f aca="false">K29-K58</f>
        <v>34</v>
      </c>
      <c r="L59" s="25"/>
      <c r="M59" s="25"/>
      <c r="N59" s="94"/>
      <c r="O59" s="94"/>
      <c r="P59" s="94"/>
      <c r="Q59" s="20"/>
      <c r="S59" s="55" t="s">
        <v>60</v>
      </c>
      <c r="T59" s="25" t="n">
        <f aca="false">K29-T58</f>
        <v>34</v>
      </c>
      <c r="U59" s="25"/>
      <c r="V59" s="25"/>
      <c r="W59" s="94"/>
      <c r="X59" s="94"/>
      <c r="Y59" s="94"/>
      <c r="Z59" s="20"/>
      <c r="AB59" s="55" t="s">
        <v>60</v>
      </c>
      <c r="AC59" s="25" t="n">
        <f aca="false">K29-AC58</f>
        <v>34</v>
      </c>
      <c r="AD59" s="25"/>
      <c r="AE59" s="25"/>
      <c r="AF59" s="94"/>
      <c r="AG59" s="94"/>
      <c r="AH59" s="94"/>
      <c r="AI59" s="20"/>
    </row>
    <row r="60" customFormat="false" ht="17.35" hidden="false" customHeight="false" outlineLevel="0" collapsed="false">
      <c r="A60" s="95" t="s">
        <v>61</v>
      </c>
      <c r="B60" s="96" t="n">
        <v>10</v>
      </c>
      <c r="C60" s="25"/>
      <c r="D60" s="25"/>
      <c r="E60" s="94"/>
      <c r="F60" s="94"/>
      <c r="G60" s="94"/>
      <c r="H60" s="20"/>
      <c r="J60" s="95" t="s">
        <v>61</v>
      </c>
      <c r="K60" s="96" t="n">
        <v>20</v>
      </c>
      <c r="L60" s="25"/>
      <c r="M60" s="25"/>
      <c r="N60" s="94"/>
      <c r="O60" s="94"/>
      <c r="P60" s="94"/>
      <c r="Q60" s="20"/>
      <c r="S60" s="95" t="s">
        <v>61</v>
      </c>
      <c r="T60" s="96" t="n">
        <v>10</v>
      </c>
      <c r="U60" s="25"/>
      <c r="V60" s="25"/>
      <c r="W60" s="94"/>
      <c r="X60" s="94"/>
      <c r="Y60" s="94"/>
      <c r="Z60" s="20"/>
      <c r="AB60" s="95" t="s">
        <v>61</v>
      </c>
      <c r="AC60" s="96" t="n">
        <v>10</v>
      </c>
      <c r="AD60" s="25"/>
      <c r="AE60" s="25"/>
      <c r="AF60" s="94"/>
      <c r="AG60" s="94"/>
      <c r="AH60" s="94"/>
      <c r="AI60" s="20"/>
    </row>
    <row r="61" customFormat="false" ht="17.35" hidden="false" customHeight="false" outlineLevel="0" collapsed="false">
      <c r="A61" s="55" t="s">
        <v>16</v>
      </c>
      <c r="B61" s="25" t="n">
        <f aca="false">J18</f>
        <v>57885</v>
      </c>
      <c r="C61" s="25"/>
      <c r="D61" s="25"/>
      <c r="E61" s="94"/>
      <c r="F61" s="94"/>
      <c r="G61" s="94"/>
      <c r="H61" s="20"/>
      <c r="J61" s="55" t="s">
        <v>16</v>
      </c>
      <c r="K61" s="25" t="n">
        <f aca="false">J18</f>
        <v>57885</v>
      </c>
      <c r="L61" s="25"/>
      <c r="M61" s="25"/>
      <c r="N61" s="94"/>
      <c r="O61" s="94"/>
      <c r="P61" s="94"/>
      <c r="Q61" s="20"/>
      <c r="S61" s="55" t="s">
        <v>16</v>
      </c>
      <c r="T61" s="25" t="n">
        <f aca="false">J18</f>
        <v>57885</v>
      </c>
      <c r="U61" s="25"/>
      <c r="V61" s="25"/>
      <c r="W61" s="94"/>
      <c r="X61" s="94"/>
      <c r="Y61" s="94"/>
      <c r="Z61" s="20"/>
      <c r="AB61" s="55" t="s">
        <v>16</v>
      </c>
      <c r="AC61" s="25" t="n">
        <f aca="false">J18</f>
        <v>57885</v>
      </c>
      <c r="AD61" s="25"/>
      <c r="AE61" s="25"/>
      <c r="AF61" s="94"/>
      <c r="AG61" s="94"/>
      <c r="AH61" s="94"/>
      <c r="AI61" s="20"/>
    </row>
    <row r="62" customFormat="false" ht="17.35" hidden="false" customHeight="false" outlineLevel="0" collapsed="false">
      <c r="A62" s="97" t="s">
        <v>62</v>
      </c>
      <c r="B62" s="98" t="n">
        <v>0</v>
      </c>
      <c r="C62" s="25"/>
      <c r="D62" s="25"/>
      <c r="E62" s="94"/>
      <c r="F62" s="94"/>
      <c r="G62" s="94"/>
      <c r="H62" s="20"/>
      <c r="J62" s="97" t="s">
        <v>62</v>
      </c>
      <c r="K62" s="98" t="n">
        <v>0.06</v>
      </c>
      <c r="L62" s="25"/>
      <c r="M62" s="25"/>
      <c r="N62" s="94"/>
      <c r="O62" s="94"/>
      <c r="P62" s="94"/>
      <c r="Q62" s="20"/>
      <c r="S62" s="97" t="s">
        <v>62</v>
      </c>
      <c r="T62" s="98" t="n">
        <f aca="false">IF(AND(K29&gt;= 12, K29&lt;=24), 0.0105, IF(AND(K29&gt;=48), -0.0075, 0))</f>
        <v>0</v>
      </c>
      <c r="U62" s="25"/>
      <c r="V62" s="25"/>
      <c r="W62" s="94"/>
      <c r="X62" s="94"/>
      <c r="Y62" s="94"/>
      <c r="Z62" s="20"/>
      <c r="AB62" s="97" t="s">
        <v>62</v>
      </c>
      <c r="AC62" s="98" t="n">
        <f aca="false">IF(AND(K29&gt;= 12, K29&lt;=24), 0.0105, IF(AND(K29&gt;=48), -0.0075, 0))</f>
        <v>0</v>
      </c>
      <c r="AD62" s="25"/>
      <c r="AE62" s="25"/>
      <c r="AF62" s="94"/>
      <c r="AG62" s="94"/>
      <c r="AH62" s="94"/>
      <c r="AI62" s="20"/>
    </row>
    <row r="63" customFormat="false" ht="17.35" hidden="false" customHeight="false" outlineLevel="0" collapsed="false">
      <c r="A63" s="99" t="s">
        <v>63</v>
      </c>
      <c r="B63" s="100" t="n">
        <v>0.065</v>
      </c>
      <c r="C63" s="25"/>
      <c r="D63" s="25"/>
      <c r="E63" s="94"/>
      <c r="F63" s="94"/>
      <c r="G63" s="94"/>
      <c r="H63" s="20"/>
      <c r="J63" s="99" t="s">
        <v>63</v>
      </c>
      <c r="K63" s="100" t="n">
        <v>0.08</v>
      </c>
      <c r="L63" s="25"/>
      <c r="M63" s="25"/>
      <c r="N63" s="94"/>
      <c r="O63" s="94"/>
      <c r="P63" s="94"/>
      <c r="Q63" s="20"/>
      <c r="S63" s="99" t="s">
        <v>63</v>
      </c>
      <c r="T63" s="100" t="n">
        <v>0.059</v>
      </c>
      <c r="U63" s="25"/>
      <c r="V63" s="25"/>
      <c r="W63" s="94"/>
      <c r="X63" s="94"/>
      <c r="Y63" s="94"/>
      <c r="Z63" s="20"/>
      <c r="AB63" s="99" t="s">
        <v>63</v>
      </c>
      <c r="AC63" s="100" t="n">
        <v>0.059</v>
      </c>
      <c r="AD63" s="25"/>
      <c r="AE63" s="25"/>
      <c r="AF63" s="94"/>
      <c r="AG63" s="94"/>
      <c r="AH63" s="94"/>
      <c r="AI63" s="20"/>
    </row>
    <row r="64" customFormat="false" ht="17.35" hidden="false" customHeight="false" outlineLevel="0" collapsed="false">
      <c r="A64" s="101" t="s">
        <v>64</v>
      </c>
      <c r="B64" s="102" t="n">
        <v>0.05</v>
      </c>
      <c r="C64" s="25"/>
      <c r="D64" s="25"/>
      <c r="E64" s="94"/>
      <c r="F64" s="94"/>
      <c r="G64" s="94"/>
      <c r="H64" s="20"/>
      <c r="J64" s="101" t="s">
        <v>64</v>
      </c>
      <c r="K64" s="102" t="n">
        <v>0.1</v>
      </c>
      <c r="L64" s="25"/>
      <c r="M64" s="25"/>
      <c r="N64" s="94"/>
      <c r="O64" s="94"/>
      <c r="P64" s="94"/>
      <c r="Q64" s="20"/>
      <c r="S64" s="101" t="s">
        <v>64</v>
      </c>
      <c r="T64" s="102" t="n">
        <f aca="false">IF(T108=AP108, 2.4%, 7.2%)</f>
        <v>0.072</v>
      </c>
      <c r="U64" s="25"/>
      <c r="V64" s="25"/>
      <c r="W64" s="94"/>
      <c r="X64" s="94"/>
      <c r="Y64" s="94"/>
      <c r="Z64" s="20"/>
      <c r="AB64" s="101" t="s">
        <v>64</v>
      </c>
      <c r="AC64" s="102" t="n">
        <f aca="false">IF(AC108=AP108, 2.4%, 7.2%)</f>
        <v>0.072</v>
      </c>
      <c r="AD64" s="25"/>
      <c r="AE64" s="25"/>
      <c r="AF64" s="94"/>
      <c r="AG64" s="94"/>
      <c r="AH64" s="94"/>
      <c r="AI64" s="20"/>
    </row>
    <row r="65" customFormat="false" ht="17.35" hidden="false" customHeight="false" outlineLevel="0" collapsed="false">
      <c r="A65" s="74" t="s">
        <v>65</v>
      </c>
      <c r="B65" s="82" t="n">
        <f aca="false">(B89*B59)-(K47*K29)</f>
        <v>25421.8734536788</v>
      </c>
      <c r="C65" s="25"/>
      <c r="D65" s="25"/>
      <c r="E65" s="94"/>
      <c r="F65" s="94"/>
      <c r="G65" s="94"/>
      <c r="H65" s="20"/>
      <c r="J65" s="74" t="s">
        <v>65</v>
      </c>
      <c r="K65" s="82" t="n">
        <f aca="false">(K89*K59)-(K47*K29)</f>
        <v>1501.7419487397</v>
      </c>
      <c r="L65" s="25"/>
      <c r="M65" s="25"/>
      <c r="N65" s="94"/>
      <c r="O65" s="94"/>
      <c r="P65" s="94"/>
      <c r="Q65" s="20"/>
      <c r="S65" s="74" t="s">
        <v>65</v>
      </c>
      <c r="T65" s="82" t="n">
        <f aca="false">(T89*T59)-(K47*K29)</f>
        <v>17253.0767519285</v>
      </c>
      <c r="U65" s="25"/>
      <c r="V65" s="25"/>
      <c r="W65" s="94"/>
      <c r="X65" s="94"/>
      <c r="Y65" s="94"/>
      <c r="Z65" s="20"/>
      <c r="AB65" s="74" t="s">
        <v>65</v>
      </c>
      <c r="AC65" s="82" t="n">
        <f aca="false">(AC89*AC59)-(K47*K29)</f>
        <v>520.51727469029</v>
      </c>
      <c r="AD65" s="25"/>
      <c r="AE65" s="25"/>
      <c r="AF65" s="94"/>
      <c r="AG65" s="94"/>
      <c r="AH65" s="94"/>
      <c r="AI65" s="20"/>
    </row>
    <row r="66" customFormat="false" ht="17.35" hidden="false" customHeight="false" outlineLevel="0" collapsed="false">
      <c r="A66" s="97" t="s">
        <v>66</v>
      </c>
      <c r="B66" s="98" t="n">
        <v>0.005</v>
      </c>
      <c r="C66" s="25"/>
      <c r="D66" s="25"/>
      <c r="E66" s="94"/>
      <c r="F66" s="94"/>
      <c r="G66" s="94"/>
      <c r="H66" s="20"/>
      <c r="J66" s="97" t="s">
        <v>66</v>
      </c>
      <c r="K66" s="98" t="n">
        <v>0.05</v>
      </c>
      <c r="L66" s="25"/>
      <c r="M66" s="25"/>
      <c r="N66" s="94"/>
      <c r="O66" s="94"/>
      <c r="P66" s="94"/>
      <c r="Q66" s="20"/>
      <c r="S66" s="97" t="s">
        <v>66</v>
      </c>
      <c r="T66" s="98" t="n">
        <v>0.005</v>
      </c>
      <c r="U66" s="25"/>
      <c r="V66" s="25"/>
      <c r="W66" s="94"/>
      <c r="X66" s="94"/>
      <c r="Y66" s="94"/>
      <c r="Z66" s="20"/>
      <c r="AB66" s="97" t="s">
        <v>66</v>
      </c>
      <c r="AC66" s="98" t="n">
        <v>0.005</v>
      </c>
      <c r="AD66" s="25"/>
      <c r="AE66" s="25"/>
      <c r="AF66" s="94"/>
      <c r="AG66" s="94"/>
      <c r="AH66" s="94"/>
      <c r="AI66" s="20"/>
    </row>
    <row r="67" customFormat="false" ht="17.35" hidden="false" customHeight="false" outlineLevel="0" collapsed="false">
      <c r="A67" s="55" t="s">
        <v>67</v>
      </c>
      <c r="B67" s="103" t="n">
        <f aca="false">B66+(B66*0.5*(K29/12-1))</f>
        <v>0.00979166666666667</v>
      </c>
      <c r="C67" s="25"/>
      <c r="D67" s="25"/>
      <c r="E67" s="94"/>
      <c r="F67" s="94"/>
      <c r="G67" s="94"/>
      <c r="H67" s="20"/>
      <c r="J67" s="55" t="s">
        <v>67</v>
      </c>
      <c r="K67" s="103" t="n">
        <f aca="false">K66+(K66*0.25*(K29/12-1))</f>
        <v>0.0739583333333333</v>
      </c>
      <c r="L67" s="25"/>
      <c r="M67" s="25"/>
      <c r="N67" s="94"/>
      <c r="O67" s="94"/>
      <c r="P67" s="94"/>
      <c r="Q67" s="20"/>
      <c r="S67" s="55" t="s">
        <v>67</v>
      </c>
      <c r="T67" s="103" t="n">
        <f aca="false">T66+(T66*0.5*(K29/12-1))</f>
        <v>0.00979166666666667</v>
      </c>
      <c r="U67" s="25"/>
      <c r="V67" s="25"/>
      <c r="W67" s="94"/>
      <c r="X67" s="94"/>
      <c r="Y67" s="94"/>
      <c r="Z67" s="20"/>
      <c r="AB67" s="55" t="s">
        <v>67</v>
      </c>
      <c r="AC67" s="103" t="n">
        <f aca="false">AC66+(AC66*0.5*(K29/12-1))</f>
        <v>0.00979166666666667</v>
      </c>
      <c r="AD67" s="25"/>
      <c r="AE67" s="25"/>
      <c r="AF67" s="94"/>
      <c r="AG67" s="94"/>
      <c r="AH67" s="94"/>
      <c r="AI67" s="20"/>
    </row>
    <row r="68" customFormat="false" ht="17.35" hidden="false" customHeight="false" outlineLevel="0" collapsed="false">
      <c r="A68" s="74" t="s">
        <v>68</v>
      </c>
      <c r="B68" s="82" t="n">
        <f aca="false">(G158*B67)/1.2</f>
        <v>552.65801875</v>
      </c>
      <c r="C68" s="25"/>
      <c r="D68" s="25"/>
      <c r="E68" s="94"/>
      <c r="F68" s="94"/>
      <c r="G68" s="94"/>
      <c r="H68" s="20"/>
      <c r="J68" s="74" t="s">
        <v>68</v>
      </c>
      <c r="K68" s="82" t="n">
        <f aca="false">K61*K67</f>
        <v>4281.078125</v>
      </c>
      <c r="L68" s="25"/>
      <c r="M68" s="25"/>
      <c r="N68" s="94"/>
      <c r="O68" s="94"/>
      <c r="P68" s="94"/>
      <c r="Q68" s="20"/>
      <c r="S68" s="74" t="s">
        <v>68</v>
      </c>
      <c r="T68" s="82" t="n">
        <f aca="false">T61*T67</f>
        <v>566.790625</v>
      </c>
      <c r="U68" s="25"/>
      <c r="V68" s="25"/>
      <c r="W68" s="94"/>
      <c r="X68" s="94"/>
      <c r="Y68" s="94"/>
      <c r="Z68" s="20"/>
      <c r="AB68" s="74" t="s">
        <v>68</v>
      </c>
      <c r="AC68" s="82" t="n">
        <f aca="false">AH158*AC67</f>
        <v>445.214833958333</v>
      </c>
      <c r="AD68" s="25"/>
      <c r="AE68" s="25"/>
      <c r="AF68" s="94"/>
      <c r="AG68" s="94"/>
      <c r="AH68" s="94"/>
      <c r="AI68" s="20"/>
    </row>
    <row r="69" customFormat="false" ht="17.35" hidden="false" customHeight="false" outlineLevel="0" collapsed="false">
      <c r="A69" s="97" t="s">
        <v>69</v>
      </c>
      <c r="B69" s="98" t="n">
        <v>0</v>
      </c>
      <c r="C69" s="25"/>
      <c r="D69" s="25"/>
      <c r="E69" s="94"/>
      <c r="F69" s="94"/>
      <c r="G69" s="94"/>
      <c r="H69" s="20"/>
      <c r="J69" s="97" t="s">
        <v>69</v>
      </c>
      <c r="K69" s="98" t="n">
        <v>0</v>
      </c>
      <c r="L69" s="25"/>
      <c r="M69" s="25"/>
      <c r="N69" s="94"/>
      <c r="O69" s="94"/>
      <c r="P69" s="94"/>
      <c r="Q69" s="20"/>
      <c r="S69" s="97" t="s">
        <v>69</v>
      </c>
      <c r="T69" s="98" t="n">
        <v>0</v>
      </c>
      <c r="U69" s="25"/>
      <c r="V69" s="25"/>
      <c r="W69" s="94"/>
      <c r="X69" s="94"/>
      <c r="Y69" s="94"/>
      <c r="Z69" s="20"/>
      <c r="AB69" s="97" t="s">
        <v>69</v>
      </c>
      <c r="AC69" s="98" t="n">
        <v>0</v>
      </c>
      <c r="AD69" s="25"/>
      <c r="AE69" s="25"/>
      <c r="AF69" s="94"/>
      <c r="AG69" s="94"/>
      <c r="AH69" s="94"/>
      <c r="AI69" s="20"/>
    </row>
    <row r="70" customFormat="false" ht="17.35" hidden="false" customHeight="false" outlineLevel="0" collapsed="false">
      <c r="A70" s="99" t="s">
        <v>70</v>
      </c>
      <c r="B70" s="100" t="n">
        <v>0</v>
      </c>
      <c r="C70" s="25"/>
      <c r="D70" s="25"/>
      <c r="E70" s="94"/>
      <c r="F70" s="94"/>
      <c r="G70" s="94"/>
      <c r="H70" s="20"/>
      <c r="J70" s="99" t="s">
        <v>70</v>
      </c>
      <c r="K70" s="100" t="n">
        <v>0</v>
      </c>
      <c r="L70" s="25"/>
      <c r="M70" s="25"/>
      <c r="N70" s="94"/>
      <c r="O70" s="94"/>
      <c r="P70" s="94"/>
      <c r="Q70" s="20"/>
      <c r="S70" s="99" t="s">
        <v>70</v>
      </c>
      <c r="T70" s="100" t="n">
        <v>0</v>
      </c>
      <c r="U70" s="25"/>
      <c r="V70" s="25"/>
      <c r="W70" s="94"/>
      <c r="X70" s="94"/>
      <c r="Y70" s="94"/>
      <c r="Z70" s="20"/>
      <c r="AB70" s="99" t="s">
        <v>70</v>
      </c>
      <c r="AC70" s="100" t="n">
        <v>0</v>
      </c>
      <c r="AD70" s="25"/>
      <c r="AE70" s="25"/>
      <c r="AF70" s="94"/>
      <c r="AG70" s="94"/>
      <c r="AH70" s="94"/>
      <c r="AI70" s="20"/>
    </row>
    <row r="71" customFormat="false" ht="17.35" hidden="false" customHeight="false" outlineLevel="0" collapsed="false">
      <c r="A71" s="74" t="s">
        <v>71</v>
      </c>
      <c r="B71" s="104" t="n">
        <f aca="false">B69*(1+B70)</f>
        <v>0</v>
      </c>
      <c r="C71" s="25"/>
      <c r="D71" s="25"/>
      <c r="E71" s="94"/>
      <c r="F71" s="94"/>
      <c r="G71" s="94"/>
      <c r="H71" s="20"/>
      <c r="J71" s="74" t="s">
        <v>71</v>
      </c>
      <c r="K71" s="104" t="n">
        <f aca="false">K69*(1+K70)</f>
        <v>0</v>
      </c>
      <c r="L71" s="25"/>
      <c r="M71" s="25"/>
      <c r="N71" s="94"/>
      <c r="O71" s="94"/>
      <c r="P71" s="94"/>
      <c r="Q71" s="20"/>
      <c r="S71" s="74" t="s">
        <v>71</v>
      </c>
      <c r="T71" s="104" t="n">
        <f aca="false">T69*(1+T70)</f>
        <v>0</v>
      </c>
      <c r="U71" s="25"/>
      <c r="V71" s="25"/>
      <c r="W71" s="94"/>
      <c r="X71" s="94"/>
      <c r="Y71" s="94"/>
      <c r="Z71" s="20"/>
      <c r="AB71" s="74" t="s">
        <v>71</v>
      </c>
      <c r="AC71" s="104" t="n">
        <f aca="false">AC69*(1+AC70)</f>
        <v>0</v>
      </c>
      <c r="AD71" s="25"/>
      <c r="AE71" s="25"/>
      <c r="AF71" s="94"/>
      <c r="AG71" s="94"/>
      <c r="AH71" s="94"/>
      <c r="AI71" s="20"/>
    </row>
    <row r="72" customFormat="false" ht="17.35" hidden="false" customHeight="false" outlineLevel="0" collapsed="false">
      <c r="A72" s="97" t="s">
        <v>72</v>
      </c>
      <c r="B72" s="105" t="n">
        <v>0</v>
      </c>
      <c r="C72" s="25"/>
      <c r="D72" s="25"/>
      <c r="E72" s="94"/>
      <c r="F72" s="94"/>
      <c r="G72" s="94"/>
      <c r="H72" s="20"/>
      <c r="J72" s="97" t="s">
        <v>72</v>
      </c>
      <c r="K72" s="105" t="n">
        <v>0</v>
      </c>
      <c r="L72" s="25"/>
      <c r="M72" s="25"/>
      <c r="N72" s="94"/>
      <c r="O72" s="94"/>
      <c r="P72" s="94"/>
      <c r="Q72" s="20"/>
      <c r="S72" s="97" t="s">
        <v>72</v>
      </c>
      <c r="T72" s="105" t="n">
        <v>0</v>
      </c>
      <c r="U72" s="25"/>
      <c r="V72" s="25"/>
      <c r="W72" s="94"/>
      <c r="X72" s="94"/>
      <c r="Y72" s="94"/>
      <c r="Z72" s="20"/>
      <c r="AB72" s="97" t="s">
        <v>72</v>
      </c>
      <c r="AC72" s="105" t="n">
        <v>0</v>
      </c>
      <c r="AD72" s="25"/>
      <c r="AE72" s="25"/>
      <c r="AF72" s="94"/>
      <c r="AG72" s="94"/>
      <c r="AH72" s="94"/>
      <c r="AI72" s="20"/>
    </row>
    <row r="73" customFormat="false" ht="17.35" hidden="false" customHeight="false" outlineLevel="0" collapsed="false">
      <c r="A73" s="99" t="s">
        <v>73</v>
      </c>
      <c r="B73" s="96" t="n">
        <v>0.05</v>
      </c>
      <c r="C73" s="25"/>
      <c r="D73" s="25"/>
      <c r="E73" s="94"/>
      <c r="F73" s="94"/>
      <c r="G73" s="94"/>
      <c r="H73" s="20"/>
      <c r="J73" s="99" t="s">
        <v>73</v>
      </c>
      <c r="K73" s="96" t="n">
        <v>0</v>
      </c>
      <c r="L73" s="25"/>
      <c r="M73" s="25"/>
      <c r="N73" s="94"/>
      <c r="O73" s="94"/>
      <c r="P73" s="94"/>
      <c r="Q73" s="20"/>
      <c r="S73" s="99" t="s">
        <v>73</v>
      </c>
      <c r="T73" s="96" t="n">
        <v>0</v>
      </c>
      <c r="U73" s="25"/>
      <c r="V73" s="25"/>
      <c r="W73" s="94"/>
      <c r="X73" s="94"/>
      <c r="Y73" s="94"/>
      <c r="Z73" s="20"/>
      <c r="AB73" s="99" t="s">
        <v>73</v>
      </c>
      <c r="AC73" s="96" t="n">
        <v>0</v>
      </c>
      <c r="AD73" s="25"/>
      <c r="AE73" s="25"/>
      <c r="AF73" s="94"/>
      <c r="AG73" s="94"/>
      <c r="AH73" s="94"/>
      <c r="AI73" s="20"/>
    </row>
    <row r="74" customFormat="false" ht="17.35" hidden="false" customHeight="false" outlineLevel="0" collapsed="false">
      <c r="A74" s="74" t="s">
        <v>74</v>
      </c>
      <c r="B74" s="82" t="n">
        <f aca="false">B73*B29</f>
        <v>0</v>
      </c>
      <c r="C74" s="25"/>
      <c r="D74" s="25" t="n">
        <f aca="false">B74+B72</f>
        <v>0</v>
      </c>
      <c r="E74" s="94"/>
      <c r="F74" s="94"/>
      <c r="G74" s="94"/>
      <c r="H74" s="20"/>
      <c r="J74" s="74" t="s">
        <v>74</v>
      </c>
      <c r="K74" s="82" t="n">
        <f aca="false">K73*K29</f>
        <v>0</v>
      </c>
      <c r="L74" s="25"/>
      <c r="M74" s="25" t="n">
        <f aca="false">K74+K72</f>
        <v>0</v>
      </c>
      <c r="N74" s="94"/>
      <c r="O74" s="94"/>
      <c r="P74" s="94"/>
      <c r="Q74" s="20"/>
      <c r="S74" s="74" t="s">
        <v>74</v>
      </c>
      <c r="T74" s="82" t="n">
        <f aca="false">T73*K29</f>
        <v>0</v>
      </c>
      <c r="U74" s="25"/>
      <c r="V74" s="25" t="n">
        <f aca="false">T74+T72</f>
        <v>0</v>
      </c>
      <c r="W74" s="94"/>
      <c r="X74" s="94"/>
      <c r="Y74" s="94"/>
      <c r="Z74" s="20"/>
      <c r="AB74" s="74" t="s">
        <v>74</v>
      </c>
      <c r="AC74" s="82" t="n">
        <f aca="false">AC73*K29</f>
        <v>0</v>
      </c>
      <c r="AD74" s="25"/>
      <c r="AE74" s="25" t="n">
        <f aca="false">AC74+AC72</f>
        <v>0</v>
      </c>
      <c r="AF74" s="94"/>
      <c r="AG74" s="94"/>
      <c r="AH74" s="94"/>
      <c r="AI74" s="20"/>
    </row>
    <row r="75" customFormat="false" ht="17.35" hidden="false" customHeight="false" outlineLevel="0" collapsed="false">
      <c r="A75" s="99" t="s">
        <v>75</v>
      </c>
      <c r="B75" s="96" t="n">
        <v>0</v>
      </c>
      <c r="C75" s="25"/>
      <c r="D75" s="25" t="n">
        <f aca="false">B75</f>
        <v>0</v>
      </c>
      <c r="E75" s="94"/>
      <c r="F75" s="94"/>
      <c r="G75" s="94"/>
      <c r="H75" s="20"/>
      <c r="J75" s="99" t="s">
        <v>75</v>
      </c>
      <c r="K75" s="96" t="n">
        <v>0</v>
      </c>
      <c r="L75" s="25"/>
      <c r="M75" s="25" t="n">
        <f aca="false">K75</f>
        <v>0</v>
      </c>
      <c r="N75" s="94"/>
      <c r="O75" s="94"/>
      <c r="P75" s="94"/>
      <c r="Q75" s="20"/>
      <c r="S75" s="99" t="s">
        <v>75</v>
      </c>
      <c r="T75" s="96" t="n">
        <v>0</v>
      </c>
      <c r="U75" s="25"/>
      <c r="V75" s="25" t="n">
        <f aca="false">T75</f>
        <v>0</v>
      </c>
      <c r="W75" s="94"/>
      <c r="X75" s="94"/>
      <c r="Y75" s="94"/>
      <c r="Z75" s="20"/>
      <c r="AB75" s="99" t="s">
        <v>75</v>
      </c>
      <c r="AC75" s="96" t="n">
        <v>0</v>
      </c>
      <c r="AD75" s="25"/>
      <c r="AE75" s="25" t="n">
        <f aca="false">AC75</f>
        <v>0</v>
      </c>
      <c r="AF75" s="94"/>
      <c r="AG75" s="94"/>
      <c r="AH75" s="94"/>
      <c r="AI75" s="20"/>
    </row>
    <row r="76" customFormat="false" ht="17.35" hidden="false" customHeight="false" outlineLevel="0" collapsed="false">
      <c r="A76" s="101" t="s">
        <v>76</v>
      </c>
      <c r="B76" s="106" t="n">
        <v>0</v>
      </c>
      <c r="C76" s="25"/>
      <c r="D76" s="25" t="n">
        <f aca="false">B76</f>
        <v>0</v>
      </c>
      <c r="E76" s="94"/>
      <c r="F76" s="94"/>
      <c r="G76" s="94"/>
      <c r="H76" s="20"/>
      <c r="J76" s="101" t="s">
        <v>76</v>
      </c>
      <c r="K76" s="106" t="n">
        <v>0</v>
      </c>
      <c r="L76" s="25"/>
      <c r="M76" s="25" t="n">
        <f aca="false">K76</f>
        <v>0</v>
      </c>
      <c r="N76" s="94"/>
      <c r="O76" s="94"/>
      <c r="P76" s="94"/>
      <c r="Q76" s="20"/>
      <c r="S76" s="101" t="s">
        <v>76</v>
      </c>
      <c r="T76" s="106" t="n">
        <v>0</v>
      </c>
      <c r="U76" s="25"/>
      <c r="V76" s="25" t="n">
        <f aca="false">T76</f>
        <v>0</v>
      </c>
      <c r="W76" s="94"/>
      <c r="X76" s="94"/>
      <c r="Y76" s="94"/>
      <c r="Z76" s="20"/>
      <c r="AB76" s="101" t="s">
        <v>76</v>
      </c>
      <c r="AC76" s="106" t="n">
        <v>0</v>
      </c>
      <c r="AD76" s="25"/>
      <c r="AE76" s="25" t="n">
        <f aca="false">AC76</f>
        <v>0</v>
      </c>
      <c r="AF76" s="94"/>
      <c r="AG76" s="94"/>
      <c r="AH76" s="94"/>
      <c r="AI76" s="20"/>
    </row>
    <row r="77" customFormat="false" ht="17.35" hidden="false" customHeight="false" outlineLevel="0" collapsed="false">
      <c r="A77" s="107" t="s">
        <v>77</v>
      </c>
      <c r="B77" s="108" t="n">
        <f aca="false">SUM(D65:D76)</f>
        <v>0</v>
      </c>
      <c r="C77" s="25"/>
      <c r="D77" s="25"/>
      <c r="E77" s="94"/>
      <c r="F77" s="94"/>
      <c r="G77" s="94"/>
      <c r="H77" s="20"/>
      <c r="J77" s="107" t="s">
        <v>77</v>
      </c>
      <c r="K77" s="108" t="n">
        <f aca="false">SUM(M65:M76)</f>
        <v>0</v>
      </c>
      <c r="L77" s="25"/>
      <c r="M77" s="25"/>
      <c r="N77" s="94"/>
      <c r="O77" s="94"/>
      <c r="P77" s="94"/>
      <c r="Q77" s="20"/>
      <c r="S77" s="107" t="s">
        <v>77</v>
      </c>
      <c r="T77" s="108" t="n">
        <f aca="false">SUM(V65:V76)</f>
        <v>0</v>
      </c>
      <c r="U77" s="25"/>
      <c r="V77" s="25"/>
      <c r="W77" s="94"/>
      <c r="X77" s="94"/>
      <c r="Y77" s="94"/>
      <c r="Z77" s="20"/>
      <c r="AB77" s="107" t="s">
        <v>77</v>
      </c>
      <c r="AC77" s="108" t="n">
        <f aca="false">SUM(AE65:AE76)</f>
        <v>0</v>
      </c>
      <c r="AD77" s="25"/>
      <c r="AE77" s="25"/>
      <c r="AF77" s="94"/>
      <c r="AG77" s="94"/>
      <c r="AH77" s="94"/>
      <c r="AI77" s="20"/>
    </row>
    <row r="78" customFormat="false" ht="17.35" hidden="false" customHeight="false" outlineLevel="0" collapsed="false">
      <c r="A78" s="55" t="s">
        <v>78</v>
      </c>
      <c r="B78" s="20" t="n">
        <f aca="false">B77/K29</f>
        <v>0</v>
      </c>
      <c r="C78" s="25"/>
      <c r="D78" s="25"/>
      <c r="E78" s="94"/>
      <c r="F78" s="94"/>
      <c r="G78" s="94"/>
      <c r="H78" s="20"/>
      <c r="J78" s="55" t="s">
        <v>78</v>
      </c>
      <c r="K78" s="20" t="n">
        <f aca="false">K77/K29</f>
        <v>0</v>
      </c>
      <c r="L78" s="25"/>
      <c r="M78" s="25"/>
      <c r="N78" s="94"/>
      <c r="O78" s="94"/>
      <c r="P78" s="94"/>
      <c r="Q78" s="20"/>
      <c r="S78" s="55" t="s">
        <v>78</v>
      </c>
      <c r="T78" s="20" t="n">
        <f aca="false">T77/K29</f>
        <v>0</v>
      </c>
      <c r="U78" s="25"/>
      <c r="V78" s="25"/>
      <c r="W78" s="94"/>
      <c r="X78" s="94"/>
      <c r="Y78" s="94"/>
      <c r="Z78" s="20"/>
      <c r="AB78" s="55" t="s">
        <v>78</v>
      </c>
      <c r="AC78" s="20" t="n">
        <f aca="false">AC77/K29</f>
        <v>0</v>
      </c>
      <c r="AD78" s="25"/>
      <c r="AE78" s="25"/>
      <c r="AF78" s="94"/>
      <c r="AG78" s="94"/>
      <c r="AH78" s="94"/>
      <c r="AI78" s="20"/>
    </row>
    <row r="79" customFormat="false" ht="17.35" hidden="false" customHeight="false" outlineLevel="0" collapsed="false">
      <c r="A79" s="109" t="s">
        <v>79</v>
      </c>
      <c r="B79" s="77" t="n">
        <f aca="false">K47</f>
        <v>1420.33961176863</v>
      </c>
      <c r="C79" s="25"/>
      <c r="D79" s="25"/>
      <c r="E79" s="94"/>
      <c r="F79" s="94"/>
      <c r="G79" s="94"/>
      <c r="H79" s="20"/>
      <c r="J79" s="109" t="s">
        <v>79</v>
      </c>
      <c r="K79" s="77" t="n">
        <f aca="false">K47</f>
        <v>1420.33961176863</v>
      </c>
      <c r="L79" s="25"/>
      <c r="M79" s="25"/>
      <c r="N79" s="94"/>
      <c r="O79" s="94"/>
      <c r="P79" s="94"/>
      <c r="Q79" s="20"/>
      <c r="S79" s="109" t="s">
        <v>79</v>
      </c>
      <c r="T79" s="77" t="n">
        <f aca="false">B52</f>
        <v>1420.33961176863</v>
      </c>
      <c r="U79" s="25"/>
      <c r="V79" s="25"/>
      <c r="W79" s="94"/>
      <c r="X79" s="94"/>
      <c r="Y79" s="94"/>
      <c r="Z79" s="20"/>
      <c r="AB79" s="109" t="s">
        <v>79</v>
      </c>
      <c r="AC79" s="77" t="n">
        <f aca="false">B52</f>
        <v>1420.33961176863</v>
      </c>
      <c r="AD79" s="25"/>
      <c r="AE79" s="25"/>
      <c r="AF79" s="94"/>
      <c r="AG79" s="94"/>
      <c r="AH79" s="94"/>
      <c r="AI79" s="20"/>
    </row>
    <row r="80" customFormat="false" ht="17.35" hidden="false" customHeight="false" outlineLevel="0" collapsed="false">
      <c r="A80" s="55"/>
      <c r="B80" s="25"/>
      <c r="C80" s="25"/>
      <c r="D80" s="25"/>
      <c r="E80" s="94"/>
      <c r="F80" s="94"/>
      <c r="G80" s="94"/>
      <c r="H80" s="20"/>
      <c r="J80" s="55"/>
      <c r="K80" s="25"/>
      <c r="L80" s="25"/>
      <c r="M80" s="25"/>
      <c r="N80" s="94"/>
      <c r="O80" s="94"/>
      <c r="P80" s="94"/>
      <c r="Q80" s="20"/>
      <c r="S80" s="55"/>
      <c r="T80" s="25"/>
      <c r="U80" s="25"/>
      <c r="V80" s="25"/>
      <c r="W80" s="94"/>
      <c r="X80" s="94"/>
      <c r="Y80" s="94"/>
      <c r="Z80" s="20"/>
      <c r="AB80" s="55"/>
      <c r="AC80" s="25"/>
      <c r="AD80" s="25"/>
      <c r="AE80" s="25"/>
      <c r="AF80" s="94"/>
      <c r="AG80" s="94"/>
      <c r="AH80" s="94"/>
      <c r="AI80" s="20"/>
    </row>
    <row r="81" customFormat="false" ht="17.35" hidden="false" customHeight="false" outlineLevel="0" collapsed="false">
      <c r="A81" s="48" t="s">
        <v>80</v>
      </c>
      <c r="B81" s="50" t="n">
        <f aca="false">G158</f>
        <v>67730.004</v>
      </c>
      <c r="C81" s="25"/>
      <c r="D81" s="25"/>
      <c r="E81" s="94"/>
      <c r="F81" s="94"/>
      <c r="G81" s="94"/>
      <c r="H81" s="20"/>
      <c r="J81" s="48" t="s">
        <v>80</v>
      </c>
      <c r="K81" s="50" t="n">
        <f aca="false">P158</f>
        <v>37655</v>
      </c>
      <c r="L81" s="25"/>
      <c r="M81" s="25"/>
      <c r="N81" s="94"/>
      <c r="O81" s="94"/>
      <c r="P81" s="94"/>
      <c r="Q81" s="20"/>
      <c r="S81" s="48" t="s">
        <v>80</v>
      </c>
      <c r="T81" s="50" t="n">
        <f aca="false">Y158</f>
        <v>59384.43749</v>
      </c>
      <c r="U81" s="25"/>
      <c r="V81" s="25"/>
      <c r="W81" s="94"/>
      <c r="X81" s="94"/>
      <c r="Y81" s="94"/>
      <c r="Z81" s="20"/>
      <c r="AB81" s="48" t="s">
        <v>80</v>
      </c>
      <c r="AC81" s="50" t="n">
        <f aca="false">AH158</f>
        <v>45468.749</v>
      </c>
      <c r="AD81" s="25"/>
      <c r="AE81" s="25"/>
      <c r="AF81" s="94"/>
      <c r="AG81" s="94"/>
      <c r="AH81" s="94"/>
      <c r="AI81" s="20"/>
    </row>
    <row r="82" customFormat="false" ht="17.35" hidden="false" customHeight="false" outlineLevel="0" collapsed="false">
      <c r="A82" s="55" t="s">
        <v>47</v>
      </c>
      <c r="B82" s="20" t="n">
        <f aca="false">A40</f>
        <v>5400</v>
      </c>
      <c r="C82" s="25"/>
      <c r="D82" s="25"/>
      <c r="E82" s="94"/>
      <c r="F82" s="94"/>
      <c r="G82" s="94"/>
      <c r="H82" s="20"/>
      <c r="J82" s="55" t="s">
        <v>47</v>
      </c>
      <c r="K82" s="20" t="n">
        <f aca="false">IF(J111 = "YES", A40, 0)</f>
        <v>0</v>
      </c>
      <c r="L82" s="25"/>
      <c r="M82" s="25"/>
      <c r="N82" s="94"/>
      <c r="O82" s="94"/>
      <c r="P82" s="94"/>
      <c r="Q82" s="20"/>
      <c r="S82" s="55" t="s">
        <v>47</v>
      </c>
      <c r="T82" s="20" t="n">
        <f aca="false">A40</f>
        <v>5400</v>
      </c>
      <c r="U82" s="25"/>
      <c r="V82" s="25"/>
      <c r="W82" s="94"/>
      <c r="X82" s="94"/>
      <c r="Y82" s="94"/>
      <c r="Z82" s="20"/>
      <c r="AB82" s="55" t="s">
        <v>47</v>
      </c>
      <c r="AC82" s="20" t="n">
        <f aca="false">A40</f>
        <v>5400</v>
      </c>
      <c r="AD82" s="25"/>
      <c r="AE82" s="25"/>
      <c r="AF82" s="94"/>
      <c r="AG82" s="94"/>
      <c r="AH82" s="94"/>
      <c r="AI82" s="20"/>
    </row>
    <row r="83" customFormat="false" ht="17.35" hidden="false" customHeight="false" outlineLevel="0" collapsed="false">
      <c r="A83" s="55" t="s">
        <v>81</v>
      </c>
      <c r="B83" s="103" t="n">
        <f aca="false">B62+B63+B64</f>
        <v>0.115</v>
      </c>
      <c r="C83" s="25"/>
      <c r="D83" s="25"/>
      <c r="E83" s="94"/>
      <c r="F83" s="94"/>
      <c r="G83" s="94"/>
      <c r="H83" s="20"/>
      <c r="J83" s="55" t="s">
        <v>81</v>
      </c>
      <c r="K83" s="103" t="n">
        <f aca="false">K62+K63+K64</f>
        <v>0.24</v>
      </c>
      <c r="L83" s="25"/>
      <c r="M83" s="25"/>
      <c r="N83" s="94"/>
      <c r="O83" s="94"/>
      <c r="P83" s="94"/>
      <c r="Q83" s="20"/>
      <c r="S83" s="55" t="s">
        <v>81</v>
      </c>
      <c r="T83" s="103" t="n">
        <f aca="false">T62+T63+T64</f>
        <v>0.131</v>
      </c>
      <c r="U83" s="25"/>
      <c r="V83" s="25"/>
      <c r="W83" s="94"/>
      <c r="X83" s="94"/>
      <c r="Y83" s="94"/>
      <c r="Z83" s="20"/>
      <c r="AB83" s="55" t="s">
        <v>81</v>
      </c>
      <c r="AC83" s="103" t="n">
        <f aca="false">AC62+AC63+AC64</f>
        <v>0.131</v>
      </c>
      <c r="AD83" s="25"/>
      <c r="AE83" s="25"/>
      <c r="AF83" s="94"/>
      <c r="AG83" s="94"/>
      <c r="AH83" s="94"/>
      <c r="AI83" s="20"/>
    </row>
    <row r="84" customFormat="false" ht="17.35" hidden="false" customHeight="false" outlineLevel="0" collapsed="false">
      <c r="A84" s="55" t="s">
        <v>82</v>
      </c>
      <c r="B84" s="103" t="n">
        <f aca="false">B83/12</f>
        <v>0.00958333333333333</v>
      </c>
      <c r="C84" s="25"/>
      <c r="D84" s="25"/>
      <c r="E84" s="94"/>
      <c r="F84" s="94"/>
      <c r="G84" s="94"/>
      <c r="H84" s="20"/>
      <c r="J84" s="55" t="s">
        <v>82</v>
      </c>
      <c r="K84" s="103" t="n">
        <f aca="false">K83/12</f>
        <v>0.02</v>
      </c>
      <c r="L84" s="25"/>
      <c r="M84" s="25"/>
      <c r="N84" s="94"/>
      <c r="O84" s="94"/>
      <c r="P84" s="94"/>
      <c r="Q84" s="20"/>
      <c r="S84" s="55" t="s">
        <v>82</v>
      </c>
      <c r="T84" s="103" t="n">
        <f aca="false">T83/12</f>
        <v>0.0109166666666667</v>
      </c>
      <c r="U84" s="25"/>
      <c r="V84" s="25"/>
      <c r="W84" s="94"/>
      <c r="X84" s="94"/>
      <c r="Y84" s="94"/>
      <c r="Z84" s="20"/>
      <c r="AB84" s="55" t="s">
        <v>82</v>
      </c>
      <c r="AC84" s="103" t="n">
        <f aca="false">AC83/12</f>
        <v>0.0109166666666667</v>
      </c>
      <c r="AD84" s="25"/>
      <c r="AE84" s="25"/>
      <c r="AF84" s="94"/>
      <c r="AG84" s="94"/>
      <c r="AH84" s="94"/>
      <c r="AI84" s="20"/>
    </row>
    <row r="85" customFormat="false" ht="17.35" hidden="false" customHeight="false" outlineLevel="0" collapsed="false">
      <c r="A85" s="55" t="s">
        <v>83</v>
      </c>
      <c r="B85" s="20" t="n">
        <f aca="false">IF(B82=0, (B59+B58), (B59))</f>
        <v>34</v>
      </c>
      <c r="C85" s="25"/>
      <c r="D85" s="25"/>
      <c r="E85" s="94"/>
      <c r="F85" s="94"/>
      <c r="G85" s="94"/>
      <c r="H85" s="20"/>
      <c r="J85" s="55" t="s">
        <v>83</v>
      </c>
      <c r="K85" s="20" t="n">
        <f aca="false">IF(K82=0, (K59+K58), (K59))</f>
        <v>35</v>
      </c>
      <c r="L85" s="25"/>
      <c r="M85" s="25"/>
      <c r="N85" s="94"/>
      <c r="O85" s="94"/>
      <c r="P85" s="94"/>
      <c r="Q85" s="20"/>
      <c r="S85" s="55" t="s">
        <v>83</v>
      </c>
      <c r="T85" s="20" t="n">
        <f aca="false">T59</f>
        <v>34</v>
      </c>
      <c r="U85" s="25"/>
      <c r="V85" s="25"/>
      <c r="W85" s="94"/>
      <c r="X85" s="94"/>
      <c r="Y85" s="94"/>
      <c r="Z85" s="20"/>
      <c r="AB85" s="55" t="s">
        <v>83</v>
      </c>
      <c r="AC85" s="20" t="n">
        <f aca="false">AC59</f>
        <v>34</v>
      </c>
      <c r="AD85" s="25"/>
      <c r="AE85" s="25"/>
      <c r="AF85" s="94"/>
      <c r="AG85" s="94"/>
      <c r="AH85" s="94"/>
      <c r="AI85" s="20"/>
    </row>
    <row r="86" customFormat="false" ht="17.35" hidden="false" customHeight="false" outlineLevel="0" collapsed="false">
      <c r="A86" s="55" t="s">
        <v>84</v>
      </c>
      <c r="B86" s="20" t="n">
        <f aca="false">(B82/((1+B84)^(B85+1)))</f>
        <v>3867.38781816852</v>
      </c>
      <c r="C86" s="25"/>
      <c r="D86" s="25"/>
      <c r="E86" s="94"/>
      <c r="F86" s="94"/>
      <c r="G86" s="94"/>
      <c r="H86" s="20"/>
      <c r="J86" s="55" t="s">
        <v>84</v>
      </c>
      <c r="K86" s="20" t="n">
        <f aca="false">(K82/((1+K84)^(K85+1)))</f>
        <v>0</v>
      </c>
      <c r="L86" s="25"/>
      <c r="M86" s="25"/>
      <c r="N86" s="94"/>
      <c r="O86" s="94"/>
      <c r="P86" s="94"/>
      <c r="Q86" s="20"/>
      <c r="S86" s="55" t="s">
        <v>84</v>
      </c>
      <c r="T86" s="20" t="n">
        <f aca="false">(T82/((1+T84)^(T85+1)))</f>
        <v>3692.80415680734</v>
      </c>
      <c r="U86" s="25"/>
      <c r="V86" s="25"/>
      <c r="W86" s="94"/>
      <c r="X86" s="94"/>
      <c r="Y86" s="94"/>
      <c r="Z86" s="20"/>
      <c r="AB86" s="55" t="s">
        <v>84</v>
      </c>
      <c r="AC86" s="20" t="n">
        <f aca="false">(AC82/((1+AC84)^(AC85+1)))</f>
        <v>3692.80415680734</v>
      </c>
      <c r="AD86" s="25"/>
      <c r="AE86" s="25"/>
      <c r="AF86" s="94"/>
      <c r="AG86" s="94"/>
      <c r="AH86" s="94"/>
      <c r="AI86" s="20"/>
    </row>
    <row r="87" customFormat="false" ht="17.35" hidden="false" customHeight="false" outlineLevel="0" collapsed="false">
      <c r="A87" s="55" t="s">
        <v>85</v>
      </c>
      <c r="B87" s="20" t="n">
        <f aca="false">((1-(1/((1+B84)^B85)))/B84)</f>
        <v>28.8995114056174</v>
      </c>
      <c r="C87" s="25"/>
      <c r="D87" s="25"/>
      <c r="E87" s="94"/>
      <c r="F87" s="94"/>
      <c r="G87" s="94"/>
      <c r="H87" s="20"/>
      <c r="J87" s="55" t="s">
        <v>85</v>
      </c>
      <c r="K87" s="20" t="n">
        <f aca="false">((1-(1/((1+K84)^K85)))/K84)</f>
        <v>24.9986193320352</v>
      </c>
      <c r="L87" s="25"/>
      <c r="M87" s="25"/>
      <c r="N87" s="94"/>
      <c r="O87" s="94"/>
      <c r="P87" s="94"/>
      <c r="Q87" s="20"/>
      <c r="S87" s="55" t="s">
        <v>85</v>
      </c>
      <c r="T87" s="20" t="n">
        <f aca="false">((1-(1/((1+T84)^T85)))/T84)</f>
        <v>28.2762125724768</v>
      </c>
      <c r="U87" s="25"/>
      <c r="V87" s="25"/>
      <c r="W87" s="94"/>
      <c r="X87" s="94"/>
      <c r="Y87" s="94"/>
      <c r="Z87" s="20"/>
      <c r="AB87" s="55" t="s">
        <v>85</v>
      </c>
      <c r="AC87" s="20" t="n">
        <f aca="false">((1-(1/((1+AC84)^AC85)))/AC84)</f>
        <v>28.2762125724768</v>
      </c>
      <c r="AD87" s="25"/>
      <c r="AE87" s="25"/>
      <c r="AF87" s="94"/>
      <c r="AG87" s="94"/>
      <c r="AH87" s="94"/>
      <c r="AI87" s="20"/>
    </row>
    <row r="88" customFormat="false" ht="17.35" hidden="false" customHeight="false" outlineLevel="0" collapsed="false">
      <c r="A88" s="55" t="s">
        <v>86</v>
      </c>
      <c r="B88" s="20" t="n">
        <f aca="false">B81-B86</f>
        <v>63862.6161818315</v>
      </c>
      <c r="C88" s="25"/>
      <c r="D88" s="25"/>
      <c r="E88" s="94"/>
      <c r="F88" s="94"/>
      <c r="G88" s="94"/>
      <c r="H88" s="20"/>
      <c r="J88" s="55" t="s">
        <v>86</v>
      </c>
      <c r="K88" s="20" t="n">
        <f aca="false">K81-K86</f>
        <v>37655</v>
      </c>
      <c r="L88" s="25"/>
      <c r="M88" s="25"/>
      <c r="N88" s="94"/>
      <c r="O88" s="94"/>
      <c r="P88" s="94"/>
      <c r="Q88" s="20"/>
      <c r="S88" s="55" t="s">
        <v>86</v>
      </c>
      <c r="T88" s="20" t="n">
        <f aca="false">T81-T86</f>
        <v>55691.6333331927</v>
      </c>
      <c r="U88" s="25"/>
      <c r="V88" s="25"/>
      <c r="W88" s="94"/>
      <c r="X88" s="94"/>
      <c r="Y88" s="94"/>
      <c r="Z88" s="20"/>
      <c r="AB88" s="55" t="s">
        <v>86</v>
      </c>
      <c r="AC88" s="20" t="n">
        <f aca="false">AC81-AC86</f>
        <v>41775.9448431927</v>
      </c>
      <c r="AD88" s="25"/>
      <c r="AE88" s="25"/>
      <c r="AF88" s="94"/>
      <c r="AG88" s="94"/>
      <c r="AH88" s="94"/>
      <c r="AI88" s="20"/>
    </row>
    <row r="89" customFormat="false" ht="17.35" hidden="false" customHeight="false" outlineLevel="0" collapsed="false">
      <c r="A89" s="55" t="s">
        <v>87</v>
      </c>
      <c r="B89" s="20" t="n">
        <f aca="false">(B88/B87)</f>
        <v>2209.81646663473</v>
      </c>
      <c r="C89" s="25"/>
      <c r="D89" s="25"/>
      <c r="E89" s="94"/>
      <c r="F89" s="94"/>
      <c r="G89" s="94"/>
      <c r="H89" s="20"/>
      <c r="J89" s="55" t="s">
        <v>87</v>
      </c>
      <c r="K89" s="20" t="n">
        <f aca="false">(K88/K87)</f>
        <v>1506.2831870777</v>
      </c>
      <c r="L89" s="25"/>
      <c r="M89" s="25"/>
      <c r="N89" s="94"/>
      <c r="O89" s="94"/>
      <c r="P89" s="94"/>
      <c r="Q89" s="20"/>
      <c r="S89" s="55" t="s">
        <v>87</v>
      </c>
      <c r="T89" s="20" t="n">
        <f aca="false">(T88/T87)</f>
        <v>1969.55774011266</v>
      </c>
      <c r="U89" s="25"/>
      <c r="V89" s="25"/>
      <c r="W89" s="94"/>
      <c r="X89" s="94"/>
      <c r="Y89" s="94"/>
      <c r="Z89" s="20"/>
      <c r="AB89" s="55" t="s">
        <v>87</v>
      </c>
      <c r="AC89" s="20" t="n">
        <f aca="false">(AC88/AC87)</f>
        <v>1477.42363784095</v>
      </c>
      <c r="AD89" s="25"/>
      <c r="AE89" s="25"/>
      <c r="AF89" s="94"/>
      <c r="AG89" s="94"/>
      <c r="AH89" s="94"/>
      <c r="AI89" s="20"/>
    </row>
    <row r="90" customFormat="false" ht="17.35" hidden="false" customHeight="false" outlineLevel="0" collapsed="false">
      <c r="A90" s="55" t="s">
        <v>88</v>
      </c>
      <c r="B90" s="20" t="n">
        <f aca="false">((B89*(B85))+B77)</f>
        <v>75133.7598655807</v>
      </c>
      <c r="C90" s="25"/>
      <c r="D90" s="25"/>
      <c r="E90" s="94"/>
      <c r="F90" s="94"/>
      <c r="G90" s="94"/>
      <c r="H90" s="20"/>
      <c r="J90" s="55" t="s">
        <v>88</v>
      </c>
      <c r="K90" s="20" t="n">
        <f aca="false">((K89*(K85))+K77)</f>
        <v>52719.9115477193</v>
      </c>
      <c r="L90" s="25"/>
      <c r="M90" s="25"/>
      <c r="N90" s="94"/>
      <c r="O90" s="94"/>
      <c r="P90" s="94"/>
      <c r="Q90" s="20"/>
      <c r="S90" s="55" t="s">
        <v>88</v>
      </c>
      <c r="T90" s="20" t="n">
        <f aca="false">(T89*(T85))+T77</f>
        <v>66964.9631638305</v>
      </c>
      <c r="U90" s="25"/>
      <c r="V90" s="25"/>
      <c r="W90" s="94"/>
      <c r="X90" s="94"/>
      <c r="Y90" s="94"/>
      <c r="Z90" s="20"/>
      <c r="AB90" s="55" t="s">
        <v>88</v>
      </c>
      <c r="AC90" s="20" t="n">
        <f aca="false">(AC89*(AC59))+AC77</f>
        <v>50232.4036865922</v>
      </c>
      <c r="AD90" s="25"/>
      <c r="AE90" s="25"/>
      <c r="AF90" s="94"/>
      <c r="AG90" s="94"/>
      <c r="AH90" s="94"/>
      <c r="AI90" s="20"/>
    </row>
    <row r="91" customFormat="false" ht="17.35" hidden="false" customHeight="false" outlineLevel="0" collapsed="false">
      <c r="A91" s="55" t="s">
        <v>89</v>
      </c>
      <c r="B91" s="20" t="n">
        <f aca="false">(B90/(1-B71))*B71</f>
        <v>0</v>
      </c>
      <c r="C91" s="25"/>
      <c r="D91" s="25"/>
      <c r="E91" s="94"/>
      <c r="F91" s="94"/>
      <c r="G91" s="94"/>
      <c r="H91" s="20"/>
      <c r="J91" s="55" t="s">
        <v>89</v>
      </c>
      <c r="K91" s="20" t="n">
        <f aca="false">(K90/(1-K71))*K71</f>
        <v>0</v>
      </c>
      <c r="L91" s="25"/>
      <c r="M91" s="25"/>
      <c r="N91" s="94"/>
      <c r="O91" s="94"/>
      <c r="P91" s="94"/>
      <c r="Q91" s="20"/>
      <c r="S91" s="55" t="s">
        <v>89</v>
      </c>
      <c r="T91" s="20" t="n">
        <f aca="false">(T90/(1-T71))*T71</f>
        <v>0</v>
      </c>
      <c r="U91" s="25"/>
      <c r="V91" s="25"/>
      <c r="W91" s="94"/>
      <c r="X91" s="94"/>
      <c r="Y91" s="94"/>
      <c r="Z91" s="20"/>
      <c r="AB91" s="55" t="s">
        <v>89</v>
      </c>
      <c r="AC91" s="20" t="n">
        <f aca="false">(AC90/(1-AC71))*AC71</f>
        <v>0</v>
      </c>
      <c r="AD91" s="25"/>
      <c r="AE91" s="25"/>
      <c r="AF91" s="94"/>
      <c r="AG91" s="94"/>
      <c r="AH91" s="94"/>
      <c r="AI91" s="20"/>
    </row>
    <row r="92" customFormat="false" ht="17.35" hidden="false" customHeight="false" outlineLevel="0" collapsed="false">
      <c r="A92" s="74" t="s">
        <v>90</v>
      </c>
      <c r="B92" s="82" t="n">
        <f aca="false">(B90+B91)</f>
        <v>75133.7598655807</v>
      </c>
      <c r="C92" s="25"/>
      <c r="D92" s="25"/>
      <c r="E92" s="94"/>
      <c r="F92" s="94"/>
      <c r="G92" s="94"/>
      <c r="H92" s="20"/>
      <c r="J92" s="74" t="s">
        <v>90</v>
      </c>
      <c r="K92" s="82" t="n">
        <f aca="false">(K90+K91)</f>
        <v>52719.9115477193</v>
      </c>
      <c r="L92" s="25"/>
      <c r="M92" s="25"/>
      <c r="N92" s="94"/>
      <c r="O92" s="94"/>
      <c r="P92" s="94"/>
      <c r="Q92" s="20"/>
      <c r="S92" s="74" t="s">
        <v>90</v>
      </c>
      <c r="T92" s="82" t="n">
        <f aca="false">(T90+T91)</f>
        <v>66964.9631638305</v>
      </c>
      <c r="U92" s="25"/>
      <c r="V92" s="25"/>
      <c r="W92" s="94"/>
      <c r="X92" s="94"/>
      <c r="Y92" s="94"/>
      <c r="Z92" s="20"/>
      <c r="AB92" s="74" t="s">
        <v>90</v>
      </c>
      <c r="AC92" s="82" t="n">
        <f aca="false">(AC90+AC91)</f>
        <v>50232.4036865922</v>
      </c>
      <c r="AD92" s="25"/>
      <c r="AE92" s="25"/>
      <c r="AF92" s="94"/>
      <c r="AG92" s="94"/>
      <c r="AH92" s="94"/>
      <c r="AI92" s="20"/>
    </row>
    <row r="93" customFormat="false" ht="17.35" hidden="false" customHeight="false" outlineLevel="0" collapsed="false">
      <c r="A93" s="55"/>
      <c r="B93" s="25"/>
      <c r="C93" s="25"/>
      <c r="D93" s="25"/>
      <c r="E93" s="94"/>
      <c r="F93" s="94"/>
      <c r="G93" s="94"/>
      <c r="H93" s="20"/>
      <c r="J93" s="55"/>
      <c r="K93" s="25"/>
      <c r="L93" s="25"/>
      <c r="M93" s="25"/>
      <c r="N93" s="94"/>
      <c r="O93" s="94"/>
      <c r="P93" s="94"/>
      <c r="Q93" s="20"/>
      <c r="S93" s="55"/>
      <c r="T93" s="25"/>
      <c r="U93" s="25"/>
      <c r="V93" s="25"/>
      <c r="W93" s="94"/>
      <c r="X93" s="94"/>
      <c r="Y93" s="94"/>
      <c r="Z93" s="20"/>
      <c r="AB93" s="55"/>
      <c r="AC93" s="25"/>
      <c r="AD93" s="25"/>
      <c r="AE93" s="25"/>
      <c r="AF93" s="94"/>
      <c r="AG93" s="94"/>
      <c r="AH93" s="94"/>
      <c r="AI93" s="20"/>
    </row>
    <row r="94" customFormat="false" ht="17.35" hidden="false" customHeight="false" outlineLevel="0" collapsed="false">
      <c r="A94" s="107" t="s">
        <v>91</v>
      </c>
      <c r="B94" s="108" t="str">
        <f aca="false">IF(B26="YES",((E40/B85)*(1+A108)*1.2),"0")</f>
        <v>0</v>
      </c>
      <c r="C94" s="25"/>
      <c r="D94" s="25"/>
      <c r="E94" s="94"/>
      <c r="F94" s="94"/>
      <c r="G94" s="94"/>
      <c r="H94" s="20"/>
      <c r="J94" s="107" t="s">
        <v>91</v>
      </c>
      <c r="K94" s="108" t="n">
        <f aca="false">((E40/K85)*(1+J108))*1.2</f>
        <v>0</v>
      </c>
      <c r="L94" s="25"/>
      <c r="M94" s="25"/>
      <c r="N94" s="94"/>
      <c r="O94" s="94"/>
      <c r="P94" s="94"/>
      <c r="Q94" s="20"/>
      <c r="S94" s="107" t="s">
        <v>91</v>
      </c>
      <c r="T94" s="108" t="n">
        <f aca="false">((E40/T85)*(1+S108))</f>
        <v>0</v>
      </c>
      <c r="U94" s="25"/>
      <c r="V94" s="25"/>
      <c r="W94" s="94"/>
      <c r="X94" s="94"/>
      <c r="Y94" s="94"/>
      <c r="Z94" s="20"/>
      <c r="AB94" s="107" t="s">
        <v>91</v>
      </c>
      <c r="AC94" s="108" t="n">
        <f aca="false">((E40/AC85)*(1+AB108))*1.2</f>
        <v>0</v>
      </c>
      <c r="AD94" s="25"/>
      <c r="AE94" s="25"/>
      <c r="AF94" s="94"/>
      <c r="AG94" s="94"/>
      <c r="AH94" s="94"/>
      <c r="AI94" s="20"/>
    </row>
    <row r="95" customFormat="false" ht="17.35" hidden="false" customHeight="false" outlineLevel="0" collapsed="false">
      <c r="A95" s="112" t="s">
        <v>92</v>
      </c>
      <c r="B95" s="113" t="n">
        <f aca="false">B92/(B85)</f>
        <v>2209.81646663473</v>
      </c>
      <c r="C95" s="25"/>
      <c r="D95" s="25"/>
      <c r="E95" s="94"/>
      <c r="F95" s="94"/>
      <c r="G95" s="94"/>
      <c r="H95" s="20"/>
      <c r="J95" s="112" t="s">
        <v>92</v>
      </c>
      <c r="K95" s="113" t="n">
        <f aca="false">K92/(K85)</f>
        <v>1506.2831870777</v>
      </c>
      <c r="L95" s="25"/>
      <c r="M95" s="25"/>
      <c r="N95" s="94"/>
      <c r="O95" s="94"/>
      <c r="P95" s="94"/>
      <c r="Q95" s="20"/>
      <c r="S95" s="112" t="s">
        <v>92</v>
      </c>
      <c r="T95" s="113" t="n">
        <f aca="false">T92/(T85)</f>
        <v>1969.55774011266</v>
      </c>
      <c r="U95" s="25"/>
      <c r="V95" s="25"/>
      <c r="W95" s="94"/>
      <c r="X95" s="94"/>
      <c r="Y95" s="94"/>
      <c r="Z95" s="20"/>
      <c r="AB95" s="112" t="s">
        <v>92</v>
      </c>
      <c r="AC95" s="113" t="n">
        <f aca="false">AC92/(AC59)</f>
        <v>1477.42363784095</v>
      </c>
      <c r="AD95" s="25"/>
      <c r="AE95" s="25"/>
      <c r="AF95" s="94"/>
      <c r="AG95" s="94"/>
      <c r="AH95" s="94"/>
      <c r="AI95" s="20"/>
    </row>
    <row r="96" customFormat="false" ht="17.35" hidden="false" customHeight="false" outlineLevel="0" collapsed="false">
      <c r="A96" s="114" t="s">
        <v>93</v>
      </c>
      <c r="B96" s="115" t="n">
        <f aca="false">(B94+B95)</f>
        <v>2209.81646663473</v>
      </c>
      <c r="C96" s="25"/>
      <c r="D96" s="25"/>
      <c r="E96" s="94"/>
      <c r="F96" s="94"/>
      <c r="G96" s="94"/>
      <c r="H96" s="20"/>
      <c r="J96" s="114" t="s">
        <v>93</v>
      </c>
      <c r="K96" s="115" t="n">
        <f aca="false">(K94+K95)</f>
        <v>1506.2831870777</v>
      </c>
      <c r="L96" s="25"/>
      <c r="M96" s="25"/>
      <c r="N96" s="94"/>
      <c r="O96" s="94"/>
      <c r="P96" s="94"/>
      <c r="Q96" s="20"/>
      <c r="S96" s="114" t="s">
        <v>93</v>
      </c>
      <c r="T96" s="115" t="n">
        <f aca="false">T94+T95</f>
        <v>1969.55774011266</v>
      </c>
      <c r="U96" s="25"/>
      <c r="V96" s="25"/>
      <c r="W96" s="94"/>
      <c r="X96" s="94"/>
      <c r="Y96" s="94"/>
      <c r="Z96" s="20"/>
      <c r="AB96" s="114" t="s">
        <v>93</v>
      </c>
      <c r="AC96" s="115" t="n">
        <f aca="false">AC94+AC95</f>
        <v>1477.42363784095</v>
      </c>
      <c r="AD96" s="25"/>
      <c r="AE96" s="25"/>
      <c r="AF96" s="94"/>
      <c r="AG96" s="94"/>
      <c r="AH96" s="94"/>
      <c r="AI96" s="20"/>
    </row>
    <row r="97" customFormat="false" ht="17.35" hidden="false" customHeight="false" outlineLevel="0" collapsed="false">
      <c r="A97" s="74"/>
      <c r="B97" s="75"/>
      <c r="C97" s="75"/>
      <c r="D97" s="75"/>
      <c r="E97" s="116"/>
      <c r="F97" s="116"/>
      <c r="G97" s="116"/>
      <c r="H97" s="82"/>
      <c r="J97" s="74"/>
      <c r="K97" s="75"/>
      <c r="L97" s="75"/>
      <c r="M97" s="75"/>
      <c r="N97" s="116"/>
      <c r="O97" s="116"/>
      <c r="P97" s="116"/>
      <c r="Q97" s="82"/>
      <c r="S97" s="74"/>
      <c r="T97" s="75"/>
      <c r="U97" s="75"/>
      <c r="V97" s="75"/>
      <c r="W97" s="116"/>
      <c r="X97" s="116"/>
      <c r="Y97" s="116"/>
      <c r="Z97" s="82"/>
      <c r="AB97" s="74"/>
      <c r="AC97" s="75"/>
      <c r="AD97" s="75"/>
      <c r="AE97" s="75"/>
      <c r="AF97" s="116"/>
      <c r="AG97" s="116"/>
      <c r="AH97" s="116"/>
      <c r="AI97" s="82"/>
    </row>
    <row r="98" customFormat="false" ht="13.8" hidden="false" customHeight="false" outlineLevel="0" collapsed="false">
      <c r="A98" s="45"/>
      <c r="B98" s="45"/>
      <c r="C98" s="45"/>
      <c r="D98" s="45"/>
      <c r="E98" s="45"/>
      <c r="F98" s="45"/>
      <c r="G98" s="45"/>
      <c r="H98" s="45"/>
      <c r="J98" s="45"/>
      <c r="K98" s="45"/>
      <c r="L98" s="45"/>
      <c r="M98" s="45"/>
      <c r="N98" s="45"/>
      <c r="O98" s="45"/>
      <c r="P98" s="45"/>
      <c r="Q98" s="45"/>
      <c r="S98" s="45"/>
      <c r="T98" s="45"/>
      <c r="U98" s="45"/>
      <c r="V98" s="45"/>
      <c r="W98" s="45"/>
      <c r="X98" s="45"/>
      <c r="Y98" s="45"/>
      <c r="Z98" s="45"/>
      <c r="AB98" s="45"/>
      <c r="AC98" s="45"/>
      <c r="AD98" s="45"/>
      <c r="AE98" s="45"/>
      <c r="AF98" s="45"/>
      <c r="AG98" s="45"/>
      <c r="AH98" s="45"/>
      <c r="AI98" s="45"/>
    </row>
    <row r="99" customFormat="false" ht="13.8" hidden="false" customHeight="false" outlineLevel="0" collapsed="false">
      <c r="A99" s="45"/>
      <c r="B99" s="45"/>
      <c r="C99" s="45"/>
      <c r="D99" s="45"/>
      <c r="E99" s="45"/>
      <c r="F99" s="45"/>
      <c r="G99" s="45"/>
      <c r="H99" s="45"/>
      <c r="J99" s="45"/>
      <c r="K99" s="45"/>
      <c r="L99" s="45"/>
      <c r="M99" s="45"/>
      <c r="N99" s="45"/>
      <c r="O99" s="45"/>
      <c r="P99" s="45"/>
      <c r="Q99" s="45"/>
      <c r="S99" s="45"/>
      <c r="T99" s="45"/>
      <c r="U99" s="45"/>
      <c r="V99" s="45"/>
      <c r="W99" s="45"/>
      <c r="X99" s="45"/>
      <c r="Y99" s="45"/>
      <c r="Z99" s="45"/>
      <c r="AB99" s="45"/>
      <c r="AC99" s="45"/>
      <c r="AD99" s="45"/>
      <c r="AE99" s="45"/>
      <c r="AF99" s="45"/>
      <c r="AG99" s="45"/>
      <c r="AH99" s="45"/>
      <c r="AI99" s="45"/>
    </row>
    <row r="100" customFormat="false" ht="47.25" hidden="false" customHeight="true" outlineLevel="0" collapsed="false">
      <c r="A100" s="4" t="s">
        <v>97</v>
      </c>
      <c r="B100" s="4"/>
      <c r="C100" s="4"/>
      <c r="D100" s="4"/>
      <c r="E100" s="4"/>
      <c r="F100" s="4"/>
      <c r="G100" s="4"/>
      <c r="H100" s="4"/>
      <c r="J100" s="4" t="s">
        <v>95</v>
      </c>
      <c r="K100" s="4"/>
      <c r="L100" s="4"/>
      <c r="M100" s="4"/>
      <c r="N100" s="4"/>
      <c r="O100" s="4"/>
      <c r="P100" s="4"/>
      <c r="Q100" s="4"/>
      <c r="S100" s="4" t="s">
        <v>96</v>
      </c>
      <c r="T100" s="4"/>
      <c r="U100" s="4"/>
      <c r="V100" s="4"/>
      <c r="W100" s="4"/>
      <c r="X100" s="4"/>
      <c r="Y100" s="4"/>
      <c r="Z100" s="4"/>
      <c r="AB100" s="4" t="s">
        <v>97</v>
      </c>
      <c r="AC100" s="4"/>
      <c r="AD100" s="4"/>
      <c r="AE100" s="4"/>
      <c r="AF100" s="4"/>
      <c r="AG100" s="4"/>
      <c r="AH100" s="4"/>
      <c r="AI100" s="4"/>
    </row>
    <row r="101" customFormat="false" ht="17.35" hidden="false" customHeight="false" outlineLevel="0" collapsed="false">
      <c r="A101" s="48"/>
      <c r="B101" s="49"/>
      <c r="C101" s="49"/>
      <c r="D101" s="49"/>
      <c r="E101" s="93"/>
      <c r="F101" s="93"/>
      <c r="G101" s="93"/>
      <c r="H101" s="117"/>
      <c r="J101" s="48"/>
      <c r="K101" s="49"/>
      <c r="L101" s="49"/>
      <c r="M101" s="49"/>
      <c r="N101" s="93"/>
      <c r="O101" s="93"/>
      <c r="P101" s="93"/>
      <c r="Q101" s="117"/>
      <c r="S101" s="48"/>
      <c r="T101" s="49"/>
      <c r="U101" s="49"/>
      <c r="V101" s="49"/>
      <c r="W101" s="93"/>
      <c r="X101" s="93"/>
      <c r="Y101" s="93"/>
      <c r="Z101" s="117"/>
      <c r="AB101" s="48"/>
      <c r="AC101" s="49"/>
      <c r="AD101" s="49"/>
      <c r="AE101" s="49"/>
      <c r="AF101" s="93"/>
      <c r="AG101" s="93"/>
      <c r="AH101" s="93"/>
      <c r="AI101" s="117"/>
    </row>
    <row r="102" customFormat="false" ht="22.05" hidden="false" customHeight="false" outlineLevel="0" collapsed="false">
      <c r="A102" s="58" t="s">
        <v>26</v>
      </c>
      <c r="B102" s="58"/>
      <c r="C102" s="58"/>
      <c r="D102" s="58"/>
      <c r="E102" s="58"/>
      <c r="F102" s="58"/>
      <c r="G102" s="58"/>
      <c r="H102" s="58"/>
      <c r="J102" s="58" t="s">
        <v>26</v>
      </c>
      <c r="K102" s="58"/>
      <c r="L102" s="58"/>
      <c r="M102" s="58"/>
      <c r="N102" s="58"/>
      <c r="O102" s="58"/>
      <c r="P102" s="58"/>
      <c r="Q102" s="58"/>
      <c r="S102" s="58" t="s">
        <v>26</v>
      </c>
      <c r="T102" s="58"/>
      <c r="U102" s="58"/>
      <c r="V102" s="58"/>
      <c r="W102" s="58"/>
      <c r="X102" s="58"/>
      <c r="Y102" s="58"/>
      <c r="Z102" s="58"/>
      <c r="AB102" s="58" t="s">
        <v>26</v>
      </c>
      <c r="AC102" s="58"/>
      <c r="AD102" s="58"/>
      <c r="AE102" s="58"/>
      <c r="AF102" s="58"/>
      <c r="AG102" s="58"/>
      <c r="AH102" s="58"/>
      <c r="AI102" s="58"/>
    </row>
    <row r="103" customFormat="false" ht="17.35" hidden="false" customHeight="false" outlineLevel="0" collapsed="false">
      <c r="A103" s="55"/>
      <c r="B103" s="25"/>
      <c r="C103" s="25"/>
      <c r="D103" s="25"/>
      <c r="E103" s="94"/>
      <c r="F103" s="94"/>
      <c r="G103" s="94"/>
      <c r="H103" s="118"/>
      <c r="J103" s="55"/>
      <c r="K103" s="25"/>
      <c r="L103" s="25"/>
      <c r="M103" s="25"/>
      <c r="N103" s="94"/>
      <c r="O103" s="94"/>
      <c r="P103" s="94"/>
      <c r="Q103" s="118"/>
      <c r="S103" s="55"/>
      <c r="T103" s="25"/>
      <c r="U103" s="25"/>
      <c r="V103" s="25"/>
      <c r="W103" s="94"/>
      <c r="X103" s="94"/>
      <c r="Y103" s="94"/>
      <c r="Z103" s="118"/>
      <c r="AB103" s="55"/>
      <c r="AC103" s="25"/>
      <c r="AD103" s="25"/>
      <c r="AE103" s="25"/>
      <c r="AF103" s="94"/>
      <c r="AG103" s="94"/>
      <c r="AH103" s="94"/>
      <c r="AI103" s="118"/>
    </row>
    <row r="104" customFormat="false" ht="17.35" hidden="false" customHeight="false" outlineLevel="0" collapsed="false">
      <c r="A104" s="55" t="s">
        <v>98</v>
      </c>
      <c r="B104" s="25" t="s">
        <v>23</v>
      </c>
      <c r="C104" s="25"/>
      <c r="D104" s="25"/>
      <c r="E104" s="25" t="s">
        <v>22</v>
      </c>
      <c r="F104" s="25"/>
      <c r="G104" s="25"/>
      <c r="H104" s="20"/>
      <c r="J104" s="55" t="s">
        <v>98</v>
      </c>
      <c r="K104" s="25" t="s">
        <v>23</v>
      </c>
      <c r="L104" s="25"/>
      <c r="M104" s="25"/>
      <c r="N104" s="25" t="s">
        <v>22</v>
      </c>
      <c r="O104" s="25"/>
      <c r="P104" s="25"/>
      <c r="Q104" s="20"/>
      <c r="S104" s="55" t="s">
        <v>98</v>
      </c>
      <c r="T104" s="25" t="s">
        <v>23</v>
      </c>
      <c r="U104" s="25"/>
      <c r="V104" s="25"/>
      <c r="W104" s="25" t="s">
        <v>22</v>
      </c>
      <c r="X104" s="25"/>
      <c r="Y104" s="25"/>
      <c r="Z104" s="20"/>
      <c r="AB104" s="55" t="s">
        <v>98</v>
      </c>
      <c r="AC104" s="25" t="s">
        <v>23</v>
      </c>
      <c r="AD104" s="25"/>
      <c r="AE104" s="25"/>
      <c r="AF104" s="25" t="s">
        <v>22</v>
      </c>
      <c r="AG104" s="25"/>
      <c r="AH104" s="25"/>
      <c r="AI104" s="20"/>
    </row>
    <row r="105" customFormat="false" ht="17.35" hidden="false" customHeight="false" outlineLevel="0" collapsed="false">
      <c r="A105" s="51" t="s">
        <v>99</v>
      </c>
      <c r="B105" s="37" t="s">
        <v>100</v>
      </c>
      <c r="C105" s="37"/>
      <c r="D105" s="37"/>
      <c r="E105" s="60" t="s">
        <v>10</v>
      </c>
      <c r="F105" s="60"/>
      <c r="G105" s="60"/>
      <c r="H105" s="118"/>
      <c r="J105" s="51" t="s">
        <v>99</v>
      </c>
      <c r="K105" s="37" t="s">
        <v>100</v>
      </c>
      <c r="L105" s="37"/>
      <c r="M105" s="37"/>
      <c r="N105" s="60" t="s">
        <v>9</v>
      </c>
      <c r="O105" s="60"/>
      <c r="P105" s="60"/>
      <c r="Q105" s="118"/>
      <c r="S105" s="51" t="s">
        <v>99</v>
      </c>
      <c r="T105" s="37" t="s">
        <v>100</v>
      </c>
      <c r="U105" s="37"/>
      <c r="V105" s="37"/>
      <c r="W105" s="60" t="s">
        <v>9</v>
      </c>
      <c r="X105" s="60"/>
      <c r="Y105" s="60"/>
      <c r="Z105" s="118"/>
      <c r="AB105" s="51" t="s">
        <v>99</v>
      </c>
      <c r="AC105" s="37" t="s">
        <v>100</v>
      </c>
      <c r="AD105" s="37"/>
      <c r="AE105" s="37"/>
      <c r="AF105" s="60" t="s">
        <v>9</v>
      </c>
      <c r="AG105" s="60"/>
      <c r="AH105" s="60"/>
      <c r="AI105" s="118"/>
    </row>
    <row r="106" customFormat="false" ht="17.35" hidden="false" customHeight="false" outlineLevel="0" collapsed="false">
      <c r="A106" s="55"/>
      <c r="B106" s="25"/>
      <c r="C106" s="25"/>
      <c r="D106" s="94"/>
      <c r="E106" s="25"/>
      <c r="F106" s="25"/>
      <c r="G106" s="94"/>
      <c r="H106" s="20"/>
      <c r="J106" s="55"/>
      <c r="K106" s="25"/>
      <c r="L106" s="25"/>
      <c r="M106" s="94"/>
      <c r="N106" s="25"/>
      <c r="O106" s="25"/>
      <c r="P106" s="94"/>
      <c r="Q106" s="20"/>
      <c r="S106" s="55"/>
      <c r="T106" s="25"/>
      <c r="U106" s="25"/>
      <c r="V106" s="94"/>
      <c r="W106" s="25"/>
      <c r="X106" s="25"/>
      <c r="Y106" s="94"/>
      <c r="Z106" s="20"/>
      <c r="AB106" s="55"/>
      <c r="AC106" s="25"/>
      <c r="AD106" s="25"/>
      <c r="AE106" s="94"/>
      <c r="AF106" s="25"/>
      <c r="AG106" s="25"/>
      <c r="AH106" s="94"/>
      <c r="AI106" s="20"/>
    </row>
    <row r="107" customFormat="false" ht="17.35" hidden="false" customHeight="false" outlineLevel="0" collapsed="false">
      <c r="A107" s="55" t="s">
        <v>101</v>
      </c>
      <c r="B107" s="25" t="s">
        <v>102</v>
      </c>
      <c r="C107" s="25"/>
      <c r="D107" s="94"/>
      <c r="E107" s="25" t="s">
        <v>103</v>
      </c>
      <c r="F107" s="25"/>
      <c r="G107" s="94"/>
      <c r="H107" s="118"/>
      <c r="J107" s="55" t="s">
        <v>101</v>
      </c>
      <c r="K107" s="25" t="s">
        <v>102</v>
      </c>
      <c r="L107" s="25"/>
      <c r="M107" s="94"/>
      <c r="N107" s="25" t="s">
        <v>103</v>
      </c>
      <c r="O107" s="25"/>
      <c r="P107" s="94"/>
      <c r="Q107" s="118"/>
      <c r="S107" s="55" t="s">
        <v>101</v>
      </c>
      <c r="T107" s="25" t="s">
        <v>102</v>
      </c>
      <c r="U107" s="25"/>
      <c r="V107" s="94"/>
      <c r="W107" s="25" t="s">
        <v>103</v>
      </c>
      <c r="X107" s="25"/>
      <c r="Y107" s="94"/>
      <c r="Z107" s="118"/>
      <c r="AB107" s="55" t="s">
        <v>101</v>
      </c>
      <c r="AC107" s="25" t="s">
        <v>102</v>
      </c>
      <c r="AD107" s="25"/>
      <c r="AE107" s="94"/>
      <c r="AF107" s="25" t="s">
        <v>103</v>
      </c>
      <c r="AG107" s="25"/>
      <c r="AH107" s="94"/>
      <c r="AI107" s="118"/>
    </row>
    <row r="108" customFormat="false" ht="17.35" hidden="false" customHeight="false" outlineLevel="0" collapsed="false">
      <c r="A108" s="120" t="n">
        <v>0.2</v>
      </c>
      <c r="B108" s="72" t="s">
        <v>364</v>
      </c>
      <c r="C108" s="72"/>
      <c r="D108" s="72"/>
      <c r="E108" s="121" t="n">
        <f aca="false">B83</f>
        <v>0.115</v>
      </c>
      <c r="F108" s="121"/>
      <c r="G108" s="121"/>
      <c r="H108" s="65"/>
      <c r="J108" s="120" t="n">
        <v>0.3</v>
      </c>
      <c r="K108" s="72" t="s">
        <v>104</v>
      </c>
      <c r="L108" s="72"/>
      <c r="M108" s="72"/>
      <c r="N108" s="121" t="n">
        <f aca="false">K83</f>
        <v>0.24</v>
      </c>
      <c r="O108" s="121"/>
      <c r="P108" s="121"/>
      <c r="Q108" s="65"/>
      <c r="S108" s="120" t="n">
        <v>0.2</v>
      </c>
      <c r="T108" s="72" t="s">
        <v>105</v>
      </c>
      <c r="U108" s="72"/>
      <c r="V108" s="72"/>
      <c r="W108" s="121" t="n">
        <f aca="false">T83</f>
        <v>0.131</v>
      </c>
      <c r="X108" s="121"/>
      <c r="Y108" s="121"/>
      <c r="Z108" s="65"/>
      <c r="AB108" s="120" t="n">
        <v>0.2</v>
      </c>
      <c r="AC108" s="72" t="s">
        <v>105</v>
      </c>
      <c r="AD108" s="72"/>
      <c r="AE108" s="72"/>
      <c r="AF108" s="122" t="n">
        <f aca="false">AC83</f>
        <v>0.131</v>
      </c>
      <c r="AG108" s="122"/>
      <c r="AH108" s="122"/>
      <c r="AI108" s="65"/>
      <c r="AP108" s="1" t="s">
        <v>106</v>
      </c>
    </row>
    <row r="109" customFormat="false" ht="17.35" hidden="false" customHeight="false" outlineLevel="0" collapsed="false">
      <c r="A109" s="55"/>
      <c r="B109" s="25"/>
      <c r="C109" s="25"/>
      <c r="D109" s="25"/>
      <c r="E109" s="25"/>
      <c r="F109" s="25"/>
      <c r="G109" s="25"/>
      <c r="H109" s="20"/>
      <c r="J109" s="55"/>
      <c r="K109" s="25"/>
      <c r="L109" s="25"/>
      <c r="M109" s="25"/>
      <c r="N109" s="25"/>
      <c r="O109" s="25"/>
      <c r="P109" s="25"/>
      <c r="Q109" s="20"/>
      <c r="S109" s="55"/>
      <c r="T109" s="25"/>
      <c r="U109" s="25"/>
      <c r="V109" s="25"/>
      <c r="W109" s="25"/>
      <c r="X109" s="25"/>
      <c r="Y109" s="25"/>
      <c r="Z109" s="20"/>
      <c r="AB109" s="55"/>
      <c r="AC109" s="25"/>
      <c r="AD109" s="25"/>
      <c r="AE109" s="25"/>
      <c r="AF109" s="25"/>
      <c r="AG109" s="25"/>
      <c r="AH109" s="25"/>
      <c r="AI109" s="20"/>
      <c r="AP109" s="1" t="s">
        <v>104</v>
      </c>
    </row>
    <row r="110" customFormat="false" ht="17.35" hidden="false" customHeight="false" outlineLevel="0" collapsed="false">
      <c r="A110" s="55" t="s">
        <v>107</v>
      </c>
      <c r="B110" s="25" t="s">
        <v>108</v>
      </c>
      <c r="C110" s="25"/>
      <c r="D110" s="25"/>
      <c r="E110" s="25" t="s">
        <v>109</v>
      </c>
      <c r="F110" s="25"/>
      <c r="G110" s="25"/>
      <c r="H110" s="20"/>
      <c r="J110" s="55" t="s">
        <v>107</v>
      </c>
      <c r="K110" s="25" t="s">
        <v>108</v>
      </c>
      <c r="L110" s="25"/>
      <c r="M110" s="25"/>
      <c r="N110" s="25" t="s">
        <v>109</v>
      </c>
      <c r="O110" s="25"/>
      <c r="P110" s="25"/>
      <c r="Q110" s="20"/>
      <c r="S110" s="55" t="s">
        <v>107</v>
      </c>
      <c r="T110" s="25" t="s">
        <v>108</v>
      </c>
      <c r="U110" s="25"/>
      <c r="V110" s="25"/>
      <c r="W110" s="25" t="s">
        <v>109</v>
      </c>
      <c r="X110" s="25"/>
      <c r="Y110" s="25"/>
      <c r="Z110" s="20"/>
      <c r="AB110" s="55" t="s">
        <v>107</v>
      </c>
      <c r="AC110" s="25" t="s">
        <v>108</v>
      </c>
      <c r="AD110" s="25"/>
      <c r="AE110" s="25"/>
      <c r="AF110" s="25" t="s">
        <v>109</v>
      </c>
      <c r="AG110" s="25"/>
      <c r="AH110" s="25"/>
      <c r="AI110" s="20"/>
    </row>
    <row r="111" customFormat="false" ht="17.35" hidden="false" customHeight="false" outlineLevel="0" collapsed="false">
      <c r="A111" s="52" t="s">
        <v>9</v>
      </c>
      <c r="B111" s="72" t="n">
        <v>1000</v>
      </c>
      <c r="C111" s="72"/>
      <c r="D111" s="72"/>
      <c r="E111" s="72" t="n">
        <v>1000</v>
      </c>
      <c r="F111" s="72"/>
      <c r="G111" s="72"/>
      <c r="H111" s="118"/>
      <c r="J111" s="52" t="s">
        <v>10</v>
      </c>
      <c r="K111" s="72" t="n">
        <v>1000</v>
      </c>
      <c r="L111" s="72"/>
      <c r="M111" s="72"/>
      <c r="N111" s="72" t="n">
        <v>0</v>
      </c>
      <c r="O111" s="72"/>
      <c r="P111" s="72"/>
      <c r="Q111" s="118"/>
      <c r="S111" s="52" t="s">
        <v>9</v>
      </c>
      <c r="T111" s="72" t="n">
        <v>1000</v>
      </c>
      <c r="U111" s="72"/>
      <c r="V111" s="72"/>
      <c r="W111" s="72" t="n">
        <v>0</v>
      </c>
      <c r="X111" s="72"/>
      <c r="Y111" s="72"/>
      <c r="Z111" s="118"/>
      <c r="AB111" s="52" t="s">
        <v>9</v>
      </c>
      <c r="AC111" s="72" t="n">
        <v>1000</v>
      </c>
      <c r="AD111" s="72"/>
      <c r="AE111" s="72"/>
      <c r="AF111" s="72" t="n">
        <v>0</v>
      </c>
      <c r="AG111" s="72"/>
      <c r="AH111" s="72"/>
      <c r="AI111" s="118"/>
    </row>
    <row r="112" customFormat="false" ht="17.35" hidden="false" customHeight="false" outlineLevel="0" collapsed="false">
      <c r="A112" s="55"/>
      <c r="B112" s="25"/>
      <c r="C112" s="25"/>
      <c r="D112" s="25"/>
      <c r="E112" s="25"/>
      <c r="F112" s="25"/>
      <c r="G112" s="94"/>
      <c r="H112" s="118"/>
      <c r="J112" s="55"/>
      <c r="K112" s="25"/>
      <c r="L112" s="25"/>
      <c r="M112" s="25"/>
      <c r="N112" s="25"/>
      <c r="O112" s="25"/>
      <c r="P112" s="94"/>
      <c r="Q112" s="118"/>
      <c r="S112" s="55"/>
      <c r="T112" s="25"/>
      <c r="U112" s="25"/>
      <c r="V112" s="25"/>
      <c r="W112" s="25"/>
      <c r="X112" s="25"/>
      <c r="Y112" s="94"/>
      <c r="Z112" s="118"/>
      <c r="AB112" s="55"/>
      <c r="AC112" s="25"/>
      <c r="AD112" s="25"/>
      <c r="AE112" s="25"/>
      <c r="AF112" s="25"/>
      <c r="AG112" s="25"/>
      <c r="AH112" s="94"/>
      <c r="AI112" s="118"/>
    </row>
    <row r="113" customFormat="false" ht="17.35" hidden="false" customHeight="false" outlineLevel="0" collapsed="false">
      <c r="A113" s="123" t="s">
        <v>110</v>
      </c>
      <c r="B113" s="25" t="s">
        <v>111</v>
      </c>
      <c r="C113" s="25"/>
      <c r="D113" s="25"/>
      <c r="E113" s="25" t="s">
        <v>112</v>
      </c>
      <c r="F113" s="25"/>
      <c r="G113" s="94"/>
      <c r="H113" s="118"/>
      <c r="J113" s="123" t="s">
        <v>110</v>
      </c>
      <c r="K113" s="25" t="s">
        <v>111</v>
      </c>
      <c r="L113" s="25"/>
      <c r="M113" s="25"/>
      <c r="N113" s="25" t="s">
        <v>112</v>
      </c>
      <c r="O113" s="25"/>
      <c r="P113" s="94"/>
      <c r="Q113" s="118"/>
      <c r="S113" s="123" t="s">
        <v>110</v>
      </c>
      <c r="T113" s="25" t="s">
        <v>111</v>
      </c>
      <c r="U113" s="25"/>
      <c r="V113" s="25"/>
      <c r="W113" s="25" t="s">
        <v>112</v>
      </c>
      <c r="X113" s="25"/>
      <c r="Y113" s="94"/>
      <c r="Z113" s="118"/>
      <c r="AB113" s="123" t="s">
        <v>110</v>
      </c>
      <c r="AC113" s="25" t="s">
        <v>111</v>
      </c>
      <c r="AD113" s="25"/>
      <c r="AE113" s="25"/>
      <c r="AF113" s="25" t="s">
        <v>112</v>
      </c>
      <c r="AG113" s="25"/>
      <c r="AH113" s="94"/>
      <c r="AI113" s="118"/>
    </row>
    <row r="114" customFormat="false" ht="17.35" hidden="false" customHeight="false" outlineLevel="0" collapsed="false">
      <c r="A114" s="70" t="n">
        <f aca="false">B111+E111</f>
        <v>2000</v>
      </c>
      <c r="B114" s="72" t="s">
        <v>113</v>
      </c>
      <c r="C114" s="72"/>
      <c r="D114" s="72"/>
      <c r="E114" s="72" t="n">
        <v>0</v>
      </c>
      <c r="F114" s="72"/>
      <c r="G114" s="72"/>
      <c r="H114" s="118"/>
      <c r="J114" s="70" t="n">
        <f aca="false">K111+N111</f>
        <v>1000</v>
      </c>
      <c r="K114" s="72" t="n">
        <v>239.99</v>
      </c>
      <c r="L114" s="72"/>
      <c r="M114" s="72"/>
      <c r="N114" s="72" t="n">
        <v>0</v>
      </c>
      <c r="O114" s="72"/>
      <c r="P114" s="72"/>
      <c r="Q114" s="118"/>
      <c r="S114" s="70" t="n">
        <f aca="false">T111+W111</f>
        <v>1000</v>
      </c>
      <c r="T114" s="72" t="n">
        <v>199.99</v>
      </c>
      <c r="U114" s="72"/>
      <c r="V114" s="72"/>
      <c r="W114" s="72" t="n">
        <v>0</v>
      </c>
      <c r="X114" s="72"/>
      <c r="Y114" s="72"/>
      <c r="Z114" s="118"/>
      <c r="AB114" s="70" t="n">
        <f aca="false">AC111+AF111</f>
        <v>1000</v>
      </c>
      <c r="AC114" s="72" t="n">
        <v>239.99</v>
      </c>
      <c r="AD114" s="72"/>
      <c r="AE114" s="72"/>
      <c r="AF114" s="72" t="n">
        <v>0</v>
      </c>
      <c r="AG114" s="72"/>
      <c r="AH114" s="72"/>
      <c r="AI114" s="118"/>
    </row>
    <row r="115" customFormat="false" ht="13.8" hidden="false" customHeight="false" outlineLevel="0" collapsed="false">
      <c r="A115" s="124"/>
      <c r="B115" s="94"/>
      <c r="C115" s="94"/>
      <c r="D115" s="94"/>
      <c r="E115" s="94"/>
      <c r="F115" s="94"/>
      <c r="G115" s="94"/>
      <c r="H115" s="118"/>
      <c r="J115" s="124"/>
      <c r="K115" s="94"/>
      <c r="L115" s="94"/>
      <c r="M115" s="94"/>
      <c r="N115" s="94"/>
      <c r="O115" s="94"/>
      <c r="P115" s="94"/>
      <c r="Q115" s="118"/>
      <c r="S115" s="124"/>
      <c r="T115" s="94"/>
      <c r="U115" s="94"/>
      <c r="V115" s="94"/>
      <c r="W115" s="94"/>
      <c r="X115" s="94"/>
      <c r="Y115" s="94"/>
      <c r="Z115" s="118"/>
      <c r="AB115" s="124"/>
      <c r="AC115" s="94"/>
      <c r="AD115" s="94"/>
      <c r="AE115" s="94"/>
      <c r="AF115" s="94"/>
      <c r="AG115" s="94"/>
      <c r="AH115" s="94"/>
      <c r="AI115" s="118"/>
    </row>
    <row r="116" customFormat="false" ht="13.8" hidden="false" customHeight="false" outlineLevel="0" collapsed="false">
      <c r="A116" s="124"/>
      <c r="B116" s="94"/>
      <c r="C116" s="94"/>
      <c r="D116" s="94"/>
      <c r="E116" s="94"/>
      <c r="F116" s="94"/>
      <c r="G116" s="94"/>
      <c r="H116" s="118"/>
      <c r="J116" s="124"/>
      <c r="K116" s="94"/>
      <c r="L116" s="94"/>
      <c r="M116" s="94"/>
      <c r="N116" s="94"/>
      <c r="O116" s="94"/>
      <c r="P116" s="94"/>
      <c r="Q116" s="118"/>
      <c r="S116" s="124"/>
      <c r="T116" s="94"/>
      <c r="U116" s="94"/>
      <c r="V116" s="94"/>
      <c r="W116" s="94"/>
      <c r="X116" s="94"/>
      <c r="Y116" s="94"/>
      <c r="Z116" s="118"/>
      <c r="AB116" s="124"/>
      <c r="AC116" s="94"/>
      <c r="AD116" s="94"/>
      <c r="AE116" s="94"/>
      <c r="AF116" s="94"/>
      <c r="AG116" s="94"/>
      <c r="AH116" s="94"/>
      <c r="AI116" s="118"/>
    </row>
    <row r="117" customFormat="false" ht="22.05" hidden="false" customHeight="false" outlineLevel="0" collapsed="false">
      <c r="A117" s="58" t="s">
        <v>114</v>
      </c>
      <c r="B117" s="58"/>
      <c r="C117" s="58"/>
      <c r="D117" s="58"/>
      <c r="E117" s="58"/>
      <c r="F117" s="58"/>
      <c r="G117" s="58"/>
      <c r="H117" s="58"/>
      <c r="J117" s="58" t="s">
        <v>114</v>
      </c>
      <c r="K117" s="58"/>
      <c r="L117" s="58"/>
      <c r="M117" s="58"/>
      <c r="N117" s="58"/>
      <c r="O117" s="58"/>
      <c r="P117" s="58"/>
      <c r="Q117" s="58"/>
      <c r="S117" s="58" t="s">
        <v>114</v>
      </c>
      <c r="T117" s="58"/>
      <c r="U117" s="58"/>
      <c r="V117" s="58"/>
      <c r="W117" s="58"/>
      <c r="X117" s="58"/>
      <c r="Y117" s="58"/>
      <c r="Z117" s="58"/>
      <c r="AB117" s="58" t="s">
        <v>114</v>
      </c>
      <c r="AC117" s="58"/>
      <c r="AD117" s="58"/>
      <c r="AE117" s="58"/>
      <c r="AF117" s="58"/>
      <c r="AG117" s="58"/>
      <c r="AH117" s="58"/>
      <c r="AI117" s="58"/>
    </row>
    <row r="118" customFormat="false" ht="13.8" hidden="false" customHeight="false" outlineLevel="0" collapsed="false">
      <c r="A118" s="124"/>
      <c r="B118" s="94"/>
      <c r="C118" s="94"/>
      <c r="D118" s="94"/>
      <c r="E118" s="94"/>
      <c r="F118" s="94"/>
      <c r="G118" s="94"/>
      <c r="H118" s="118"/>
      <c r="J118" s="124"/>
      <c r="K118" s="94"/>
      <c r="L118" s="94"/>
      <c r="M118" s="94"/>
      <c r="N118" s="94"/>
      <c r="O118" s="94"/>
      <c r="P118" s="94"/>
      <c r="Q118" s="118"/>
      <c r="S118" s="124"/>
      <c r="T118" s="94"/>
      <c r="U118" s="94"/>
      <c r="V118" s="94"/>
      <c r="W118" s="94"/>
      <c r="X118" s="94"/>
      <c r="Y118" s="94"/>
      <c r="Z118" s="118"/>
      <c r="AB118" s="124"/>
      <c r="AC118" s="94"/>
      <c r="AD118" s="94"/>
      <c r="AE118" s="94"/>
      <c r="AF118" s="94"/>
      <c r="AG118" s="94"/>
      <c r="AH118" s="94"/>
      <c r="AI118" s="118"/>
    </row>
    <row r="119" customFormat="false" ht="19.7" hidden="false" customHeight="false" outlineLevel="0" collapsed="false">
      <c r="A119" s="97"/>
      <c r="B119" s="125" t="s">
        <v>115</v>
      </c>
      <c r="C119" s="125"/>
      <c r="D119" s="125" t="s">
        <v>116</v>
      </c>
      <c r="E119" s="125"/>
      <c r="F119" s="125" t="s">
        <v>117</v>
      </c>
      <c r="G119" s="125"/>
      <c r="H119" s="126" t="s">
        <v>118</v>
      </c>
      <c r="J119" s="97"/>
      <c r="K119" s="125" t="s">
        <v>115</v>
      </c>
      <c r="L119" s="125"/>
      <c r="M119" s="125" t="s">
        <v>116</v>
      </c>
      <c r="N119" s="125"/>
      <c r="O119" s="125" t="s">
        <v>117</v>
      </c>
      <c r="P119" s="125"/>
      <c r="Q119" s="126" t="s">
        <v>118</v>
      </c>
      <c r="S119" s="97"/>
      <c r="T119" s="125" t="s">
        <v>115</v>
      </c>
      <c r="U119" s="125"/>
      <c r="V119" s="125" t="s">
        <v>116</v>
      </c>
      <c r="W119" s="125"/>
      <c r="X119" s="125" t="s">
        <v>117</v>
      </c>
      <c r="Y119" s="125"/>
      <c r="Z119" s="126" t="s">
        <v>118</v>
      </c>
      <c r="AB119" s="97"/>
      <c r="AC119" s="125" t="s">
        <v>115</v>
      </c>
      <c r="AD119" s="125"/>
      <c r="AE119" s="125" t="s">
        <v>116</v>
      </c>
      <c r="AF119" s="125"/>
      <c r="AG119" s="125" t="s">
        <v>117</v>
      </c>
      <c r="AH119" s="125"/>
      <c r="AI119" s="126" t="s">
        <v>118</v>
      </c>
    </row>
    <row r="120" customFormat="false" ht="19.7" hidden="false" customHeight="false" outlineLevel="0" collapsed="false">
      <c r="A120" s="99"/>
      <c r="B120" s="127" t="s">
        <v>119</v>
      </c>
      <c r="C120" s="128" t="s">
        <v>120</v>
      </c>
      <c r="D120" s="127" t="s">
        <v>119</v>
      </c>
      <c r="E120" s="129" t="s">
        <v>120</v>
      </c>
      <c r="F120" s="127" t="s">
        <v>119</v>
      </c>
      <c r="G120" s="129" t="s">
        <v>120</v>
      </c>
      <c r="H120" s="130"/>
      <c r="J120" s="99"/>
      <c r="K120" s="127" t="s">
        <v>119</v>
      </c>
      <c r="L120" s="128" t="s">
        <v>120</v>
      </c>
      <c r="M120" s="127" t="s">
        <v>119</v>
      </c>
      <c r="N120" s="129" t="s">
        <v>120</v>
      </c>
      <c r="O120" s="127" t="s">
        <v>119</v>
      </c>
      <c r="P120" s="129" t="s">
        <v>120</v>
      </c>
      <c r="Q120" s="130"/>
      <c r="S120" s="99"/>
      <c r="T120" s="127" t="s">
        <v>119</v>
      </c>
      <c r="U120" s="128" t="s">
        <v>120</v>
      </c>
      <c r="V120" s="127" t="s">
        <v>119</v>
      </c>
      <c r="W120" s="129" t="s">
        <v>120</v>
      </c>
      <c r="X120" s="127" t="s">
        <v>119</v>
      </c>
      <c r="Y120" s="129" t="s">
        <v>120</v>
      </c>
      <c r="Z120" s="130"/>
      <c r="AB120" s="99"/>
      <c r="AC120" s="127" t="s">
        <v>119</v>
      </c>
      <c r="AD120" s="128" t="s">
        <v>120</v>
      </c>
      <c r="AE120" s="127" t="s">
        <v>119</v>
      </c>
      <c r="AF120" s="129" t="s">
        <v>120</v>
      </c>
      <c r="AG120" s="127" t="s">
        <v>119</v>
      </c>
      <c r="AH120" s="129" t="s">
        <v>120</v>
      </c>
      <c r="AI120" s="130"/>
    </row>
    <row r="121" customFormat="false" ht="17.35" hidden="false" customHeight="false" outlineLevel="0" collapsed="false">
      <c r="A121" s="48" t="s">
        <v>121</v>
      </c>
      <c r="B121" s="131" t="n">
        <f aca="false">B3</f>
        <v>46854.17</v>
      </c>
      <c r="C121" s="132" t="n">
        <f aca="false">B121</f>
        <v>46854.17</v>
      </c>
      <c r="D121" s="131" t="n">
        <f aca="false">D3</f>
        <v>0</v>
      </c>
      <c r="E121" s="132" t="n">
        <f aca="false">D121</f>
        <v>0</v>
      </c>
      <c r="F121" s="131" t="n">
        <f aca="false">F3</f>
        <v>833.33</v>
      </c>
      <c r="G121" s="132" t="n">
        <f aca="false">F121</f>
        <v>833.33</v>
      </c>
      <c r="H121" s="133" t="n">
        <f aca="false">H3</f>
        <v>0</v>
      </c>
      <c r="J121" s="48" t="s">
        <v>121</v>
      </c>
      <c r="K121" s="131" t="n">
        <f aca="false">B3</f>
        <v>46854.17</v>
      </c>
      <c r="L121" s="132" t="n">
        <v>28629.17</v>
      </c>
      <c r="M121" s="131" t="n">
        <f aca="false">D3</f>
        <v>0</v>
      </c>
      <c r="N121" s="132" t="n">
        <f aca="false">M121</f>
        <v>0</v>
      </c>
      <c r="O121" s="131" t="n">
        <f aca="false">F3</f>
        <v>833.33</v>
      </c>
      <c r="P121" s="132" t="n">
        <f aca="false">O121</f>
        <v>833.33</v>
      </c>
      <c r="Q121" s="133" t="n">
        <f aca="false">H3</f>
        <v>0</v>
      </c>
      <c r="S121" s="48" t="s">
        <v>121</v>
      </c>
      <c r="T121" s="131" t="n">
        <f aca="false">B3</f>
        <v>46854.17</v>
      </c>
      <c r="U121" s="132" t="n">
        <f aca="false">T121</f>
        <v>46854.17</v>
      </c>
      <c r="V121" s="131" t="n">
        <f aca="false">D3</f>
        <v>0</v>
      </c>
      <c r="W121" s="132" t="n">
        <f aca="false">V121</f>
        <v>0</v>
      </c>
      <c r="X121" s="131" t="n">
        <f aca="false">F3</f>
        <v>833.33</v>
      </c>
      <c r="Y121" s="132" t="n">
        <f aca="false">X121</f>
        <v>833.33</v>
      </c>
      <c r="Z121" s="133" t="n">
        <f aca="false">H3</f>
        <v>0</v>
      </c>
      <c r="AB121" s="48" t="s">
        <v>121</v>
      </c>
      <c r="AC121" s="131" t="n">
        <f aca="false">B3</f>
        <v>46854.17</v>
      </c>
      <c r="AD121" s="132" t="n">
        <f aca="false">AC121</f>
        <v>46854.17</v>
      </c>
      <c r="AE121" s="131" t="n">
        <f aca="false">D3</f>
        <v>0</v>
      </c>
      <c r="AF121" s="132" t="n">
        <f aca="false">AE121</f>
        <v>0</v>
      </c>
      <c r="AG121" s="131" t="n">
        <f aca="false">F3</f>
        <v>833.33</v>
      </c>
      <c r="AH121" s="132" t="n">
        <f aca="false">AG121</f>
        <v>833.33</v>
      </c>
      <c r="AI121" s="133" t="n">
        <f aca="false">H3</f>
        <v>0</v>
      </c>
    </row>
    <row r="122" customFormat="false" ht="17.35" hidden="false" customHeight="false" outlineLevel="0" collapsed="false">
      <c r="A122" s="55" t="s">
        <v>122</v>
      </c>
      <c r="B122" s="134" t="n">
        <f aca="false">B4</f>
        <v>0</v>
      </c>
      <c r="C122" s="17" t="n">
        <v>0</v>
      </c>
      <c r="D122" s="134" t="n">
        <f aca="false">D4</f>
        <v>0</v>
      </c>
      <c r="E122" s="17" t="n">
        <v>0</v>
      </c>
      <c r="F122" s="134" t="n">
        <f aca="false">F4</f>
        <v>0</v>
      </c>
      <c r="G122" s="135" t="n">
        <v>0</v>
      </c>
      <c r="H122" s="18"/>
      <c r="J122" s="55" t="s">
        <v>122</v>
      </c>
      <c r="K122" s="134" t="n">
        <f aca="false">B4</f>
        <v>0</v>
      </c>
      <c r="L122" s="17" t="n">
        <v>0</v>
      </c>
      <c r="M122" s="134" t="n">
        <f aca="false">D4</f>
        <v>0</v>
      </c>
      <c r="N122" s="17" t="n">
        <f aca="false">M122</f>
        <v>0</v>
      </c>
      <c r="O122" s="134" t="n">
        <f aca="false">F4</f>
        <v>0</v>
      </c>
      <c r="P122" s="135" t="n">
        <f aca="false">O122</f>
        <v>0</v>
      </c>
      <c r="Q122" s="18"/>
      <c r="S122" s="55" t="s">
        <v>122</v>
      </c>
      <c r="T122" s="134" t="n">
        <f aca="false">B4</f>
        <v>0</v>
      </c>
      <c r="U122" s="17" t="n">
        <v>0.25</v>
      </c>
      <c r="V122" s="134" t="n">
        <f aca="false">D4</f>
        <v>0</v>
      </c>
      <c r="W122" s="17" t="n">
        <f aca="false">V122</f>
        <v>0</v>
      </c>
      <c r="X122" s="134" t="n">
        <f aca="false">F4</f>
        <v>0</v>
      </c>
      <c r="Y122" s="135" t="n">
        <f aca="false">X122</f>
        <v>0</v>
      </c>
      <c r="Z122" s="18"/>
      <c r="AB122" s="55" t="s">
        <v>122</v>
      </c>
      <c r="AC122" s="134" t="n">
        <f aca="false">B4</f>
        <v>0</v>
      </c>
      <c r="AD122" s="17" t="n">
        <v>0.25</v>
      </c>
      <c r="AE122" s="134" t="n">
        <f aca="false">D4</f>
        <v>0</v>
      </c>
      <c r="AF122" s="17" t="n">
        <f aca="false">AE122</f>
        <v>0</v>
      </c>
      <c r="AG122" s="134" t="n">
        <f aca="false">F4</f>
        <v>0</v>
      </c>
      <c r="AH122" s="135" t="n">
        <f aca="false">AG122</f>
        <v>0</v>
      </c>
      <c r="AI122" s="18"/>
    </row>
    <row r="123" customFormat="false" ht="17.35" hidden="false" customHeight="false" outlineLevel="0" collapsed="false">
      <c r="A123" s="55" t="s">
        <v>123</v>
      </c>
      <c r="B123" s="136" t="n">
        <f aca="false">B5</f>
        <v>0</v>
      </c>
      <c r="C123" s="132" t="n">
        <v>-9754.17</v>
      </c>
      <c r="D123" s="136" t="n">
        <f aca="false">D5</f>
        <v>0</v>
      </c>
      <c r="E123" s="132" t="n">
        <v>0</v>
      </c>
      <c r="F123" s="136" t="n">
        <f aca="false">F5</f>
        <v>0</v>
      </c>
      <c r="G123" s="132" t="n">
        <v>0</v>
      </c>
      <c r="H123" s="20"/>
      <c r="J123" s="55" t="s">
        <v>123</v>
      </c>
      <c r="K123" s="136" t="n">
        <f aca="false">B5</f>
        <v>0</v>
      </c>
      <c r="L123" s="132" t="n">
        <v>0</v>
      </c>
      <c r="M123" s="136" t="n">
        <f aca="false">D5</f>
        <v>0</v>
      </c>
      <c r="N123" s="132" t="n">
        <f aca="false">M123</f>
        <v>0</v>
      </c>
      <c r="O123" s="136" t="n">
        <f aca="false">F5</f>
        <v>0</v>
      </c>
      <c r="P123" s="132" t="n">
        <f aca="false">O123</f>
        <v>0</v>
      </c>
      <c r="Q123" s="20"/>
      <c r="S123" s="55" t="s">
        <v>123</v>
      </c>
      <c r="T123" s="136" t="n">
        <f aca="false">B5</f>
        <v>0</v>
      </c>
      <c r="U123" s="132" t="n">
        <v>0</v>
      </c>
      <c r="V123" s="136" t="n">
        <f aca="false">D5</f>
        <v>0</v>
      </c>
      <c r="W123" s="132" t="n">
        <f aca="false">V123</f>
        <v>0</v>
      </c>
      <c r="X123" s="136" t="n">
        <f aca="false">F5</f>
        <v>0</v>
      </c>
      <c r="Y123" s="132" t="n">
        <f aca="false">X123</f>
        <v>0</v>
      </c>
      <c r="Z123" s="20"/>
      <c r="AB123" s="55" t="s">
        <v>123</v>
      </c>
      <c r="AC123" s="136" t="n">
        <f aca="false">B5</f>
        <v>0</v>
      </c>
      <c r="AD123" s="132" t="n">
        <v>0</v>
      </c>
      <c r="AE123" s="136" t="n">
        <f aca="false">D5</f>
        <v>0</v>
      </c>
      <c r="AF123" s="132" t="n">
        <f aca="false">AE123</f>
        <v>0</v>
      </c>
      <c r="AG123" s="136" t="n">
        <f aca="false">F5</f>
        <v>0</v>
      </c>
      <c r="AH123" s="132" t="n">
        <f aca="false">AG123</f>
        <v>0</v>
      </c>
      <c r="AI123" s="20"/>
    </row>
    <row r="124" customFormat="false" ht="17.35" hidden="false" customHeight="false" outlineLevel="0" collapsed="false">
      <c r="A124" s="55" t="s">
        <v>124</v>
      </c>
      <c r="B124" s="136" t="n">
        <f aca="false">(B121*B122)+B123</f>
        <v>0</v>
      </c>
      <c r="C124" s="137" t="n">
        <f aca="false">(C121*C122/100)+C123</f>
        <v>-9754.17</v>
      </c>
      <c r="D124" s="136" t="n">
        <f aca="false">(D121*D122)+D123</f>
        <v>0</v>
      </c>
      <c r="E124" s="137" t="n">
        <f aca="false">(E121*E122/100)+E123</f>
        <v>0</v>
      </c>
      <c r="F124" s="136" t="n">
        <f aca="false">(F121*F122)+F123</f>
        <v>0</v>
      </c>
      <c r="G124" s="137" t="n">
        <f aca="false">(G121*G122/100)+G123</f>
        <v>0</v>
      </c>
      <c r="H124" s="20"/>
      <c r="J124" s="55" t="s">
        <v>124</v>
      </c>
      <c r="K124" s="136" t="n">
        <f aca="false">(K121*K122)+K123</f>
        <v>0</v>
      </c>
      <c r="L124" s="137" t="n">
        <f aca="false">(L121*L122)+L123</f>
        <v>0</v>
      </c>
      <c r="M124" s="136" t="n">
        <f aca="false">(M121*M122)+M123</f>
        <v>0</v>
      </c>
      <c r="N124" s="137" t="n">
        <f aca="false">(N121*N122)+N123</f>
        <v>0</v>
      </c>
      <c r="O124" s="136" t="n">
        <f aca="false">(O121*O122)+O123</f>
        <v>0</v>
      </c>
      <c r="P124" s="137" t="n">
        <f aca="false">(P121*P122)+P123</f>
        <v>0</v>
      </c>
      <c r="Q124" s="20"/>
      <c r="S124" s="55" t="s">
        <v>124</v>
      </c>
      <c r="T124" s="136" t="n">
        <f aca="false">(T121*T122)+T123</f>
        <v>0</v>
      </c>
      <c r="U124" s="137" t="n">
        <f aca="false">(U121*U122/100)+U123</f>
        <v>117.135425</v>
      </c>
      <c r="V124" s="136" t="n">
        <f aca="false">(V121*V122)+V123</f>
        <v>0</v>
      </c>
      <c r="W124" s="137" t="n">
        <f aca="false">(W121*W122/100)+W123</f>
        <v>0</v>
      </c>
      <c r="X124" s="136" t="n">
        <f aca="false">(X121*X122)+X123</f>
        <v>0</v>
      </c>
      <c r="Y124" s="137" t="n">
        <f aca="false">(Y121*Y122/100)+Y123</f>
        <v>0</v>
      </c>
      <c r="Z124" s="20"/>
      <c r="AB124" s="55" t="s">
        <v>124</v>
      </c>
      <c r="AC124" s="136" t="n">
        <f aca="false">(AC121*AC122)+AC123</f>
        <v>0</v>
      </c>
      <c r="AD124" s="137" t="n">
        <f aca="false">(AD121*AD122)+AD123</f>
        <v>11713.5425</v>
      </c>
      <c r="AE124" s="136" t="n">
        <f aca="false">(AE121*AE122)+AE123</f>
        <v>0</v>
      </c>
      <c r="AF124" s="137" t="n">
        <f aca="false">(AF121*AF122)+AF123</f>
        <v>0</v>
      </c>
      <c r="AG124" s="136" t="n">
        <f aca="false">(AG121*AG122)+AG123</f>
        <v>0</v>
      </c>
      <c r="AH124" s="137" t="n">
        <f aca="false">(AH121*AH122)+AH123</f>
        <v>0</v>
      </c>
      <c r="AI124" s="20"/>
    </row>
    <row r="125" customFormat="false" ht="17.35" hidden="false" customHeight="false" outlineLevel="0" collapsed="false">
      <c r="A125" s="74" t="s">
        <v>125</v>
      </c>
      <c r="B125" s="138" t="n">
        <f aca="false">B121-B124</f>
        <v>46854.17</v>
      </c>
      <c r="C125" s="139" t="n">
        <f aca="false">C121-C124</f>
        <v>56608.34</v>
      </c>
      <c r="D125" s="138" t="n">
        <f aca="false">D121-D124</f>
        <v>0</v>
      </c>
      <c r="E125" s="139" t="n">
        <f aca="false">E121-E124</f>
        <v>0</v>
      </c>
      <c r="F125" s="138" t="n">
        <f aca="false">F121-F124</f>
        <v>833.33</v>
      </c>
      <c r="G125" s="139" t="n">
        <f aca="false">G121-G124</f>
        <v>833.33</v>
      </c>
      <c r="H125" s="82"/>
      <c r="J125" s="74" t="s">
        <v>125</v>
      </c>
      <c r="K125" s="138" t="n">
        <f aca="false">K121-K124</f>
        <v>46854.17</v>
      </c>
      <c r="L125" s="139" t="n">
        <f aca="false">L121-L124</f>
        <v>28629.17</v>
      </c>
      <c r="M125" s="138" t="n">
        <f aca="false">M121-M124</f>
        <v>0</v>
      </c>
      <c r="N125" s="139" t="n">
        <f aca="false">N121-N124</f>
        <v>0</v>
      </c>
      <c r="O125" s="138" t="n">
        <f aca="false">O121-O124</f>
        <v>833.33</v>
      </c>
      <c r="P125" s="139" t="n">
        <f aca="false">P121-P124</f>
        <v>833.33</v>
      </c>
      <c r="Q125" s="82"/>
      <c r="S125" s="74" t="s">
        <v>125</v>
      </c>
      <c r="T125" s="138" t="n">
        <f aca="false">T121-T124</f>
        <v>46854.17</v>
      </c>
      <c r="U125" s="139" t="n">
        <f aca="false">U121-U124</f>
        <v>46737.034575</v>
      </c>
      <c r="V125" s="138" t="n">
        <f aca="false">V121-V124</f>
        <v>0</v>
      </c>
      <c r="W125" s="139" t="n">
        <f aca="false">W121-W124</f>
        <v>0</v>
      </c>
      <c r="X125" s="138" t="n">
        <f aca="false">X121-X124</f>
        <v>833.33</v>
      </c>
      <c r="Y125" s="139" t="n">
        <f aca="false">Y121-Y124</f>
        <v>833.33</v>
      </c>
      <c r="Z125" s="82"/>
      <c r="AB125" s="74" t="s">
        <v>125</v>
      </c>
      <c r="AC125" s="138" t="n">
        <f aca="false">AC121-AC124</f>
        <v>46854.17</v>
      </c>
      <c r="AD125" s="139" t="n">
        <f aca="false">AD121-AD124</f>
        <v>35140.6275</v>
      </c>
      <c r="AE125" s="138" t="n">
        <f aca="false">AE121-AE124</f>
        <v>0</v>
      </c>
      <c r="AF125" s="139" t="n">
        <f aca="false">AF121-AF124</f>
        <v>0</v>
      </c>
      <c r="AG125" s="138" t="n">
        <f aca="false">AG121-AG124</f>
        <v>833.33</v>
      </c>
      <c r="AH125" s="139" t="n">
        <f aca="false">AH121-AH124</f>
        <v>833.33</v>
      </c>
      <c r="AI125" s="82"/>
    </row>
    <row r="126" customFormat="false" ht="17.35" hidden="false" customHeight="false" outlineLevel="0" collapsed="false">
      <c r="A126" s="55"/>
      <c r="B126" s="25"/>
      <c r="C126" s="25"/>
      <c r="D126" s="25"/>
      <c r="E126" s="25"/>
      <c r="F126" s="25"/>
      <c r="G126" s="25"/>
      <c r="H126" s="20"/>
      <c r="J126" s="55"/>
      <c r="K126" s="25"/>
      <c r="L126" s="25"/>
      <c r="M126" s="25"/>
      <c r="N126" s="25"/>
      <c r="O126" s="25"/>
      <c r="P126" s="25"/>
      <c r="Q126" s="20"/>
      <c r="S126" s="55"/>
      <c r="T126" s="25"/>
      <c r="U126" s="25"/>
      <c r="V126" s="25"/>
      <c r="W126" s="25"/>
      <c r="X126" s="25"/>
      <c r="Y126" s="25"/>
      <c r="Z126" s="20"/>
      <c r="AB126" s="55"/>
      <c r="AC126" s="25"/>
      <c r="AD126" s="25"/>
      <c r="AE126" s="25"/>
      <c r="AF126" s="25"/>
      <c r="AG126" s="25"/>
      <c r="AH126" s="25"/>
      <c r="AI126" s="20"/>
    </row>
    <row r="127" customFormat="false" ht="19.7" hidden="false" customHeight="false" outlineLevel="0" collapsed="false">
      <c r="A127" s="140"/>
      <c r="B127" s="141"/>
      <c r="C127" s="141"/>
      <c r="D127" s="141"/>
      <c r="E127" s="141"/>
      <c r="F127" s="141"/>
      <c r="G127" s="29" t="s">
        <v>119</v>
      </c>
      <c r="H127" s="142" t="s">
        <v>120</v>
      </c>
      <c r="J127" s="140"/>
      <c r="K127" s="141"/>
      <c r="L127" s="141"/>
      <c r="M127" s="141"/>
      <c r="N127" s="141"/>
      <c r="O127" s="141"/>
      <c r="P127" s="29" t="s">
        <v>119</v>
      </c>
      <c r="Q127" s="142" t="s">
        <v>120</v>
      </c>
      <c r="S127" s="140"/>
      <c r="T127" s="141"/>
      <c r="U127" s="141"/>
      <c r="V127" s="141"/>
      <c r="W127" s="141"/>
      <c r="X127" s="141"/>
      <c r="Y127" s="29" t="s">
        <v>119</v>
      </c>
      <c r="Z127" s="142" t="s">
        <v>120</v>
      </c>
      <c r="AB127" s="140"/>
      <c r="AC127" s="141"/>
      <c r="AD127" s="141"/>
      <c r="AE127" s="141"/>
      <c r="AF127" s="141"/>
      <c r="AG127" s="141"/>
      <c r="AH127" s="29" t="s">
        <v>119</v>
      </c>
      <c r="AI127" s="142" t="s">
        <v>120</v>
      </c>
    </row>
    <row r="128" customFormat="false" ht="17.35" hidden="false" customHeight="false" outlineLevel="0" collapsed="false">
      <c r="A128" s="143" t="s">
        <v>126</v>
      </c>
      <c r="B128" s="144"/>
      <c r="C128" s="144"/>
      <c r="D128" s="144"/>
      <c r="E128" s="144"/>
      <c r="F128" s="144"/>
      <c r="G128" s="145" t="n">
        <f aca="false">H121</f>
        <v>0</v>
      </c>
      <c r="H128" s="146" t="n">
        <f aca="false">SUM(H131:H133)</f>
        <v>0</v>
      </c>
      <c r="J128" s="143" t="s">
        <v>126</v>
      </c>
      <c r="K128" s="144"/>
      <c r="L128" s="144"/>
      <c r="M128" s="144"/>
      <c r="N128" s="144"/>
      <c r="O128" s="144"/>
      <c r="P128" s="145" t="n">
        <f aca="false">Q121</f>
        <v>0</v>
      </c>
      <c r="Q128" s="146" t="n">
        <f aca="false">SUM(Q131:Q133)</f>
        <v>0</v>
      </c>
      <c r="S128" s="143" t="s">
        <v>126</v>
      </c>
      <c r="T128" s="144"/>
      <c r="U128" s="144"/>
      <c r="V128" s="144"/>
      <c r="W128" s="144"/>
      <c r="X128" s="144"/>
      <c r="Y128" s="145" t="n">
        <f aca="false">Z121</f>
        <v>0</v>
      </c>
      <c r="Z128" s="146" t="n">
        <f aca="false">SUM(Z131:Z133)</f>
        <v>0</v>
      </c>
      <c r="AB128" s="143" t="s">
        <v>126</v>
      </c>
      <c r="AC128" s="144"/>
      <c r="AD128" s="144"/>
      <c r="AE128" s="144"/>
      <c r="AF128" s="144"/>
      <c r="AG128" s="144"/>
      <c r="AH128" s="145" t="n">
        <f aca="false">AI121</f>
        <v>0</v>
      </c>
      <c r="AI128" s="146" t="n">
        <f aca="false">SUM(AI131:AI133)</f>
        <v>0</v>
      </c>
    </row>
    <row r="129" customFormat="false" ht="17.35" hidden="false" customHeight="false" outlineLevel="0" collapsed="false">
      <c r="A129" s="55"/>
      <c r="B129" s="25"/>
      <c r="C129" s="25"/>
      <c r="D129" s="25"/>
      <c r="E129" s="25"/>
      <c r="F129" s="25"/>
      <c r="G129" s="147"/>
      <c r="H129" s="148"/>
      <c r="J129" s="55"/>
      <c r="K129" s="25"/>
      <c r="L129" s="25"/>
      <c r="M129" s="25"/>
      <c r="N129" s="25"/>
      <c r="O129" s="25"/>
      <c r="P129" s="147"/>
      <c r="Q129" s="148"/>
      <c r="S129" s="55"/>
      <c r="T129" s="25"/>
      <c r="U129" s="25"/>
      <c r="V129" s="25"/>
      <c r="W129" s="25"/>
      <c r="X129" s="25"/>
      <c r="Y129" s="147"/>
      <c r="Z129" s="148"/>
      <c r="AB129" s="55"/>
      <c r="AC129" s="25"/>
      <c r="AD129" s="25"/>
      <c r="AE129" s="25"/>
      <c r="AF129" s="25"/>
      <c r="AG129" s="25"/>
      <c r="AH129" s="147"/>
      <c r="AI129" s="148"/>
    </row>
    <row r="130" customFormat="false" ht="17.35" hidden="false" customHeight="false" outlineLevel="0" collapsed="false">
      <c r="A130" s="149" t="s">
        <v>127</v>
      </c>
      <c r="B130" s="147" t="s">
        <v>128</v>
      </c>
      <c r="C130" s="147"/>
      <c r="D130" s="147" t="s">
        <v>129</v>
      </c>
      <c r="E130" s="147"/>
      <c r="F130" s="147" t="s">
        <v>123</v>
      </c>
      <c r="G130" s="147"/>
      <c r="H130" s="148" t="s">
        <v>120</v>
      </c>
      <c r="J130" s="149" t="s">
        <v>127</v>
      </c>
      <c r="K130" s="147" t="s">
        <v>128</v>
      </c>
      <c r="L130" s="147"/>
      <c r="M130" s="147" t="s">
        <v>129</v>
      </c>
      <c r="N130" s="147"/>
      <c r="O130" s="147" t="s">
        <v>123</v>
      </c>
      <c r="P130" s="147"/>
      <c r="Q130" s="148" t="s">
        <v>120</v>
      </c>
      <c r="S130" s="149" t="s">
        <v>127</v>
      </c>
      <c r="T130" s="147" t="s">
        <v>128</v>
      </c>
      <c r="U130" s="147"/>
      <c r="V130" s="147" t="s">
        <v>129</v>
      </c>
      <c r="W130" s="147"/>
      <c r="X130" s="147" t="s">
        <v>123</v>
      </c>
      <c r="Y130" s="147"/>
      <c r="Z130" s="148" t="s">
        <v>120</v>
      </c>
      <c r="AB130" s="149" t="s">
        <v>127</v>
      </c>
      <c r="AC130" s="147" t="s">
        <v>128</v>
      </c>
      <c r="AD130" s="147"/>
      <c r="AE130" s="147" t="s">
        <v>129</v>
      </c>
      <c r="AF130" s="147"/>
      <c r="AG130" s="147" t="s">
        <v>123</v>
      </c>
      <c r="AH130" s="147"/>
      <c r="AI130" s="148" t="s">
        <v>120</v>
      </c>
    </row>
    <row r="131" customFormat="false" ht="17.35" hidden="false" customHeight="false" outlineLevel="0" collapsed="false">
      <c r="A131" s="55" t="s">
        <v>130</v>
      </c>
      <c r="B131" s="150" t="n">
        <f aca="false">G128</f>
        <v>0</v>
      </c>
      <c r="C131" s="150"/>
      <c r="D131" s="151" t="n">
        <v>0</v>
      </c>
      <c r="E131" s="151"/>
      <c r="F131" s="150" t="n">
        <v>0</v>
      </c>
      <c r="G131" s="150"/>
      <c r="H131" s="152" t="n">
        <f aca="false">(B131-(B131*D131))-F131</f>
        <v>0</v>
      </c>
      <c r="J131" s="55" t="s">
        <v>130</v>
      </c>
      <c r="K131" s="150" t="n">
        <f aca="false">P128</f>
        <v>0</v>
      </c>
      <c r="L131" s="150"/>
      <c r="M131" s="151" t="n">
        <v>0</v>
      </c>
      <c r="N131" s="151"/>
      <c r="O131" s="150" t="n">
        <v>0</v>
      </c>
      <c r="P131" s="150"/>
      <c r="Q131" s="152" t="n">
        <f aca="false">(K131-(K131*M131))-O131</f>
        <v>0</v>
      </c>
      <c r="S131" s="55" t="s">
        <v>130</v>
      </c>
      <c r="T131" s="150" t="n">
        <f aca="false">Y128</f>
        <v>0</v>
      </c>
      <c r="U131" s="150"/>
      <c r="V131" s="151" t="n">
        <v>0</v>
      </c>
      <c r="W131" s="151"/>
      <c r="X131" s="150" t="n">
        <v>0</v>
      </c>
      <c r="Y131" s="150"/>
      <c r="Z131" s="152" t="n">
        <f aca="false">(T131-(T131*V131))-X131</f>
        <v>0</v>
      </c>
      <c r="AB131" s="55" t="s">
        <v>130</v>
      </c>
      <c r="AC131" s="150" t="n">
        <f aca="false">AH128</f>
        <v>0</v>
      </c>
      <c r="AD131" s="150"/>
      <c r="AE131" s="151" t="n">
        <v>0</v>
      </c>
      <c r="AF131" s="151"/>
      <c r="AG131" s="150" t="n">
        <v>0</v>
      </c>
      <c r="AH131" s="150"/>
      <c r="AI131" s="152" t="n">
        <f aca="false">(AC131-(AC131*AE131))-AG131</f>
        <v>0</v>
      </c>
    </row>
    <row r="132" customFormat="false" ht="17.35" hidden="false" customHeight="false" outlineLevel="0" collapsed="false">
      <c r="A132" s="55" t="s">
        <v>131</v>
      </c>
      <c r="B132" s="150" t="n">
        <v>0</v>
      </c>
      <c r="C132" s="150"/>
      <c r="D132" s="151" t="n">
        <v>0</v>
      </c>
      <c r="E132" s="151"/>
      <c r="F132" s="150" t="n">
        <v>0</v>
      </c>
      <c r="G132" s="150"/>
      <c r="H132" s="152" t="n">
        <f aca="false">(B132-(B132*D132))-F132</f>
        <v>0</v>
      </c>
      <c r="J132" s="55" t="s">
        <v>131</v>
      </c>
      <c r="K132" s="150" t="n">
        <v>0</v>
      </c>
      <c r="L132" s="150"/>
      <c r="M132" s="151" t="n">
        <v>0</v>
      </c>
      <c r="N132" s="151"/>
      <c r="O132" s="150" t="n">
        <v>0</v>
      </c>
      <c r="P132" s="150"/>
      <c r="Q132" s="152" t="n">
        <f aca="false">(K132-(K132*M132))-O132</f>
        <v>0</v>
      </c>
      <c r="S132" s="55" t="s">
        <v>131</v>
      </c>
      <c r="T132" s="150" t="n">
        <v>0</v>
      </c>
      <c r="U132" s="150"/>
      <c r="V132" s="151" t="n">
        <v>0</v>
      </c>
      <c r="W132" s="151"/>
      <c r="X132" s="150" t="n">
        <v>0</v>
      </c>
      <c r="Y132" s="150"/>
      <c r="Z132" s="152" t="n">
        <f aca="false">(T132-(T132*V132))-X132</f>
        <v>0</v>
      </c>
      <c r="AB132" s="55" t="s">
        <v>131</v>
      </c>
      <c r="AC132" s="150" t="n">
        <v>0</v>
      </c>
      <c r="AD132" s="150"/>
      <c r="AE132" s="151" t="n">
        <v>0</v>
      </c>
      <c r="AF132" s="151"/>
      <c r="AG132" s="150" t="n">
        <v>0</v>
      </c>
      <c r="AH132" s="150"/>
      <c r="AI132" s="152" t="n">
        <f aca="false">(AC132-(AC132*AE132))-AG132</f>
        <v>0</v>
      </c>
    </row>
    <row r="133" customFormat="false" ht="17.35" hidden="false" customHeight="false" outlineLevel="0" collapsed="false">
      <c r="A133" s="55" t="s">
        <v>132</v>
      </c>
      <c r="B133" s="150" t="n">
        <v>0</v>
      </c>
      <c r="C133" s="150"/>
      <c r="D133" s="151" t="n">
        <v>0</v>
      </c>
      <c r="E133" s="151"/>
      <c r="F133" s="150" t="n">
        <v>0</v>
      </c>
      <c r="G133" s="150"/>
      <c r="H133" s="152" t="n">
        <f aca="false">(B133-(B133*D133))-F133</f>
        <v>0</v>
      </c>
      <c r="J133" s="55" t="s">
        <v>132</v>
      </c>
      <c r="K133" s="150" t="n">
        <v>0</v>
      </c>
      <c r="L133" s="150"/>
      <c r="M133" s="151" t="n">
        <v>0</v>
      </c>
      <c r="N133" s="151"/>
      <c r="O133" s="150" t="n">
        <v>0</v>
      </c>
      <c r="P133" s="150"/>
      <c r="Q133" s="152" t="n">
        <f aca="false">(K133-(K133*M133))-O133</f>
        <v>0</v>
      </c>
      <c r="S133" s="55" t="s">
        <v>132</v>
      </c>
      <c r="T133" s="150" t="n">
        <v>0</v>
      </c>
      <c r="U133" s="150"/>
      <c r="V133" s="151" t="n">
        <v>0</v>
      </c>
      <c r="W133" s="151"/>
      <c r="X133" s="150" t="n">
        <v>0</v>
      </c>
      <c r="Y133" s="150"/>
      <c r="Z133" s="152" t="n">
        <f aca="false">(T133-(T133*V133))-X133</f>
        <v>0</v>
      </c>
      <c r="AB133" s="55" t="s">
        <v>132</v>
      </c>
      <c r="AC133" s="150" t="n">
        <v>0</v>
      </c>
      <c r="AD133" s="150"/>
      <c r="AE133" s="151" t="n">
        <v>0</v>
      </c>
      <c r="AF133" s="151"/>
      <c r="AG133" s="150" t="n">
        <v>0</v>
      </c>
      <c r="AH133" s="150"/>
      <c r="AI133" s="152" t="n">
        <f aca="false">(AC133-(AC133*AE133))-AG133</f>
        <v>0</v>
      </c>
    </row>
    <row r="134" customFormat="false" ht="17.35" hidden="false" customHeight="false" outlineLevel="0" collapsed="false">
      <c r="A134" s="55"/>
      <c r="B134" s="25"/>
      <c r="C134" s="25"/>
      <c r="D134" s="25"/>
      <c r="E134" s="25"/>
      <c r="F134" s="25"/>
      <c r="G134" s="147"/>
      <c r="H134" s="148"/>
      <c r="J134" s="55"/>
      <c r="K134" s="25"/>
      <c r="L134" s="25"/>
      <c r="M134" s="25"/>
      <c r="N134" s="25"/>
      <c r="O134" s="25"/>
      <c r="P134" s="147"/>
      <c r="Q134" s="148"/>
      <c r="S134" s="55"/>
      <c r="T134" s="25"/>
      <c r="U134" s="25"/>
      <c r="V134" s="25"/>
      <c r="W134" s="25"/>
      <c r="X134" s="25"/>
      <c r="Y134" s="147"/>
      <c r="Z134" s="148"/>
      <c r="AB134" s="55"/>
      <c r="AC134" s="25"/>
      <c r="AD134" s="25"/>
      <c r="AE134" s="25"/>
      <c r="AF134" s="25"/>
      <c r="AG134" s="25"/>
      <c r="AH134" s="147"/>
      <c r="AI134" s="148"/>
    </row>
    <row r="135" customFormat="false" ht="19.7" hidden="false" customHeight="false" outlineLevel="0" collapsed="false">
      <c r="A135" s="153" t="s">
        <v>133</v>
      </c>
      <c r="B135" s="153"/>
      <c r="C135" s="153"/>
      <c r="D135" s="153"/>
      <c r="E135" s="153"/>
      <c r="F135" s="153"/>
      <c r="G135" s="29" t="n">
        <f aca="false">H9</f>
        <v>47687.5</v>
      </c>
      <c r="H135" s="154" t="n">
        <f aca="false">C125+E125+G125+H128</f>
        <v>57441.67</v>
      </c>
      <c r="J135" s="153" t="s">
        <v>133</v>
      </c>
      <c r="K135" s="153"/>
      <c r="L135" s="153"/>
      <c r="M135" s="153"/>
      <c r="N135" s="153"/>
      <c r="O135" s="153"/>
      <c r="P135" s="29" t="n">
        <f aca="false">H9</f>
        <v>47687.5</v>
      </c>
      <c r="Q135" s="154" t="n">
        <f aca="false">L125+N125+P125+Q128</f>
        <v>29462.5</v>
      </c>
      <c r="S135" s="153" t="s">
        <v>133</v>
      </c>
      <c r="T135" s="153"/>
      <c r="U135" s="153"/>
      <c r="V135" s="153"/>
      <c r="W135" s="153"/>
      <c r="X135" s="153"/>
      <c r="Y135" s="29" t="n">
        <f aca="false">H9</f>
        <v>47687.5</v>
      </c>
      <c r="Z135" s="154" t="n">
        <f aca="false">U125+W125+Y125+Z128</f>
        <v>47570.364575</v>
      </c>
      <c r="AB135" s="153" t="s">
        <v>133</v>
      </c>
      <c r="AC135" s="153"/>
      <c r="AD135" s="153"/>
      <c r="AE135" s="153"/>
      <c r="AF135" s="153"/>
      <c r="AG135" s="153"/>
      <c r="AH135" s="29" t="n">
        <f aca="false">H9</f>
        <v>47687.5</v>
      </c>
      <c r="AI135" s="154" t="n">
        <f aca="false">AD125+AF125+AH125+AI128</f>
        <v>35973.9575</v>
      </c>
    </row>
    <row r="136" customFormat="false" ht="17.35" hidden="false" customHeight="false" outlineLevel="0" collapsed="false">
      <c r="A136" s="155" t="s">
        <v>134</v>
      </c>
      <c r="B136" s="155"/>
      <c r="C136" s="155"/>
      <c r="D136" s="155"/>
      <c r="E136" s="155"/>
      <c r="F136" s="155"/>
      <c r="G136" s="21" t="n">
        <f aca="false">H10</f>
        <v>550</v>
      </c>
      <c r="H136" s="20" t="n">
        <f aca="false">G136</f>
        <v>550</v>
      </c>
      <c r="J136" s="155" t="s">
        <v>134</v>
      </c>
      <c r="K136" s="155"/>
      <c r="L136" s="155"/>
      <c r="M136" s="155"/>
      <c r="N136" s="155"/>
      <c r="O136" s="155"/>
      <c r="P136" s="21" t="n">
        <f aca="false">H10</f>
        <v>550</v>
      </c>
      <c r="Q136" s="20" t="n">
        <f aca="false">P136</f>
        <v>550</v>
      </c>
      <c r="S136" s="155" t="s">
        <v>134</v>
      </c>
      <c r="T136" s="155"/>
      <c r="U136" s="155"/>
      <c r="V136" s="155"/>
      <c r="W136" s="155"/>
      <c r="X136" s="155"/>
      <c r="Y136" s="21" t="n">
        <f aca="false">H10</f>
        <v>550</v>
      </c>
      <c r="Z136" s="20" t="n">
        <f aca="false">Y136</f>
        <v>550</v>
      </c>
      <c r="AB136" s="155" t="s">
        <v>134</v>
      </c>
      <c r="AC136" s="155"/>
      <c r="AD136" s="155"/>
      <c r="AE136" s="155"/>
      <c r="AF136" s="155"/>
      <c r="AG136" s="155"/>
      <c r="AH136" s="21" t="n">
        <f aca="false">H10</f>
        <v>550</v>
      </c>
      <c r="AI136" s="20" t="n">
        <f aca="false">AH136</f>
        <v>550</v>
      </c>
    </row>
    <row r="137" customFormat="false" ht="17.35" hidden="false" customHeight="false" outlineLevel="0" collapsed="false">
      <c r="A137" s="155" t="s">
        <v>135</v>
      </c>
      <c r="B137" s="155"/>
      <c r="C137" s="155"/>
      <c r="D137" s="155"/>
      <c r="E137" s="155"/>
      <c r="F137" s="155"/>
      <c r="G137" s="21" t="n">
        <f aca="false">H11</f>
        <v>9647.5</v>
      </c>
      <c r="H137" s="20" t="n">
        <f aca="false">(H135+H136)*20%</f>
        <v>11598.334</v>
      </c>
      <c r="J137" s="155" t="s">
        <v>135</v>
      </c>
      <c r="K137" s="155"/>
      <c r="L137" s="155"/>
      <c r="M137" s="155"/>
      <c r="N137" s="155"/>
      <c r="O137" s="155"/>
      <c r="P137" s="21" t="n">
        <f aca="false">H11</f>
        <v>9647.5</v>
      </c>
      <c r="Q137" s="20" t="n">
        <f aca="false">(Q135+Q136)*20%</f>
        <v>6002.5</v>
      </c>
      <c r="S137" s="155" t="s">
        <v>135</v>
      </c>
      <c r="T137" s="155"/>
      <c r="U137" s="155"/>
      <c r="V137" s="155"/>
      <c r="W137" s="155"/>
      <c r="X137" s="155"/>
      <c r="Y137" s="21" t="n">
        <f aca="false">H11</f>
        <v>9647.5</v>
      </c>
      <c r="Z137" s="20" t="n">
        <f aca="false">(Z135+Z136)*20%</f>
        <v>9624.072915</v>
      </c>
      <c r="AB137" s="155" t="s">
        <v>135</v>
      </c>
      <c r="AC137" s="155"/>
      <c r="AD137" s="155"/>
      <c r="AE137" s="155"/>
      <c r="AF137" s="155"/>
      <c r="AG137" s="155"/>
      <c r="AH137" s="21" t="n">
        <f aca="false">H11</f>
        <v>9647.5</v>
      </c>
      <c r="AI137" s="20" t="n">
        <f aca="false">(AI135+AI136)*20%</f>
        <v>7304.7915</v>
      </c>
    </row>
    <row r="138" customFormat="false" ht="17.35" hidden="false" customHeight="false" outlineLevel="0" collapsed="false">
      <c r="A138" s="155" t="s">
        <v>136</v>
      </c>
      <c r="B138" s="155"/>
      <c r="C138" s="155"/>
      <c r="D138" s="155"/>
      <c r="E138" s="155"/>
      <c r="F138" s="155"/>
      <c r="G138" s="21" t="n">
        <f aca="false">H12</f>
        <v>0</v>
      </c>
      <c r="H138" s="20" t="n">
        <f aca="false">G138</f>
        <v>0</v>
      </c>
      <c r="J138" s="155" t="s">
        <v>136</v>
      </c>
      <c r="K138" s="155"/>
      <c r="L138" s="155"/>
      <c r="M138" s="155"/>
      <c r="N138" s="155"/>
      <c r="O138" s="155"/>
      <c r="P138" s="21" t="n">
        <f aca="false">H12</f>
        <v>0</v>
      </c>
      <c r="Q138" s="20" t="n">
        <f aca="false">P138</f>
        <v>0</v>
      </c>
      <c r="S138" s="155" t="s">
        <v>136</v>
      </c>
      <c r="T138" s="155"/>
      <c r="U138" s="155"/>
      <c r="V138" s="155"/>
      <c r="W138" s="155"/>
      <c r="X138" s="155"/>
      <c r="Y138" s="21" t="n">
        <f aca="false">H12</f>
        <v>0</v>
      </c>
      <c r="Z138" s="20" t="n">
        <f aca="false">Y138</f>
        <v>0</v>
      </c>
      <c r="AB138" s="155" t="s">
        <v>136</v>
      </c>
      <c r="AC138" s="155"/>
      <c r="AD138" s="155"/>
      <c r="AE138" s="155"/>
      <c r="AF138" s="155"/>
      <c r="AG138" s="155"/>
      <c r="AH138" s="21" t="n">
        <f aca="false">H12</f>
        <v>0</v>
      </c>
      <c r="AI138" s="20" t="n">
        <f aca="false">AH138</f>
        <v>0</v>
      </c>
    </row>
    <row r="139" customFormat="false" ht="17.35" hidden="false" customHeight="false" outlineLevel="0" collapsed="false">
      <c r="A139" s="155" t="s">
        <v>137</v>
      </c>
      <c r="B139" s="155"/>
      <c r="C139" s="155"/>
      <c r="D139" s="155"/>
      <c r="E139" s="155"/>
      <c r="F139" s="155"/>
      <c r="G139" s="21" t="n">
        <f aca="false">H13</f>
        <v>585</v>
      </c>
      <c r="H139" s="20" t="n">
        <f aca="false">G139</f>
        <v>585</v>
      </c>
      <c r="J139" s="155" t="s">
        <v>137</v>
      </c>
      <c r="K139" s="155"/>
      <c r="L139" s="155"/>
      <c r="M139" s="155"/>
      <c r="N139" s="155"/>
      <c r="O139" s="155"/>
      <c r="P139" s="21" t="n">
        <f aca="false">H13</f>
        <v>585</v>
      </c>
      <c r="Q139" s="20" t="n">
        <f aca="false">P139</f>
        <v>585</v>
      </c>
      <c r="S139" s="155" t="s">
        <v>137</v>
      </c>
      <c r="T139" s="155"/>
      <c r="U139" s="155"/>
      <c r="V139" s="155"/>
      <c r="W139" s="155"/>
      <c r="X139" s="155"/>
      <c r="Y139" s="21" t="n">
        <f aca="false">H13</f>
        <v>585</v>
      </c>
      <c r="Z139" s="20" t="n">
        <f aca="false">Y139</f>
        <v>585</v>
      </c>
      <c r="AB139" s="155" t="s">
        <v>137</v>
      </c>
      <c r="AC139" s="155"/>
      <c r="AD139" s="155"/>
      <c r="AE139" s="155"/>
      <c r="AF139" s="155"/>
      <c r="AG139" s="155"/>
      <c r="AH139" s="21" t="n">
        <f aca="false">H13</f>
        <v>585</v>
      </c>
      <c r="AI139" s="20" t="n">
        <f aca="false">AH139</f>
        <v>585</v>
      </c>
    </row>
    <row r="140" customFormat="false" ht="17.35" hidden="false" customHeight="false" outlineLevel="0" collapsed="false">
      <c r="A140" s="155" t="s">
        <v>138</v>
      </c>
      <c r="B140" s="155"/>
      <c r="C140" s="155"/>
      <c r="D140" s="155"/>
      <c r="E140" s="155"/>
      <c r="F140" s="155"/>
      <c r="G140" s="21" t="n">
        <f aca="false">H14</f>
        <v>55</v>
      </c>
      <c r="H140" s="20" t="n">
        <v>55</v>
      </c>
      <c r="J140" s="155" t="s">
        <v>138</v>
      </c>
      <c r="K140" s="155"/>
      <c r="L140" s="155"/>
      <c r="M140" s="155"/>
      <c r="N140" s="155"/>
      <c r="O140" s="155"/>
      <c r="P140" s="21" t="n">
        <f aca="false">H14</f>
        <v>55</v>
      </c>
      <c r="Q140" s="20" t="n">
        <v>55</v>
      </c>
      <c r="S140" s="155" t="s">
        <v>138</v>
      </c>
      <c r="T140" s="155"/>
      <c r="U140" s="155"/>
      <c r="V140" s="155"/>
      <c r="W140" s="155"/>
      <c r="X140" s="155"/>
      <c r="Y140" s="21" t="n">
        <f aca="false">H14</f>
        <v>55</v>
      </c>
      <c r="Z140" s="20" t="n">
        <v>55</v>
      </c>
      <c r="AB140" s="155" t="s">
        <v>138</v>
      </c>
      <c r="AC140" s="155"/>
      <c r="AD140" s="155"/>
      <c r="AE140" s="155"/>
      <c r="AF140" s="155"/>
      <c r="AG140" s="155"/>
      <c r="AH140" s="21" t="n">
        <f aca="false">H14</f>
        <v>55</v>
      </c>
      <c r="AI140" s="20" t="n">
        <v>55</v>
      </c>
    </row>
    <row r="141" customFormat="false" ht="19.7" hidden="false" customHeight="false" outlineLevel="0" collapsed="false">
      <c r="A141" s="155" t="s">
        <v>139</v>
      </c>
      <c r="B141" s="155"/>
      <c r="C141" s="155"/>
      <c r="D141" s="155"/>
      <c r="E141" s="155"/>
      <c r="F141" s="155"/>
      <c r="G141" s="157" t="n">
        <f aca="false">H15</f>
        <v>58525</v>
      </c>
      <c r="H141" s="156" t="n">
        <f aca="false">(H135+H136+H139+H140+H137)-H138</f>
        <v>70230.004</v>
      </c>
      <c r="J141" s="155" t="s">
        <v>139</v>
      </c>
      <c r="K141" s="155"/>
      <c r="L141" s="155"/>
      <c r="M141" s="155"/>
      <c r="N141" s="155"/>
      <c r="O141" s="155"/>
      <c r="P141" s="157" t="n">
        <f aca="false">H15</f>
        <v>58525</v>
      </c>
      <c r="Q141" s="156" t="n">
        <f aca="false">(Q135+Q136+Q139+Q140+Q137)-Q138</f>
        <v>36655</v>
      </c>
      <c r="S141" s="155" t="s">
        <v>139</v>
      </c>
      <c r="T141" s="155"/>
      <c r="U141" s="155"/>
      <c r="V141" s="155"/>
      <c r="W141" s="155"/>
      <c r="X141" s="155"/>
      <c r="Y141" s="157" t="n">
        <f aca="false">H15</f>
        <v>58525</v>
      </c>
      <c r="Z141" s="156" t="n">
        <f aca="false">(Z135+Z136+Z139+Z140+Z137)-Z138</f>
        <v>58384.43749</v>
      </c>
      <c r="AB141" s="155" t="s">
        <v>139</v>
      </c>
      <c r="AC141" s="155"/>
      <c r="AD141" s="155"/>
      <c r="AE141" s="155"/>
      <c r="AF141" s="155"/>
      <c r="AG141" s="155"/>
      <c r="AH141" s="157" t="n">
        <f aca="false">H15</f>
        <v>58525</v>
      </c>
      <c r="AI141" s="156" t="n">
        <f aca="false">(AI135+AI136+AI139+AI140+AI137)-AI138</f>
        <v>44468.749</v>
      </c>
    </row>
    <row r="142" customFormat="false" ht="17.35" hidden="false" customHeight="false" outlineLevel="0" collapsed="false">
      <c r="A142" s="155" t="s">
        <v>140</v>
      </c>
      <c r="B142" s="155"/>
      <c r="C142" s="155"/>
      <c r="D142" s="155"/>
      <c r="E142" s="155"/>
      <c r="F142" s="155"/>
      <c r="G142" s="21" t="n">
        <f aca="false">H16</f>
        <v>0</v>
      </c>
      <c r="H142" s="52" t="n">
        <f aca="false">G142</f>
        <v>0</v>
      </c>
      <c r="J142" s="155" t="s">
        <v>140</v>
      </c>
      <c r="K142" s="155"/>
      <c r="L142" s="155"/>
      <c r="M142" s="155"/>
      <c r="N142" s="155"/>
      <c r="O142" s="155"/>
      <c r="P142" s="21" t="n">
        <f aca="false">H16</f>
        <v>0</v>
      </c>
      <c r="Q142" s="52" t="n">
        <f aca="false">P142</f>
        <v>0</v>
      </c>
      <c r="S142" s="155" t="s">
        <v>140</v>
      </c>
      <c r="T142" s="155"/>
      <c r="U142" s="155"/>
      <c r="V142" s="155"/>
      <c r="W142" s="155"/>
      <c r="X142" s="155"/>
      <c r="Y142" s="21" t="n">
        <f aca="false">H16</f>
        <v>0</v>
      </c>
      <c r="Z142" s="52" t="n">
        <f aca="false">Y142</f>
        <v>0</v>
      </c>
      <c r="AB142" s="155" t="s">
        <v>140</v>
      </c>
      <c r="AC142" s="155"/>
      <c r="AD142" s="155"/>
      <c r="AE142" s="155"/>
      <c r="AF142" s="155"/>
      <c r="AG142" s="155"/>
      <c r="AH142" s="21" t="n">
        <f aca="false">H16</f>
        <v>0</v>
      </c>
      <c r="AI142" s="52" t="n">
        <f aca="false">AH142</f>
        <v>0</v>
      </c>
    </row>
    <row r="143" customFormat="false" ht="17.35" hidden="false" customHeight="false" outlineLevel="0" collapsed="false">
      <c r="A143" s="70" t="s">
        <v>141</v>
      </c>
      <c r="B143" s="70"/>
      <c r="C143" s="70"/>
      <c r="D143" s="70"/>
      <c r="E143" s="70"/>
      <c r="F143" s="70"/>
      <c r="G143" s="37"/>
      <c r="H143" s="20"/>
      <c r="J143" s="70" t="s">
        <v>141</v>
      </c>
      <c r="K143" s="70"/>
      <c r="L143" s="70"/>
      <c r="M143" s="70"/>
      <c r="N143" s="70"/>
      <c r="O143" s="70"/>
      <c r="P143" s="37"/>
      <c r="Q143" s="20"/>
      <c r="S143" s="70" t="s">
        <v>141</v>
      </c>
      <c r="T143" s="70"/>
      <c r="U143" s="70"/>
      <c r="V143" s="70"/>
      <c r="W143" s="70"/>
      <c r="X143" s="70"/>
      <c r="Y143" s="37"/>
      <c r="Z143" s="20"/>
      <c r="AB143" s="70" t="s">
        <v>141</v>
      </c>
      <c r="AC143" s="70"/>
      <c r="AD143" s="70"/>
      <c r="AE143" s="70"/>
      <c r="AF143" s="70"/>
      <c r="AG143" s="70"/>
      <c r="AH143" s="37"/>
      <c r="AI143" s="20"/>
    </row>
    <row r="144" customFormat="false" ht="17.35" hidden="false" customHeight="false" outlineLevel="0" collapsed="false">
      <c r="A144" s="158" t="s">
        <v>15</v>
      </c>
      <c r="B144" s="159" t="s">
        <v>142</v>
      </c>
      <c r="C144" s="159"/>
      <c r="D144" s="159"/>
      <c r="E144" s="159"/>
      <c r="F144" s="159"/>
      <c r="G144" s="21" t="n">
        <f aca="false">H18</f>
        <v>0</v>
      </c>
      <c r="H144" s="52" t="n">
        <f aca="false">G144</f>
        <v>0</v>
      </c>
      <c r="J144" s="158" t="s">
        <v>15</v>
      </c>
      <c r="K144" s="159" t="s">
        <v>142</v>
      </c>
      <c r="L144" s="159"/>
      <c r="M144" s="159"/>
      <c r="N144" s="159"/>
      <c r="O144" s="159"/>
      <c r="P144" s="21" t="n">
        <f aca="false">H18</f>
        <v>0</v>
      </c>
      <c r="Q144" s="52" t="n">
        <f aca="false">P144</f>
        <v>0</v>
      </c>
      <c r="S144" s="158" t="s">
        <v>15</v>
      </c>
      <c r="T144" s="159" t="s">
        <v>142</v>
      </c>
      <c r="U144" s="159"/>
      <c r="V144" s="159"/>
      <c r="W144" s="159"/>
      <c r="X144" s="159"/>
      <c r="Y144" s="21" t="n">
        <f aca="false">H18</f>
        <v>0</v>
      </c>
      <c r="Z144" s="52" t="n">
        <f aca="false">Y144</f>
        <v>0</v>
      </c>
      <c r="AB144" s="158" t="s">
        <v>15</v>
      </c>
      <c r="AC144" s="159" t="s">
        <v>142</v>
      </c>
      <c r="AD144" s="159"/>
      <c r="AE144" s="159"/>
      <c r="AF144" s="159"/>
      <c r="AG144" s="159"/>
      <c r="AH144" s="21" t="n">
        <f aca="false">H18</f>
        <v>0</v>
      </c>
      <c r="AI144" s="52" t="n">
        <f aca="false">AH144</f>
        <v>0</v>
      </c>
    </row>
    <row r="145" customFormat="false" ht="17.35" hidden="false" customHeight="false" outlineLevel="0" collapsed="false">
      <c r="A145" s="158" t="s">
        <v>17</v>
      </c>
      <c r="B145" s="159" t="s">
        <v>142</v>
      </c>
      <c r="C145" s="159"/>
      <c r="D145" s="159"/>
      <c r="E145" s="159"/>
      <c r="F145" s="159"/>
      <c r="G145" s="21" t="n">
        <f aca="false">H19</f>
        <v>0</v>
      </c>
      <c r="H145" s="52" t="n">
        <f aca="false">G145</f>
        <v>0</v>
      </c>
      <c r="I145" s="1" t="n">
        <f aca="false">(G142+G145+G146+G144)</f>
        <v>0</v>
      </c>
      <c r="J145" s="158" t="s">
        <v>17</v>
      </c>
      <c r="K145" s="159" t="s">
        <v>142</v>
      </c>
      <c r="L145" s="159"/>
      <c r="M145" s="159"/>
      <c r="N145" s="159"/>
      <c r="O145" s="159"/>
      <c r="P145" s="21" t="n">
        <f aca="false">H19</f>
        <v>0</v>
      </c>
      <c r="Q145" s="52" t="n">
        <f aca="false">P145</f>
        <v>0</v>
      </c>
      <c r="S145" s="158" t="s">
        <v>17</v>
      </c>
      <c r="T145" s="159" t="s">
        <v>142</v>
      </c>
      <c r="U145" s="159"/>
      <c r="V145" s="159"/>
      <c r="W145" s="159"/>
      <c r="X145" s="159"/>
      <c r="Y145" s="21" t="n">
        <f aca="false">H19</f>
        <v>0</v>
      </c>
      <c r="Z145" s="52" t="n">
        <f aca="false">Y145</f>
        <v>0</v>
      </c>
      <c r="AB145" s="158" t="s">
        <v>17</v>
      </c>
      <c r="AC145" s="159" t="s">
        <v>142</v>
      </c>
      <c r="AD145" s="159"/>
      <c r="AE145" s="159"/>
      <c r="AF145" s="159"/>
      <c r="AG145" s="159"/>
      <c r="AH145" s="21" t="n">
        <f aca="false">H19</f>
        <v>0</v>
      </c>
      <c r="AI145" s="52" t="n">
        <f aca="false">AH145</f>
        <v>0</v>
      </c>
    </row>
    <row r="146" customFormat="false" ht="17.35" hidden="false" customHeight="false" outlineLevel="0" collapsed="false">
      <c r="A146" s="160" t="s">
        <v>18</v>
      </c>
      <c r="B146" s="161" t="s">
        <v>142</v>
      </c>
      <c r="C146" s="161"/>
      <c r="D146" s="161"/>
      <c r="E146" s="161"/>
      <c r="F146" s="161"/>
      <c r="G146" s="21" t="n">
        <f aca="false">H20</f>
        <v>0</v>
      </c>
      <c r="H146" s="52" t="n">
        <f aca="false">G146</f>
        <v>0</v>
      </c>
      <c r="I146" s="1" t="n">
        <f aca="false">(H142+H144+H145+H146)</f>
        <v>0</v>
      </c>
      <c r="J146" s="160" t="s">
        <v>18</v>
      </c>
      <c r="K146" s="161" t="s">
        <v>142</v>
      </c>
      <c r="L146" s="161"/>
      <c r="M146" s="161"/>
      <c r="N146" s="161"/>
      <c r="O146" s="161"/>
      <c r="P146" s="21" t="n">
        <f aca="false">H20</f>
        <v>0</v>
      </c>
      <c r="Q146" s="52" t="n">
        <f aca="false">P146</f>
        <v>0</v>
      </c>
      <c r="S146" s="160" t="s">
        <v>18</v>
      </c>
      <c r="T146" s="161" t="s">
        <v>142</v>
      </c>
      <c r="U146" s="161"/>
      <c r="V146" s="161"/>
      <c r="W146" s="161"/>
      <c r="X146" s="161"/>
      <c r="Y146" s="21" t="n">
        <f aca="false">H20</f>
        <v>0</v>
      </c>
      <c r="Z146" s="52" t="n">
        <f aca="false">Y146</f>
        <v>0</v>
      </c>
      <c r="AB146" s="160" t="s">
        <v>18</v>
      </c>
      <c r="AC146" s="161" t="s">
        <v>142</v>
      </c>
      <c r="AD146" s="161"/>
      <c r="AE146" s="161"/>
      <c r="AF146" s="161"/>
      <c r="AG146" s="161"/>
      <c r="AH146" s="21" t="n">
        <f aca="false">H20</f>
        <v>0</v>
      </c>
      <c r="AI146" s="52" t="n">
        <f aca="false">AH146</f>
        <v>0</v>
      </c>
    </row>
    <row r="147" customFormat="false" ht="19.7" hidden="false" customHeight="false" outlineLevel="0" collapsed="false">
      <c r="A147" s="155" t="s">
        <v>143</v>
      </c>
      <c r="B147" s="155"/>
      <c r="C147" s="155"/>
      <c r="D147" s="155"/>
      <c r="E147" s="155"/>
      <c r="F147" s="155"/>
      <c r="G147" s="157" t="n">
        <f aca="false">G141-((G144*1.2)+(G145*1.2)+(G146*1.2)+(G142*1.2))</f>
        <v>58525</v>
      </c>
      <c r="H147" s="162" t="n">
        <f aca="false">H141-((H144*1.2)+(H145*1.2)+(H146*1.2)+(H142*1.2))</f>
        <v>70230.004</v>
      </c>
      <c r="J147" s="155" t="s">
        <v>143</v>
      </c>
      <c r="K147" s="155"/>
      <c r="L147" s="155"/>
      <c r="M147" s="155"/>
      <c r="N147" s="155"/>
      <c r="O147" s="155"/>
      <c r="P147" s="157" t="n">
        <f aca="false">P141-((P144*1.2)+(P145*1.2)+(P146*1.2)+(P142*1.2))</f>
        <v>58525</v>
      </c>
      <c r="Q147" s="162" t="n">
        <f aca="false">Q141-((Q144*1.2)+(Q145*1.2)+(Q146*1.2)+(Q142*1.2))</f>
        <v>36655</v>
      </c>
      <c r="S147" s="155" t="s">
        <v>143</v>
      </c>
      <c r="T147" s="155"/>
      <c r="U147" s="155"/>
      <c r="V147" s="155"/>
      <c r="W147" s="155"/>
      <c r="X147" s="155"/>
      <c r="Y147" s="157" t="n">
        <f aca="false">Y141-((Y144*1.2)+(Y145*1.2)+(Y146*1.2)+(Y142*1.2))</f>
        <v>58525</v>
      </c>
      <c r="Z147" s="162" t="n">
        <f aca="false">Z141-((Z144*1.2)+(Z145*1.2)+(Z146*1.2)+(Z142*1.2))</f>
        <v>58384.43749</v>
      </c>
      <c r="AB147" s="155" t="s">
        <v>143</v>
      </c>
      <c r="AC147" s="155"/>
      <c r="AD147" s="155"/>
      <c r="AE147" s="155"/>
      <c r="AF147" s="155"/>
      <c r="AG147" s="155"/>
      <c r="AH147" s="157" t="n">
        <f aca="false">AH141-((AH144*1.2)+(AH145*1.2)+(AH146*1.2)+(AH142*1.2))</f>
        <v>58525</v>
      </c>
      <c r="AI147" s="162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55" t="s">
        <v>144</v>
      </c>
      <c r="B148" s="155"/>
      <c r="C148" s="155"/>
      <c r="D148" s="155"/>
      <c r="E148" s="155"/>
      <c r="F148" s="155"/>
      <c r="G148" s="21"/>
      <c r="H148" s="52" t="n">
        <f aca="false">((H147-G147)-(H137-G137))+((I146-I145)*0.2)</f>
        <v>9754.17</v>
      </c>
      <c r="I148" s="1" t="n">
        <f aca="false">(H148-G81)/1.2</f>
        <v>8128.475</v>
      </c>
      <c r="J148" s="155" t="s">
        <v>144</v>
      </c>
      <c r="K148" s="155"/>
      <c r="L148" s="155"/>
      <c r="M148" s="155"/>
      <c r="N148" s="155"/>
      <c r="O148" s="155"/>
      <c r="P148" s="21"/>
      <c r="Q148" s="52" t="n">
        <f aca="false">Q147-P147</f>
        <v>-21870</v>
      </c>
      <c r="S148" s="155" t="s">
        <v>144</v>
      </c>
      <c r="T148" s="155"/>
      <c r="U148" s="155"/>
      <c r="V148" s="155"/>
      <c r="W148" s="155"/>
      <c r="X148" s="155"/>
      <c r="Y148" s="21"/>
      <c r="Z148" s="52" t="n">
        <f aca="false">Z147-Y147</f>
        <v>-140.562510000003</v>
      </c>
      <c r="AB148" s="155" t="s">
        <v>144</v>
      </c>
      <c r="AC148" s="155"/>
      <c r="AD148" s="155"/>
      <c r="AE148" s="155"/>
      <c r="AF148" s="155"/>
      <c r="AG148" s="155"/>
      <c r="AH148" s="21"/>
      <c r="AI148" s="52" t="n">
        <f aca="false">AI147-AH147</f>
        <v>-14056.251</v>
      </c>
    </row>
    <row r="149" customFormat="false" ht="17.35" hidden="false" customHeight="false" outlineLevel="0" collapsed="false">
      <c r="A149" s="55"/>
      <c r="B149" s="25"/>
      <c r="C149" s="25"/>
      <c r="D149" s="25"/>
      <c r="E149" s="45"/>
      <c r="F149" s="45"/>
      <c r="G149" s="45"/>
      <c r="H149" s="20"/>
      <c r="J149" s="55"/>
      <c r="K149" s="25"/>
      <c r="L149" s="25"/>
      <c r="M149" s="25"/>
      <c r="N149" s="45"/>
      <c r="O149" s="45"/>
      <c r="P149" s="45"/>
      <c r="Q149" s="20"/>
      <c r="S149" s="55"/>
      <c r="T149" s="25"/>
      <c r="U149" s="25"/>
      <c r="V149" s="25"/>
      <c r="W149" s="45"/>
      <c r="X149" s="45"/>
      <c r="Y149" s="45"/>
      <c r="Z149" s="20"/>
      <c r="AB149" s="55"/>
      <c r="AC149" s="25"/>
      <c r="AD149" s="25"/>
      <c r="AE149" s="25"/>
      <c r="AF149" s="45"/>
      <c r="AG149" s="45"/>
      <c r="AH149" s="45"/>
      <c r="AI149" s="20"/>
    </row>
    <row r="150" customFormat="false" ht="22.05" hidden="false" customHeight="false" outlineLevel="0" collapsed="false">
      <c r="A150" s="58" t="s">
        <v>145</v>
      </c>
      <c r="B150" s="58"/>
      <c r="C150" s="58"/>
      <c r="D150" s="58"/>
      <c r="E150" s="58"/>
      <c r="F150" s="58"/>
      <c r="G150" s="58"/>
      <c r="H150" s="58"/>
      <c r="J150" s="58" t="s">
        <v>145</v>
      </c>
      <c r="K150" s="58"/>
      <c r="L150" s="58"/>
      <c r="M150" s="58"/>
      <c r="N150" s="58"/>
      <c r="O150" s="58"/>
      <c r="P150" s="58"/>
      <c r="Q150" s="58"/>
      <c r="S150" s="58" t="s">
        <v>145</v>
      </c>
      <c r="T150" s="58"/>
      <c r="U150" s="58"/>
      <c r="V150" s="58"/>
      <c r="W150" s="58"/>
      <c r="X150" s="58"/>
      <c r="Y150" s="58"/>
      <c r="Z150" s="58"/>
      <c r="AB150" s="58" t="s">
        <v>145</v>
      </c>
      <c r="AC150" s="58"/>
      <c r="AD150" s="58"/>
      <c r="AE150" s="58"/>
      <c r="AF150" s="58"/>
      <c r="AG150" s="58"/>
      <c r="AH150" s="58"/>
      <c r="AI150" s="58"/>
    </row>
    <row r="151" customFormat="false" ht="17.35" hidden="false" customHeight="false" outlineLevel="0" collapsed="false">
      <c r="A151" s="55"/>
      <c r="B151" s="25"/>
      <c r="C151" s="25"/>
      <c r="D151" s="25"/>
      <c r="E151" s="45"/>
      <c r="F151" s="45"/>
      <c r="G151" s="45"/>
      <c r="H151" s="20"/>
      <c r="J151" s="55"/>
      <c r="K151" s="25"/>
      <c r="L151" s="25"/>
      <c r="M151" s="25"/>
      <c r="N151" s="45"/>
      <c r="O151" s="45"/>
      <c r="P151" s="45"/>
      <c r="Q151" s="20"/>
      <c r="S151" s="55"/>
      <c r="T151" s="25"/>
      <c r="U151" s="25"/>
      <c r="V151" s="25"/>
      <c r="W151" s="45"/>
      <c r="X151" s="45"/>
      <c r="Y151" s="45"/>
      <c r="Z151" s="20"/>
      <c r="AB151" s="55"/>
      <c r="AC151" s="25"/>
      <c r="AD151" s="25"/>
      <c r="AE151" s="25"/>
      <c r="AF151" s="45"/>
      <c r="AG151" s="45"/>
      <c r="AH151" s="45"/>
      <c r="AI151" s="20"/>
    </row>
    <row r="152" customFormat="false" ht="17.35" hidden="false" customHeight="false" outlineLevel="0" collapsed="false">
      <c r="A152" s="55" t="s">
        <v>146</v>
      </c>
      <c r="B152" s="25"/>
      <c r="C152" s="25"/>
      <c r="D152" s="45"/>
      <c r="E152" s="72" t="n">
        <v>2000</v>
      </c>
      <c r="F152" s="72"/>
      <c r="G152" s="72" t="n">
        <v>1000</v>
      </c>
      <c r="H152" s="72"/>
      <c r="J152" s="55" t="s">
        <v>146</v>
      </c>
      <c r="K152" s="25"/>
      <c r="L152" s="25"/>
      <c r="M152" s="45"/>
      <c r="N152" s="72" t="n">
        <v>10000</v>
      </c>
      <c r="O152" s="72"/>
      <c r="P152" s="72" t="n">
        <v>5000</v>
      </c>
      <c r="Q152" s="72"/>
      <c r="S152" s="55" t="s">
        <v>146</v>
      </c>
      <c r="T152" s="25"/>
      <c r="U152" s="25"/>
      <c r="V152" s="45"/>
      <c r="W152" s="72" t="n">
        <v>10000</v>
      </c>
      <c r="X152" s="72"/>
      <c r="Y152" s="72" t="n">
        <v>5000</v>
      </c>
      <c r="Z152" s="72"/>
      <c r="AB152" s="55" t="s">
        <v>146</v>
      </c>
      <c r="AC152" s="25"/>
      <c r="AD152" s="25"/>
      <c r="AE152" s="45"/>
      <c r="AF152" s="72" t="n">
        <v>10000</v>
      </c>
      <c r="AG152" s="72"/>
      <c r="AH152" s="72" t="n">
        <v>5000</v>
      </c>
      <c r="AI152" s="72"/>
    </row>
    <row r="153" customFormat="false" ht="17.35" hidden="false" customHeight="false" outlineLevel="0" collapsed="false">
      <c r="A153" s="55" t="s">
        <v>147</v>
      </c>
      <c r="B153" s="25"/>
      <c r="C153" s="25"/>
      <c r="D153" s="45"/>
      <c r="E153" s="38" t="n">
        <f aca="false">G153</f>
        <v>500</v>
      </c>
      <c r="F153" s="38"/>
      <c r="G153" s="72" t="n">
        <v>500</v>
      </c>
      <c r="H153" s="72"/>
      <c r="J153" s="55" t="s">
        <v>147</v>
      </c>
      <c r="K153" s="25"/>
      <c r="L153" s="25"/>
      <c r="M153" s="45"/>
      <c r="N153" s="38" t="n">
        <f aca="false">P153</f>
        <v>7000</v>
      </c>
      <c r="O153" s="38"/>
      <c r="P153" s="72" t="n">
        <v>7000</v>
      </c>
      <c r="Q153" s="72"/>
      <c r="S153" s="55" t="s">
        <v>147</v>
      </c>
      <c r="T153" s="25"/>
      <c r="U153" s="25"/>
      <c r="V153" s="45"/>
      <c r="W153" s="38" t="n">
        <f aca="false">Y153</f>
        <v>7000</v>
      </c>
      <c r="X153" s="38"/>
      <c r="Y153" s="72" t="n">
        <v>7000</v>
      </c>
      <c r="Z153" s="72"/>
      <c r="AB153" s="55" t="s">
        <v>147</v>
      </c>
      <c r="AC153" s="25"/>
      <c r="AD153" s="25"/>
      <c r="AE153" s="45"/>
      <c r="AF153" s="38" t="n">
        <f aca="false">AH153</f>
        <v>7000</v>
      </c>
      <c r="AG153" s="38"/>
      <c r="AH153" s="72" t="n">
        <v>7000</v>
      </c>
      <c r="AI153" s="72"/>
    </row>
    <row r="154" customFormat="false" ht="17.35" hidden="false" customHeight="false" outlineLevel="0" collapsed="false">
      <c r="A154" s="55" t="s">
        <v>148</v>
      </c>
      <c r="B154" s="25"/>
      <c r="C154" s="25"/>
      <c r="D154" s="45"/>
      <c r="E154" s="38" t="n">
        <f aca="false">E152-E153</f>
        <v>1500</v>
      </c>
      <c r="F154" s="38"/>
      <c r="G154" s="163" t="n">
        <f aca="false">G152-G153</f>
        <v>500</v>
      </c>
      <c r="H154" s="163"/>
      <c r="J154" s="55" t="s">
        <v>148</v>
      </c>
      <c r="K154" s="25"/>
      <c r="L154" s="25"/>
      <c r="M154" s="45"/>
      <c r="N154" s="38" t="n">
        <f aca="false">N152-N153</f>
        <v>3000</v>
      </c>
      <c r="O154" s="38"/>
      <c r="P154" s="163" t="n">
        <f aca="false">P152-P153</f>
        <v>-2000</v>
      </c>
      <c r="Q154" s="163"/>
      <c r="S154" s="55" t="s">
        <v>148</v>
      </c>
      <c r="T154" s="25"/>
      <c r="U154" s="25"/>
      <c r="V154" s="45"/>
      <c r="W154" s="38" t="n">
        <f aca="false">W152-W153</f>
        <v>3000</v>
      </c>
      <c r="X154" s="38"/>
      <c r="Y154" s="163" t="n">
        <f aca="false">Y152-Y153</f>
        <v>-2000</v>
      </c>
      <c r="Z154" s="163"/>
      <c r="AB154" s="55" t="s">
        <v>148</v>
      </c>
      <c r="AC154" s="25"/>
      <c r="AD154" s="25"/>
      <c r="AE154" s="45"/>
      <c r="AF154" s="38" t="n">
        <f aca="false">AF152-AF153</f>
        <v>3000</v>
      </c>
      <c r="AG154" s="38"/>
      <c r="AH154" s="163" t="n">
        <f aca="false">AH152-AH153</f>
        <v>-2000</v>
      </c>
      <c r="AI154" s="163"/>
    </row>
    <row r="155" customFormat="false" ht="17.35" hidden="false" customHeight="false" outlineLevel="0" collapsed="false">
      <c r="A155" s="55" t="s">
        <v>149</v>
      </c>
      <c r="B155" s="25"/>
      <c r="C155" s="25"/>
      <c r="D155" s="45"/>
      <c r="E155" s="38" t="n">
        <f aca="false">E154-G154</f>
        <v>1000</v>
      </c>
      <c r="F155" s="38"/>
      <c r="G155" s="45"/>
      <c r="H155" s="20"/>
      <c r="J155" s="55" t="s">
        <v>149</v>
      </c>
      <c r="K155" s="25"/>
      <c r="L155" s="25"/>
      <c r="M155" s="45"/>
      <c r="N155" s="38" t="n">
        <f aca="false">N154-P154</f>
        <v>5000</v>
      </c>
      <c r="O155" s="38"/>
      <c r="P155" s="45"/>
      <c r="Q155" s="20"/>
      <c r="S155" s="55" t="s">
        <v>149</v>
      </c>
      <c r="T155" s="25"/>
      <c r="U155" s="25"/>
      <c r="V155" s="45"/>
      <c r="W155" s="38" t="n">
        <f aca="false">W154-Y154</f>
        <v>5000</v>
      </c>
      <c r="X155" s="38"/>
      <c r="Y155" s="45"/>
      <c r="Z155" s="20"/>
      <c r="AB155" s="55" t="s">
        <v>149</v>
      </c>
      <c r="AC155" s="25"/>
      <c r="AD155" s="25"/>
      <c r="AE155" s="45"/>
      <c r="AF155" s="38" t="n">
        <f aca="false">AF154-AH154</f>
        <v>5000</v>
      </c>
      <c r="AG155" s="38"/>
      <c r="AH155" s="45"/>
      <c r="AI155" s="20"/>
    </row>
    <row r="156" customFormat="false" ht="17.35" hidden="false" customHeight="false" outlineLevel="0" collapsed="false">
      <c r="A156" s="55"/>
      <c r="B156" s="25"/>
      <c r="C156" s="25"/>
      <c r="D156" s="45"/>
      <c r="E156" s="25"/>
      <c r="F156" s="45"/>
      <c r="G156" s="45"/>
      <c r="H156" s="20"/>
      <c r="J156" s="55"/>
      <c r="K156" s="25"/>
      <c r="L156" s="25"/>
      <c r="M156" s="45"/>
      <c r="N156" s="25"/>
      <c r="O156" s="45"/>
      <c r="P156" s="45"/>
      <c r="Q156" s="20"/>
      <c r="S156" s="55"/>
      <c r="T156" s="25"/>
      <c r="U156" s="25"/>
      <c r="V156" s="45"/>
      <c r="W156" s="25"/>
      <c r="X156" s="45"/>
      <c r="Y156" s="45"/>
      <c r="Z156" s="20"/>
      <c r="AB156" s="55"/>
      <c r="AC156" s="25"/>
      <c r="AD156" s="25"/>
      <c r="AE156" s="45"/>
      <c r="AF156" s="25"/>
      <c r="AG156" s="45"/>
      <c r="AH156" s="45"/>
      <c r="AI156" s="20"/>
    </row>
    <row r="157" customFormat="false" ht="17.35" hidden="false" customHeight="false" outlineLevel="0" collapsed="false">
      <c r="A157" s="48" t="s">
        <v>150</v>
      </c>
      <c r="B157" s="49"/>
      <c r="C157" s="49"/>
      <c r="D157" s="93"/>
      <c r="E157" s="49"/>
      <c r="F157" s="93"/>
      <c r="G157" s="164" t="n">
        <f aca="false">A114</f>
        <v>2000</v>
      </c>
      <c r="H157" s="164"/>
      <c r="J157" s="48" t="s">
        <v>150</v>
      </c>
      <c r="K157" s="49"/>
      <c r="L157" s="49"/>
      <c r="M157" s="93"/>
      <c r="N157" s="49"/>
      <c r="O157" s="93"/>
      <c r="P157" s="164" t="n">
        <f aca="false">J114</f>
        <v>1000</v>
      </c>
      <c r="Q157" s="164"/>
      <c r="S157" s="48" t="s">
        <v>150</v>
      </c>
      <c r="T157" s="49"/>
      <c r="U157" s="49"/>
      <c r="V157" s="93"/>
      <c r="W157" s="49"/>
      <c r="X157" s="93"/>
      <c r="Y157" s="164" t="n">
        <f aca="false">S114</f>
        <v>1000</v>
      </c>
      <c r="Z157" s="164"/>
      <c r="AB157" s="48" t="s">
        <v>150</v>
      </c>
      <c r="AC157" s="49"/>
      <c r="AD157" s="49"/>
      <c r="AE157" s="93"/>
      <c r="AF157" s="49"/>
      <c r="AG157" s="93"/>
      <c r="AH157" s="164" t="n">
        <f aca="false">AB114</f>
        <v>1000</v>
      </c>
      <c r="AI157" s="164"/>
    </row>
    <row r="158" customFormat="false" ht="19.7" hidden="false" customHeight="false" outlineLevel="0" collapsed="false">
      <c r="A158" s="165" t="s">
        <v>151</v>
      </c>
      <c r="B158" s="25"/>
      <c r="C158" s="25"/>
      <c r="D158" s="94"/>
      <c r="E158" s="25"/>
      <c r="F158" s="94"/>
      <c r="G158" s="166" t="n">
        <f aca="false">H147-G154-G157</f>
        <v>67730.004</v>
      </c>
      <c r="H158" s="166"/>
      <c r="J158" s="165" t="s">
        <v>151</v>
      </c>
      <c r="K158" s="25"/>
      <c r="L158" s="25"/>
      <c r="M158" s="94"/>
      <c r="N158" s="25"/>
      <c r="O158" s="94"/>
      <c r="P158" s="166" t="n">
        <f aca="false">Q147-P154-P157</f>
        <v>37655</v>
      </c>
      <c r="Q158" s="166"/>
      <c r="S158" s="165" t="s">
        <v>151</v>
      </c>
      <c r="T158" s="25"/>
      <c r="U158" s="25"/>
      <c r="V158" s="94"/>
      <c r="W158" s="25"/>
      <c r="X158" s="94"/>
      <c r="Y158" s="166" t="n">
        <f aca="false">Z147-Y154-Y157</f>
        <v>59384.43749</v>
      </c>
      <c r="Z158" s="166"/>
      <c r="AB158" s="165" t="s">
        <v>151</v>
      </c>
      <c r="AC158" s="25"/>
      <c r="AD158" s="25"/>
      <c r="AE158" s="94"/>
      <c r="AF158" s="25"/>
      <c r="AG158" s="94"/>
      <c r="AH158" s="166" t="n">
        <f aca="false">AI147-AH154-AH157</f>
        <v>45468.749</v>
      </c>
      <c r="AI158" s="166"/>
    </row>
    <row r="159" customFormat="false" ht="17.35" hidden="false" customHeight="false" outlineLevel="0" collapsed="false">
      <c r="A159" s="74" t="s">
        <v>152</v>
      </c>
      <c r="B159" s="75"/>
      <c r="C159" s="75"/>
      <c r="D159" s="116"/>
      <c r="E159" s="75"/>
      <c r="F159" s="116"/>
      <c r="G159" s="167" t="str">
        <f aca="false">B114</f>
        <v>239.99</v>
      </c>
      <c r="H159" s="167"/>
      <c r="J159" s="74" t="s">
        <v>152</v>
      </c>
      <c r="K159" s="75"/>
      <c r="L159" s="75"/>
      <c r="M159" s="116"/>
      <c r="N159" s="75"/>
      <c r="O159" s="116"/>
      <c r="P159" s="167" t="n">
        <f aca="false">K114</f>
        <v>239.99</v>
      </c>
      <c r="Q159" s="167"/>
      <c r="S159" s="74" t="s">
        <v>152</v>
      </c>
      <c r="T159" s="75"/>
      <c r="U159" s="75"/>
      <c r="V159" s="116"/>
      <c r="W159" s="75"/>
      <c r="X159" s="116"/>
      <c r="Y159" s="167" t="n">
        <f aca="false">T114</f>
        <v>199.99</v>
      </c>
      <c r="Z159" s="167"/>
      <c r="AB159" s="74" t="s">
        <v>152</v>
      </c>
      <c r="AC159" s="75"/>
      <c r="AD159" s="75"/>
      <c r="AE159" s="116"/>
      <c r="AF159" s="75"/>
      <c r="AG159" s="116"/>
      <c r="AH159" s="167" t="n">
        <f aca="false">AC114</f>
        <v>239.99</v>
      </c>
      <c r="AI159" s="167"/>
    </row>
    <row r="160" customFormat="false" ht="17.35" hidden="false" customHeight="false" outlineLevel="0" collapsed="false">
      <c r="A160" s="55"/>
      <c r="B160" s="25"/>
      <c r="C160" s="25"/>
      <c r="D160" s="25"/>
      <c r="E160" s="45"/>
      <c r="F160" s="45"/>
      <c r="G160" s="45"/>
      <c r="H160" s="20"/>
      <c r="J160" s="55"/>
      <c r="K160" s="25"/>
      <c r="L160" s="25"/>
      <c r="M160" s="25"/>
      <c r="N160" s="45"/>
      <c r="O160" s="45"/>
      <c r="P160" s="45"/>
      <c r="Q160" s="20"/>
      <c r="S160" s="55"/>
      <c r="T160" s="25"/>
      <c r="U160" s="25"/>
      <c r="V160" s="25"/>
      <c r="W160" s="45"/>
      <c r="X160" s="45"/>
      <c r="Y160" s="45"/>
      <c r="Z160" s="20"/>
      <c r="AB160" s="55"/>
      <c r="AC160" s="25"/>
      <c r="AD160" s="25"/>
      <c r="AE160" s="25"/>
      <c r="AF160" s="45"/>
      <c r="AG160" s="45"/>
      <c r="AH160" s="45"/>
      <c r="AI160" s="20"/>
    </row>
    <row r="161" customFormat="false" ht="17.35" hidden="false" customHeight="false" outlineLevel="0" collapsed="false">
      <c r="A161" s="55"/>
      <c r="B161" s="25"/>
      <c r="C161" s="25"/>
      <c r="D161" s="25"/>
      <c r="E161" s="45"/>
      <c r="F161" s="45"/>
      <c r="G161" s="45"/>
      <c r="H161" s="20"/>
      <c r="J161" s="55"/>
      <c r="K161" s="25"/>
      <c r="L161" s="25"/>
      <c r="M161" s="25"/>
      <c r="N161" s="45"/>
      <c r="O161" s="45"/>
      <c r="P161" s="45"/>
      <c r="Q161" s="20"/>
      <c r="S161" s="55"/>
      <c r="T161" s="25"/>
      <c r="U161" s="25"/>
      <c r="V161" s="25"/>
      <c r="W161" s="45"/>
      <c r="X161" s="45"/>
      <c r="Y161" s="45"/>
      <c r="Z161" s="20"/>
      <c r="AB161" s="55"/>
      <c r="AC161" s="25"/>
      <c r="AD161" s="25"/>
      <c r="AE161" s="25"/>
      <c r="AF161" s="45"/>
      <c r="AG161" s="45"/>
      <c r="AH161" s="45"/>
      <c r="AI161" s="20"/>
    </row>
    <row r="162" customFormat="false" ht="22.05" hidden="false" customHeight="false" outlineLevel="0" collapsed="false">
      <c r="A162" s="58" t="s">
        <v>153</v>
      </c>
      <c r="B162" s="58"/>
      <c r="C162" s="58"/>
      <c r="D162" s="58"/>
      <c r="E162" s="58"/>
      <c r="F162" s="58"/>
      <c r="G162" s="58"/>
      <c r="H162" s="58"/>
      <c r="J162" s="58" t="s">
        <v>153</v>
      </c>
      <c r="K162" s="58"/>
      <c r="L162" s="58"/>
      <c r="M162" s="58"/>
      <c r="N162" s="58"/>
      <c r="O162" s="58"/>
      <c r="P162" s="58"/>
      <c r="Q162" s="58"/>
      <c r="S162" s="58" t="s">
        <v>153</v>
      </c>
      <c r="T162" s="58"/>
      <c r="U162" s="58"/>
      <c r="V162" s="58"/>
      <c r="W162" s="58"/>
      <c r="X162" s="58"/>
      <c r="Y162" s="58"/>
      <c r="Z162" s="58"/>
      <c r="AB162" s="58" t="s">
        <v>153</v>
      </c>
      <c r="AC162" s="58"/>
      <c r="AD162" s="58"/>
      <c r="AE162" s="58"/>
      <c r="AF162" s="58"/>
      <c r="AG162" s="58"/>
      <c r="AH162" s="58"/>
      <c r="AI162" s="58"/>
    </row>
    <row r="163" customFormat="false" ht="17.35" hidden="false" customHeight="false" outlineLevel="0" collapsed="false">
      <c r="A163" s="55"/>
      <c r="B163" s="25"/>
      <c r="C163" s="25"/>
      <c r="D163" s="25"/>
      <c r="E163" s="45"/>
      <c r="F163" s="45"/>
      <c r="G163" s="45"/>
      <c r="H163" s="20"/>
      <c r="J163" s="55"/>
      <c r="K163" s="25"/>
      <c r="L163" s="25"/>
      <c r="M163" s="25"/>
      <c r="N163" s="45"/>
      <c r="O163" s="45"/>
      <c r="P163" s="45"/>
      <c r="Q163" s="20"/>
      <c r="S163" s="55"/>
      <c r="T163" s="25"/>
      <c r="U163" s="25"/>
      <c r="V163" s="25"/>
      <c r="W163" s="45"/>
      <c r="X163" s="45"/>
      <c r="Y163" s="45"/>
      <c r="Z163" s="20"/>
      <c r="AB163" s="55"/>
      <c r="AC163" s="25"/>
      <c r="AD163" s="25"/>
      <c r="AE163" s="25"/>
      <c r="AF163" s="45"/>
      <c r="AG163" s="45"/>
      <c r="AH163" s="45"/>
      <c r="AI163" s="20"/>
    </row>
    <row r="164" customFormat="false" ht="17.35" hidden="false" customHeight="false" outlineLevel="0" collapsed="false">
      <c r="A164" s="55" t="s">
        <v>29</v>
      </c>
      <c r="B164" s="168" t="n">
        <v>0</v>
      </c>
      <c r="C164" s="168"/>
      <c r="D164" s="25"/>
      <c r="E164" s="45"/>
      <c r="F164" s="45"/>
      <c r="G164" s="45"/>
      <c r="H164" s="20"/>
      <c r="J164" s="55" t="s">
        <v>29</v>
      </c>
      <c r="K164" s="168" t="n">
        <v>0</v>
      </c>
      <c r="L164" s="168"/>
      <c r="M164" s="25"/>
      <c r="N164" s="45"/>
      <c r="O164" s="45"/>
      <c r="P164" s="45"/>
      <c r="Q164" s="20"/>
      <c r="S164" s="55" t="s">
        <v>29</v>
      </c>
      <c r="T164" s="168" t="n">
        <v>0</v>
      </c>
      <c r="U164" s="168"/>
      <c r="V164" s="25"/>
      <c r="W164" s="45"/>
      <c r="X164" s="45"/>
      <c r="Y164" s="45"/>
      <c r="Z164" s="20"/>
      <c r="AB164" s="55" t="s">
        <v>29</v>
      </c>
      <c r="AC164" s="168" t="n">
        <v>0</v>
      </c>
      <c r="AD164" s="168"/>
      <c r="AE164" s="25"/>
      <c r="AF164" s="45"/>
      <c r="AG164" s="45"/>
      <c r="AH164" s="45"/>
      <c r="AI164" s="20"/>
    </row>
    <row r="165" customFormat="false" ht="17.35" hidden="false" customHeight="false" outlineLevel="0" collapsed="false">
      <c r="A165" s="55"/>
      <c r="B165" s="25"/>
      <c r="C165" s="25"/>
      <c r="D165" s="25"/>
      <c r="E165" s="45"/>
      <c r="F165" s="45"/>
      <c r="G165" s="45"/>
      <c r="H165" s="20"/>
      <c r="J165" s="55"/>
      <c r="K165" s="25"/>
      <c r="L165" s="25"/>
      <c r="M165" s="25"/>
      <c r="N165" s="45"/>
      <c r="O165" s="45"/>
      <c r="P165" s="45"/>
      <c r="Q165" s="20"/>
      <c r="S165" s="55"/>
      <c r="T165" s="25"/>
      <c r="U165" s="25"/>
      <c r="V165" s="25"/>
      <c r="W165" s="45"/>
      <c r="X165" s="45"/>
      <c r="Y165" s="45"/>
      <c r="Z165" s="20"/>
      <c r="AB165" s="55"/>
      <c r="AC165" s="25"/>
      <c r="AD165" s="25"/>
      <c r="AE165" s="25"/>
      <c r="AF165" s="45"/>
      <c r="AG165" s="45"/>
      <c r="AH165" s="45"/>
      <c r="AI165" s="20"/>
    </row>
    <row r="166" customFormat="false" ht="17.35" hidden="false" customHeight="false" outlineLevel="0" collapsed="false">
      <c r="A166" s="169" t="s">
        <v>154</v>
      </c>
      <c r="B166" s="170" t="s">
        <v>155</v>
      </c>
      <c r="C166" s="170"/>
      <c r="D166" s="170"/>
      <c r="E166" s="170" t="s">
        <v>156</v>
      </c>
      <c r="F166" s="45"/>
      <c r="G166" s="45"/>
      <c r="H166" s="20"/>
      <c r="J166" s="169" t="s">
        <v>154</v>
      </c>
      <c r="K166" s="170" t="s">
        <v>155</v>
      </c>
      <c r="L166" s="170"/>
      <c r="M166" s="170"/>
      <c r="N166" s="170" t="s">
        <v>156</v>
      </c>
      <c r="O166" s="45"/>
      <c r="P166" s="45"/>
      <c r="Q166" s="20"/>
      <c r="S166" s="169" t="s">
        <v>154</v>
      </c>
      <c r="T166" s="170" t="s">
        <v>155</v>
      </c>
      <c r="U166" s="170"/>
      <c r="V166" s="170"/>
      <c r="W166" s="170" t="s">
        <v>156</v>
      </c>
      <c r="X166" s="45"/>
      <c r="Y166" s="45"/>
      <c r="Z166" s="20"/>
      <c r="AB166" s="169" t="s">
        <v>154</v>
      </c>
      <c r="AC166" s="170" t="s">
        <v>155</v>
      </c>
      <c r="AD166" s="170"/>
      <c r="AE166" s="170"/>
      <c r="AF166" s="170" t="s">
        <v>156</v>
      </c>
      <c r="AG166" s="45"/>
      <c r="AH166" s="45"/>
      <c r="AI166" s="20"/>
    </row>
    <row r="167" customFormat="false" ht="17.35" hidden="false" customHeight="false" outlineLevel="0" collapsed="false">
      <c r="A167" s="173" t="n">
        <f aca="false">B95</f>
        <v>2209.81646663473</v>
      </c>
      <c r="B167" s="172" t="str">
        <f aca="false">B94</f>
        <v>0</v>
      </c>
      <c r="C167" s="170"/>
      <c r="D167" s="170"/>
      <c r="E167" s="172" t="n">
        <f aca="false">B96</f>
        <v>2209.81646663473</v>
      </c>
      <c r="F167" s="45"/>
      <c r="G167" s="45"/>
      <c r="H167" s="20"/>
      <c r="J167" s="173" t="n">
        <f aca="false">K95</f>
        <v>1506.2831870777</v>
      </c>
      <c r="K167" s="172" t="n">
        <f aca="false">K94</f>
        <v>0</v>
      </c>
      <c r="L167" s="170"/>
      <c r="M167" s="170"/>
      <c r="N167" s="172" t="n">
        <f aca="false">K96</f>
        <v>1506.2831870777</v>
      </c>
      <c r="O167" s="45"/>
      <c r="P167" s="45"/>
      <c r="Q167" s="20"/>
      <c r="S167" s="173" t="n">
        <f aca="false">T95</f>
        <v>1969.55774011266</v>
      </c>
      <c r="T167" s="172" t="n">
        <f aca="false">T94</f>
        <v>0</v>
      </c>
      <c r="U167" s="170"/>
      <c r="V167" s="170"/>
      <c r="W167" s="172" t="n">
        <f aca="false">T96</f>
        <v>1969.55774011266</v>
      </c>
      <c r="X167" s="45"/>
      <c r="Y167" s="45"/>
      <c r="Z167" s="20"/>
      <c r="AB167" s="173" t="n">
        <f aca="false">AC95</f>
        <v>1477.42363784095</v>
      </c>
      <c r="AC167" s="172" t="n">
        <f aca="false">AC94</f>
        <v>0</v>
      </c>
      <c r="AD167" s="170"/>
      <c r="AE167" s="170"/>
      <c r="AF167" s="172" t="n">
        <f aca="false">AC96</f>
        <v>1477.42363784095</v>
      </c>
      <c r="AG167" s="45"/>
      <c r="AH167" s="45"/>
      <c r="AI167" s="20"/>
    </row>
    <row r="168" customFormat="false" ht="17.35" hidden="false" customHeight="false" outlineLevel="0" collapsed="false">
      <c r="A168" s="55"/>
      <c r="B168" s="25"/>
      <c r="C168" s="25"/>
      <c r="D168" s="25"/>
      <c r="E168" s="45"/>
      <c r="F168" s="45"/>
      <c r="G168" s="45"/>
      <c r="H168" s="20"/>
      <c r="J168" s="55"/>
      <c r="K168" s="25"/>
      <c r="L168" s="25"/>
      <c r="M168" s="25"/>
      <c r="N168" s="45"/>
      <c r="O168" s="45"/>
      <c r="P168" s="45"/>
      <c r="Q168" s="20"/>
      <c r="S168" s="55"/>
      <c r="T168" s="25"/>
      <c r="U168" s="25"/>
      <c r="V168" s="25"/>
      <c r="W168" s="45"/>
      <c r="X168" s="45"/>
      <c r="Y168" s="45"/>
      <c r="Z168" s="20"/>
      <c r="AB168" s="55"/>
      <c r="AC168" s="25"/>
      <c r="AD168" s="25"/>
      <c r="AE168" s="25"/>
      <c r="AF168" s="45"/>
      <c r="AG168" s="45"/>
      <c r="AH168" s="45"/>
      <c r="AI168" s="20"/>
    </row>
    <row r="169" customFormat="false" ht="17.35" hidden="false" customHeight="false" outlineLevel="0" collapsed="false">
      <c r="A169" s="55" t="s">
        <v>28</v>
      </c>
      <c r="B169" s="25" t="s">
        <v>33</v>
      </c>
      <c r="C169" s="25"/>
      <c r="D169" s="45"/>
      <c r="E169" s="25" t="s">
        <v>157</v>
      </c>
      <c r="F169" s="45"/>
      <c r="G169" s="45"/>
      <c r="H169" s="20"/>
      <c r="J169" s="55" t="s">
        <v>28</v>
      </c>
      <c r="K169" s="25" t="s">
        <v>33</v>
      </c>
      <c r="L169" s="25"/>
      <c r="M169" s="45"/>
      <c r="N169" s="25" t="s">
        <v>157</v>
      </c>
      <c r="O169" s="45"/>
      <c r="P169" s="45"/>
      <c r="Q169" s="20"/>
      <c r="S169" s="55" t="s">
        <v>28</v>
      </c>
      <c r="T169" s="25" t="s">
        <v>33</v>
      </c>
      <c r="U169" s="25"/>
      <c r="V169" s="45"/>
      <c r="W169" s="25" t="s">
        <v>157</v>
      </c>
      <c r="X169" s="45"/>
      <c r="Y169" s="45"/>
      <c r="Z169" s="20"/>
      <c r="AB169" s="55" t="s">
        <v>28</v>
      </c>
      <c r="AC169" s="25" t="s">
        <v>33</v>
      </c>
      <c r="AD169" s="25"/>
      <c r="AE169" s="45"/>
      <c r="AF169" s="25" t="s">
        <v>157</v>
      </c>
      <c r="AG169" s="45"/>
      <c r="AH169" s="45"/>
      <c r="AI169" s="20"/>
    </row>
    <row r="170" customFormat="false" ht="17.35" hidden="false" customHeight="false" outlineLevel="0" collapsed="false">
      <c r="A170" s="63" t="n">
        <f aca="false">K29</f>
        <v>35</v>
      </c>
      <c r="B170" s="176" t="n">
        <f aca="false">K30</f>
        <v>35000</v>
      </c>
      <c r="C170" s="175"/>
      <c r="D170" s="45"/>
      <c r="E170" s="73" t="n">
        <f aca="false">IF(A111="YES",A40, 0)</f>
        <v>5400</v>
      </c>
      <c r="F170" s="45"/>
      <c r="G170" s="45"/>
      <c r="H170" s="20"/>
      <c r="J170" s="63" t="n">
        <f aca="false">K29</f>
        <v>35</v>
      </c>
      <c r="K170" s="176" t="n">
        <f aca="false">K30</f>
        <v>35000</v>
      </c>
      <c r="L170" s="175"/>
      <c r="M170" s="45"/>
      <c r="N170" s="73" t="n">
        <f aca="false">IF(A111="YES", A40, 0)</f>
        <v>5400</v>
      </c>
      <c r="O170" s="45"/>
      <c r="P170" s="45"/>
      <c r="Q170" s="20"/>
      <c r="S170" s="63" t="n">
        <f aca="false">K29</f>
        <v>35</v>
      </c>
      <c r="T170" s="176" t="n">
        <f aca="false">K30</f>
        <v>35000</v>
      </c>
      <c r="U170" s="175"/>
      <c r="V170" s="45"/>
      <c r="W170" s="73" t="n">
        <f aca="false">IF(A111="YES", A40, 0)</f>
        <v>5400</v>
      </c>
      <c r="X170" s="45"/>
      <c r="Y170" s="45"/>
      <c r="Z170" s="20"/>
      <c r="AB170" s="63" t="n">
        <f aca="false">K29</f>
        <v>35</v>
      </c>
      <c r="AC170" s="176" t="n">
        <f aca="false">K30</f>
        <v>35000</v>
      </c>
      <c r="AD170" s="175"/>
      <c r="AE170" s="45"/>
      <c r="AF170" s="73" t="n">
        <f aca="false">IF(A111="YES", A40, 0)</f>
        <v>5400</v>
      </c>
      <c r="AG170" s="45"/>
      <c r="AH170" s="45"/>
      <c r="AI170" s="20"/>
    </row>
    <row r="171" customFormat="false" ht="17.35" hidden="false" customHeight="false" outlineLevel="0" collapsed="false">
      <c r="A171" s="55"/>
      <c r="B171" s="25"/>
      <c r="C171" s="25"/>
      <c r="D171" s="45"/>
      <c r="E171" s="25"/>
      <c r="F171" s="45"/>
      <c r="G171" s="45"/>
      <c r="H171" s="20"/>
      <c r="J171" s="55"/>
      <c r="K171" s="25"/>
      <c r="L171" s="25"/>
      <c r="M171" s="45"/>
      <c r="N171" s="25"/>
      <c r="O171" s="45"/>
      <c r="P171" s="45"/>
      <c r="Q171" s="20"/>
      <c r="S171" s="55"/>
      <c r="T171" s="25"/>
      <c r="U171" s="25"/>
      <c r="V171" s="45"/>
      <c r="W171" s="25"/>
      <c r="X171" s="45"/>
      <c r="Y171" s="45"/>
      <c r="Z171" s="20"/>
      <c r="AB171" s="55"/>
      <c r="AC171" s="25"/>
      <c r="AD171" s="25"/>
      <c r="AE171" s="45"/>
      <c r="AF171" s="25"/>
      <c r="AG171" s="45"/>
      <c r="AH171" s="45"/>
      <c r="AI171" s="20"/>
    </row>
    <row r="172" customFormat="false" ht="17.35" hidden="false" customHeight="false" outlineLevel="0" collapsed="false">
      <c r="A172" s="55" t="s">
        <v>158</v>
      </c>
      <c r="B172" s="25" t="s">
        <v>159</v>
      </c>
      <c r="C172" s="25"/>
      <c r="D172" s="45"/>
      <c r="E172" s="25" t="s">
        <v>160</v>
      </c>
      <c r="F172" s="45"/>
      <c r="G172" s="45"/>
      <c r="H172" s="20"/>
      <c r="J172" s="55" t="s">
        <v>158</v>
      </c>
      <c r="K172" s="25" t="s">
        <v>159</v>
      </c>
      <c r="L172" s="25"/>
      <c r="M172" s="45"/>
      <c r="N172" s="25" t="s">
        <v>160</v>
      </c>
      <c r="O172" s="45"/>
      <c r="P172" s="45"/>
      <c r="Q172" s="20"/>
      <c r="S172" s="55" t="s">
        <v>158</v>
      </c>
      <c r="T172" s="25" t="s">
        <v>159</v>
      </c>
      <c r="U172" s="25"/>
      <c r="V172" s="45"/>
      <c r="W172" s="25" t="s">
        <v>160</v>
      </c>
      <c r="X172" s="45"/>
      <c r="Y172" s="45"/>
      <c r="Z172" s="20"/>
      <c r="AB172" s="55" t="s">
        <v>158</v>
      </c>
      <c r="AC172" s="25" t="s">
        <v>159</v>
      </c>
      <c r="AD172" s="25"/>
      <c r="AE172" s="45"/>
      <c r="AF172" s="25" t="s">
        <v>160</v>
      </c>
      <c r="AG172" s="45"/>
      <c r="AH172" s="45"/>
      <c r="AI172" s="20"/>
    </row>
    <row r="173" customFormat="false" ht="17.35" hidden="false" customHeight="false" outlineLevel="0" collapsed="false">
      <c r="A173" s="69" t="n">
        <f aca="false">H141-H137-H139-H140</f>
        <v>57991.67</v>
      </c>
      <c r="B173" s="37" t="n">
        <f aca="false">H137</f>
        <v>11598.334</v>
      </c>
      <c r="C173" s="67"/>
      <c r="D173" s="45"/>
      <c r="E173" s="73" t="n">
        <f aca="false">H139+H140</f>
        <v>640</v>
      </c>
      <c r="F173" s="45"/>
      <c r="G173" s="45"/>
      <c r="H173" s="20"/>
      <c r="J173" s="69" t="n">
        <f aca="false">Q141-Q137-Q139-Q140</f>
        <v>30012.5</v>
      </c>
      <c r="K173" s="37" t="n">
        <f aca="false">Q137</f>
        <v>6002.5</v>
      </c>
      <c r="L173" s="67"/>
      <c r="M173" s="45"/>
      <c r="N173" s="73" t="n">
        <f aca="false">Q139+Q140</f>
        <v>640</v>
      </c>
      <c r="O173" s="45"/>
      <c r="P173" s="45"/>
      <c r="Q173" s="20"/>
      <c r="S173" s="69" t="n">
        <f aca="false">Z141-Z137-Z139-Z140</f>
        <v>48120.364575</v>
      </c>
      <c r="T173" s="37" t="n">
        <f aca="false">Z137</f>
        <v>9624.072915</v>
      </c>
      <c r="U173" s="67"/>
      <c r="V173" s="45"/>
      <c r="W173" s="73" t="n">
        <f aca="false">Z139+Z140</f>
        <v>640</v>
      </c>
      <c r="X173" s="45"/>
      <c r="Y173" s="45"/>
      <c r="Z173" s="20"/>
      <c r="AB173" s="69" t="n">
        <f aca="false">AI141-AI137-AI139-AI140</f>
        <v>36523.9575</v>
      </c>
      <c r="AC173" s="37" t="n">
        <f aca="false">AI137</f>
        <v>7304.7915</v>
      </c>
      <c r="AD173" s="67"/>
      <c r="AE173" s="45"/>
      <c r="AF173" s="73" t="n">
        <f aca="false">AI139+AI140</f>
        <v>640</v>
      </c>
      <c r="AG173" s="45"/>
      <c r="AH173" s="45"/>
      <c r="AI173" s="20"/>
    </row>
    <row r="174" customFormat="false" ht="17.35" hidden="false" customHeight="false" outlineLevel="0" collapsed="false">
      <c r="A174" s="55"/>
      <c r="B174" s="25"/>
      <c r="C174" s="25"/>
      <c r="D174" s="45"/>
      <c r="E174" s="25"/>
      <c r="F174" s="45"/>
      <c r="G174" s="45"/>
      <c r="H174" s="20"/>
      <c r="J174" s="55"/>
      <c r="K174" s="25"/>
      <c r="L174" s="25"/>
      <c r="M174" s="45"/>
      <c r="N174" s="25"/>
      <c r="O174" s="45"/>
      <c r="P174" s="45"/>
      <c r="Q174" s="20"/>
      <c r="S174" s="55"/>
      <c r="T174" s="25"/>
      <c r="U174" s="25"/>
      <c r="V174" s="45"/>
      <c r="W174" s="25"/>
      <c r="X174" s="45"/>
      <c r="Y174" s="45"/>
      <c r="Z174" s="20"/>
      <c r="AB174" s="55"/>
      <c r="AC174" s="25"/>
      <c r="AD174" s="25"/>
      <c r="AE174" s="45"/>
      <c r="AF174" s="25"/>
      <c r="AG174" s="45"/>
      <c r="AH174" s="45"/>
      <c r="AI174" s="20"/>
    </row>
    <row r="175" customFormat="false" ht="17.35" hidden="false" customHeight="false" outlineLevel="0" collapsed="false">
      <c r="A175" s="55" t="s">
        <v>161</v>
      </c>
      <c r="B175" s="25" t="s">
        <v>108</v>
      </c>
      <c r="C175" s="25"/>
      <c r="D175" s="45"/>
      <c r="E175" s="25" t="s">
        <v>109</v>
      </c>
      <c r="F175" s="45"/>
      <c r="G175" s="45"/>
      <c r="H175" s="20"/>
      <c r="J175" s="55" t="s">
        <v>161</v>
      </c>
      <c r="K175" s="25" t="s">
        <v>108</v>
      </c>
      <c r="L175" s="25"/>
      <c r="M175" s="45"/>
      <c r="N175" s="25" t="s">
        <v>109</v>
      </c>
      <c r="O175" s="45"/>
      <c r="P175" s="45"/>
      <c r="Q175" s="20"/>
      <c r="S175" s="55" t="s">
        <v>161</v>
      </c>
      <c r="T175" s="25" t="s">
        <v>108</v>
      </c>
      <c r="U175" s="25"/>
      <c r="V175" s="45"/>
      <c r="W175" s="25" t="s">
        <v>109</v>
      </c>
      <c r="X175" s="45"/>
      <c r="Y175" s="45"/>
      <c r="Z175" s="20"/>
      <c r="AB175" s="55" t="s">
        <v>161</v>
      </c>
      <c r="AC175" s="25" t="s">
        <v>108</v>
      </c>
      <c r="AD175" s="25"/>
      <c r="AE175" s="45"/>
      <c r="AF175" s="25" t="s">
        <v>109</v>
      </c>
      <c r="AG175" s="45"/>
      <c r="AH175" s="45"/>
      <c r="AI175" s="20"/>
    </row>
    <row r="176" customFormat="false" ht="17.35" hidden="false" customHeight="false" outlineLevel="0" collapsed="false">
      <c r="A176" s="69" t="n">
        <f aca="false">H141</f>
        <v>70230.004</v>
      </c>
      <c r="B176" s="37" t="n">
        <f aca="false">B111</f>
        <v>1000</v>
      </c>
      <c r="C176" s="37"/>
      <c r="D176" s="45"/>
      <c r="E176" s="37" t="n">
        <f aca="false">E111</f>
        <v>1000</v>
      </c>
      <c r="F176" s="45"/>
      <c r="G176" s="45"/>
      <c r="H176" s="177"/>
      <c r="J176" s="69" t="n">
        <f aca="false">Q141</f>
        <v>36655</v>
      </c>
      <c r="K176" s="37" t="n">
        <f aca="false">K111</f>
        <v>1000</v>
      </c>
      <c r="L176" s="37"/>
      <c r="M176" s="45"/>
      <c r="N176" s="37" t="n">
        <f aca="false">N111</f>
        <v>0</v>
      </c>
      <c r="O176" s="45"/>
      <c r="P176" s="45"/>
      <c r="Q176" s="177"/>
      <c r="S176" s="69" t="n">
        <f aca="false">Z141</f>
        <v>58384.43749</v>
      </c>
      <c r="T176" s="37" t="n">
        <f aca="false">T111</f>
        <v>1000</v>
      </c>
      <c r="U176" s="37"/>
      <c r="V176" s="45"/>
      <c r="W176" s="37" t="n">
        <f aca="false">W111</f>
        <v>0</v>
      </c>
      <c r="X176" s="45"/>
      <c r="Y176" s="45"/>
      <c r="Z176" s="177"/>
      <c r="AB176" s="69" t="n">
        <f aca="false">AI141</f>
        <v>44468.749</v>
      </c>
      <c r="AC176" s="37" t="n">
        <f aca="false">AC111</f>
        <v>1000</v>
      </c>
      <c r="AD176" s="37"/>
      <c r="AE176" s="45"/>
      <c r="AF176" s="37" t="n">
        <f aca="false">AF111</f>
        <v>0</v>
      </c>
      <c r="AG176" s="45"/>
      <c r="AH176" s="45"/>
      <c r="AI176" s="177"/>
    </row>
    <row r="177" customFormat="false" ht="17.35" hidden="false" customHeight="false" outlineLevel="0" collapsed="false">
      <c r="A177" s="55"/>
      <c r="B177" s="25"/>
      <c r="C177" s="25"/>
      <c r="D177" s="45"/>
      <c r="E177" s="25"/>
      <c r="F177" s="45"/>
      <c r="G177" s="45"/>
      <c r="H177" s="20"/>
      <c r="J177" s="55"/>
      <c r="K177" s="25"/>
      <c r="L177" s="25"/>
      <c r="M177" s="45"/>
      <c r="N177" s="25"/>
      <c r="O177" s="45"/>
      <c r="P177" s="45"/>
      <c r="Q177" s="20"/>
      <c r="S177" s="55"/>
      <c r="T177" s="25"/>
      <c r="U177" s="25"/>
      <c r="V177" s="45"/>
      <c r="W177" s="25"/>
      <c r="X177" s="45"/>
      <c r="Y177" s="45"/>
      <c r="Z177" s="20"/>
      <c r="AB177" s="55"/>
      <c r="AC177" s="25"/>
      <c r="AD177" s="25"/>
      <c r="AE177" s="45"/>
      <c r="AF177" s="25"/>
      <c r="AG177" s="45"/>
      <c r="AH177" s="45"/>
      <c r="AI177" s="20"/>
    </row>
    <row r="178" customFormat="false" ht="17.35" hidden="false" customHeight="false" outlineLevel="0" collapsed="false">
      <c r="A178" s="55" t="s">
        <v>110</v>
      </c>
      <c r="B178" s="25" t="s">
        <v>146</v>
      </c>
      <c r="C178" s="25"/>
      <c r="D178" s="45"/>
      <c r="E178" s="25" t="s">
        <v>151</v>
      </c>
      <c r="F178" s="45"/>
      <c r="G178" s="45"/>
      <c r="H178" s="20"/>
      <c r="J178" s="55" t="s">
        <v>110</v>
      </c>
      <c r="K178" s="25" t="s">
        <v>146</v>
      </c>
      <c r="L178" s="25"/>
      <c r="M178" s="45"/>
      <c r="N178" s="25" t="s">
        <v>151</v>
      </c>
      <c r="O178" s="45"/>
      <c r="P178" s="45"/>
      <c r="Q178" s="20"/>
      <c r="S178" s="55" t="s">
        <v>110</v>
      </c>
      <c r="T178" s="25" t="s">
        <v>146</v>
      </c>
      <c r="U178" s="25"/>
      <c r="V178" s="45"/>
      <c r="W178" s="25" t="s">
        <v>151</v>
      </c>
      <c r="X178" s="45"/>
      <c r="Y178" s="45"/>
      <c r="Z178" s="20"/>
      <c r="AB178" s="55" t="s">
        <v>110</v>
      </c>
      <c r="AC178" s="25" t="s">
        <v>146</v>
      </c>
      <c r="AD178" s="25"/>
      <c r="AE178" s="45"/>
      <c r="AF178" s="25" t="s">
        <v>151</v>
      </c>
      <c r="AG178" s="45"/>
      <c r="AH178" s="45"/>
      <c r="AI178" s="20"/>
    </row>
    <row r="179" customFormat="false" ht="17.35" hidden="false" customHeight="false" outlineLevel="0" collapsed="false">
      <c r="A179" s="70" t="n">
        <f aca="false">B176+E176</f>
        <v>2000</v>
      </c>
      <c r="B179" s="37" t="n">
        <f aca="false">G154</f>
        <v>500</v>
      </c>
      <c r="C179" s="37"/>
      <c r="D179" s="45"/>
      <c r="E179" s="37" t="n">
        <f aca="false">A176-A179-B179</f>
        <v>67730.004</v>
      </c>
      <c r="F179" s="45"/>
      <c r="G179" s="45"/>
      <c r="H179" s="177"/>
      <c r="J179" s="70" t="n">
        <f aca="false">K176+N176</f>
        <v>1000</v>
      </c>
      <c r="K179" s="37" t="n">
        <f aca="false">P154</f>
        <v>-2000</v>
      </c>
      <c r="L179" s="37"/>
      <c r="M179" s="45"/>
      <c r="N179" s="37" t="n">
        <f aca="false">J176-J179-K179</f>
        <v>37655</v>
      </c>
      <c r="O179" s="45"/>
      <c r="P179" s="45"/>
      <c r="Q179" s="177"/>
      <c r="S179" s="70" t="n">
        <f aca="false">T176+W176</f>
        <v>1000</v>
      </c>
      <c r="T179" s="37" t="n">
        <f aca="false">Y154</f>
        <v>-2000</v>
      </c>
      <c r="U179" s="37"/>
      <c r="V179" s="45"/>
      <c r="W179" s="37" t="n">
        <f aca="false">S176-S179-T179</f>
        <v>59384.43749</v>
      </c>
      <c r="X179" s="45"/>
      <c r="Y179" s="45"/>
      <c r="Z179" s="177"/>
      <c r="AB179" s="70" t="n">
        <f aca="false">AC176+AF176</f>
        <v>1000</v>
      </c>
      <c r="AC179" s="37" t="n">
        <f aca="false">AH154</f>
        <v>-2000</v>
      </c>
      <c r="AD179" s="37"/>
      <c r="AE179" s="45"/>
      <c r="AF179" s="37" t="n">
        <f aca="false">AB176-AB179-AC179</f>
        <v>45468.749</v>
      </c>
      <c r="AG179" s="45"/>
      <c r="AH179" s="45"/>
      <c r="AI179" s="177"/>
    </row>
    <row r="180" customFormat="false" ht="17.35" hidden="false" customHeight="false" outlineLevel="0" collapsed="false">
      <c r="A180" s="55"/>
      <c r="B180" s="25"/>
      <c r="C180" s="25"/>
      <c r="D180" s="45"/>
      <c r="E180" s="25"/>
      <c r="F180" s="45"/>
      <c r="G180" s="45"/>
      <c r="H180" s="20"/>
      <c r="J180" s="55"/>
      <c r="K180" s="25"/>
      <c r="L180" s="25"/>
      <c r="M180" s="45"/>
      <c r="N180" s="25"/>
      <c r="O180" s="45"/>
      <c r="P180" s="45"/>
      <c r="Q180" s="20"/>
      <c r="S180" s="55"/>
      <c r="T180" s="25"/>
      <c r="U180" s="25"/>
      <c r="V180" s="45"/>
      <c r="W180" s="25"/>
      <c r="X180" s="45"/>
      <c r="Y180" s="45"/>
      <c r="Z180" s="20"/>
      <c r="AB180" s="55"/>
      <c r="AC180" s="25"/>
      <c r="AD180" s="25"/>
      <c r="AE180" s="45"/>
      <c r="AF180" s="25"/>
      <c r="AG180" s="45"/>
      <c r="AH180" s="45"/>
      <c r="AI180" s="20"/>
    </row>
    <row r="181" customFormat="false" ht="17.35" hidden="false" customHeight="false" outlineLevel="0" collapsed="false">
      <c r="A181" s="55" t="s">
        <v>162</v>
      </c>
      <c r="B181" s="25" t="s">
        <v>152</v>
      </c>
      <c r="C181" s="25"/>
      <c r="D181" s="45"/>
      <c r="E181" s="25" t="s">
        <v>163</v>
      </c>
      <c r="F181" s="45"/>
      <c r="G181" s="45"/>
      <c r="H181" s="20"/>
      <c r="J181" s="55" t="s">
        <v>162</v>
      </c>
      <c r="K181" s="25" t="s">
        <v>152</v>
      </c>
      <c r="L181" s="25"/>
      <c r="M181" s="45"/>
      <c r="N181" s="25" t="s">
        <v>163</v>
      </c>
      <c r="O181" s="45"/>
      <c r="P181" s="45"/>
      <c r="Q181" s="20"/>
      <c r="S181" s="55" t="s">
        <v>162</v>
      </c>
      <c r="T181" s="25" t="s">
        <v>152</v>
      </c>
      <c r="U181" s="25"/>
      <c r="V181" s="45"/>
      <c r="W181" s="25" t="s">
        <v>163</v>
      </c>
      <c r="X181" s="45"/>
      <c r="Y181" s="45"/>
      <c r="Z181" s="20"/>
      <c r="AB181" s="55" t="s">
        <v>162</v>
      </c>
      <c r="AC181" s="25" t="s">
        <v>152</v>
      </c>
      <c r="AD181" s="25"/>
      <c r="AE181" s="45"/>
      <c r="AF181" s="25" t="s">
        <v>163</v>
      </c>
      <c r="AG181" s="45"/>
      <c r="AH181" s="45"/>
      <c r="AI181" s="20"/>
    </row>
    <row r="182" customFormat="false" ht="17.35" hidden="false" customHeight="false" outlineLevel="0" collapsed="false">
      <c r="A182" s="70" t="n">
        <f aca="false">(A167*B59)+E185-E179-A185</f>
        <v>12803.7558655807</v>
      </c>
      <c r="B182" s="37" t="str">
        <f aca="false">B114</f>
        <v>239.99</v>
      </c>
      <c r="C182" s="37"/>
      <c r="D182" s="45"/>
      <c r="E182" s="37" t="n">
        <f aca="false">E179+A182+B182+A185</f>
        <v>80783.7498655807</v>
      </c>
      <c r="F182" s="45"/>
      <c r="G182" s="45"/>
      <c r="H182" s="177"/>
      <c r="J182" s="70" t="n">
        <f aca="false">(J167*K59)+N185-N179-J185</f>
        <v>18958.6283606416</v>
      </c>
      <c r="K182" s="37" t="n">
        <f aca="false">K114</f>
        <v>239.99</v>
      </c>
      <c r="L182" s="37"/>
      <c r="M182" s="45"/>
      <c r="N182" s="37" t="n">
        <f aca="false">N179+J182+K182+J185</f>
        <v>56873.6183606416</v>
      </c>
      <c r="O182" s="45"/>
      <c r="P182" s="45"/>
      <c r="Q182" s="177"/>
      <c r="S182" s="70" t="n">
        <f aca="false">(S167*T59)+W185-W179-S185</f>
        <v>12980.5256738305</v>
      </c>
      <c r="T182" s="37" t="n">
        <f aca="false">T114</f>
        <v>199.99</v>
      </c>
      <c r="U182" s="37"/>
      <c r="V182" s="45"/>
      <c r="W182" s="37" t="n">
        <f aca="false">W179+S182+T182+S185</f>
        <v>72574.9531638305</v>
      </c>
      <c r="X182" s="45"/>
      <c r="Y182" s="45"/>
      <c r="Z182" s="177"/>
      <c r="AB182" s="70" t="n">
        <f aca="false">(AB167*AC59)+AF185-AF179-AB185</f>
        <v>10163.6546865922</v>
      </c>
      <c r="AC182" s="37" t="n">
        <f aca="false">AC114</f>
        <v>239.99</v>
      </c>
      <c r="AD182" s="37"/>
      <c r="AE182" s="45"/>
      <c r="AF182" s="37" t="n">
        <f aca="false">AF179+AB182+AC182+AB185</f>
        <v>55882.3936865922</v>
      </c>
      <c r="AG182" s="45"/>
      <c r="AH182" s="45"/>
      <c r="AI182" s="177"/>
    </row>
    <row r="183" customFormat="false" ht="17.35" hidden="false" customHeight="false" outlineLevel="0" collapsed="false">
      <c r="A183" s="55"/>
      <c r="B183" s="25"/>
      <c r="C183" s="25"/>
      <c r="D183" s="45"/>
      <c r="E183" s="25"/>
      <c r="F183" s="45"/>
      <c r="G183" s="45"/>
      <c r="H183" s="20"/>
      <c r="J183" s="55"/>
      <c r="K183" s="25"/>
      <c r="L183" s="25"/>
      <c r="M183" s="45"/>
      <c r="N183" s="25"/>
      <c r="O183" s="45"/>
      <c r="P183" s="45"/>
      <c r="Q183" s="20"/>
      <c r="S183" s="55"/>
      <c r="T183" s="25"/>
      <c r="U183" s="25"/>
      <c r="V183" s="45"/>
      <c r="W183" s="25"/>
      <c r="X183" s="45"/>
      <c r="Y183" s="45"/>
      <c r="Z183" s="20"/>
      <c r="AB183" s="55"/>
      <c r="AC183" s="25"/>
      <c r="AD183" s="25"/>
      <c r="AE183" s="45"/>
      <c r="AF183" s="25"/>
      <c r="AG183" s="45"/>
      <c r="AH183" s="45"/>
      <c r="AI183" s="20"/>
    </row>
    <row r="184" customFormat="false" ht="17.35" hidden="false" customHeight="false" outlineLevel="0" collapsed="false">
      <c r="A184" s="55" t="s">
        <v>164</v>
      </c>
      <c r="B184" s="25" t="s">
        <v>165</v>
      </c>
      <c r="C184" s="25"/>
      <c r="D184" s="45"/>
      <c r="E184" s="25" t="s">
        <v>166</v>
      </c>
      <c r="F184" s="45"/>
      <c r="G184" s="45"/>
      <c r="H184" s="20"/>
      <c r="J184" s="55" t="s">
        <v>164</v>
      </c>
      <c r="K184" s="25" t="s">
        <v>165</v>
      </c>
      <c r="L184" s="25"/>
      <c r="M184" s="45"/>
      <c r="N184" s="25" t="s">
        <v>166</v>
      </c>
      <c r="O184" s="45"/>
      <c r="P184" s="45"/>
      <c r="Q184" s="20"/>
      <c r="S184" s="55" t="s">
        <v>164</v>
      </c>
      <c r="T184" s="25" t="s">
        <v>165</v>
      </c>
      <c r="U184" s="25"/>
      <c r="V184" s="45"/>
      <c r="W184" s="25" t="s">
        <v>166</v>
      </c>
      <c r="X184" s="45"/>
      <c r="Y184" s="45"/>
      <c r="Z184" s="20"/>
      <c r="AB184" s="55" t="s">
        <v>164</v>
      </c>
      <c r="AC184" s="25" t="s">
        <v>165</v>
      </c>
      <c r="AD184" s="25"/>
      <c r="AE184" s="45"/>
      <c r="AF184" s="25" t="s">
        <v>166</v>
      </c>
      <c r="AG184" s="45"/>
      <c r="AH184" s="45"/>
      <c r="AI184" s="20"/>
    </row>
    <row r="185" customFormat="false" ht="17.35" hidden="false" customHeight="false" outlineLevel="0" collapsed="false">
      <c r="A185" s="70" t="n">
        <f aca="false">B60</f>
        <v>10</v>
      </c>
      <c r="B185" s="37" t="n">
        <f aca="false">A179+B182</f>
        <v>2239.99</v>
      </c>
      <c r="C185" s="37"/>
      <c r="D185" s="45"/>
      <c r="E185" s="37" t="n">
        <f aca="false">E170+A185</f>
        <v>5410</v>
      </c>
      <c r="F185" s="45"/>
      <c r="G185" s="45"/>
      <c r="H185" s="177"/>
      <c r="J185" s="70" t="n">
        <f aca="false">K60</f>
        <v>20</v>
      </c>
      <c r="K185" s="37" t="n">
        <f aca="false">J179+K182</f>
        <v>1239.99</v>
      </c>
      <c r="L185" s="37"/>
      <c r="M185" s="45"/>
      <c r="N185" s="37" t="n">
        <f aca="false">N170+J185</f>
        <v>5420</v>
      </c>
      <c r="O185" s="45"/>
      <c r="P185" s="45"/>
      <c r="Q185" s="177"/>
      <c r="S185" s="70" t="n">
        <f aca="false">T60</f>
        <v>10</v>
      </c>
      <c r="T185" s="37" t="n">
        <f aca="false">S179+T182</f>
        <v>1199.99</v>
      </c>
      <c r="U185" s="37"/>
      <c r="V185" s="45"/>
      <c r="W185" s="37" t="n">
        <f aca="false">W170+S185</f>
        <v>5410</v>
      </c>
      <c r="X185" s="45"/>
      <c r="Y185" s="45"/>
      <c r="Z185" s="177"/>
      <c r="AB185" s="70" t="n">
        <f aca="false">AC60</f>
        <v>10</v>
      </c>
      <c r="AC185" s="37" t="n">
        <f aca="false">AB179+AC182</f>
        <v>1239.99</v>
      </c>
      <c r="AD185" s="37"/>
      <c r="AE185" s="45"/>
      <c r="AF185" s="37" t="n">
        <f aca="false">AF170+AB185</f>
        <v>5410</v>
      </c>
      <c r="AG185" s="45"/>
      <c r="AH185" s="45"/>
      <c r="AI185" s="177"/>
    </row>
    <row r="186" customFormat="false" ht="17.35" hidden="false" customHeight="false" outlineLevel="0" collapsed="false">
      <c r="A186" s="55"/>
      <c r="B186" s="25"/>
      <c r="C186" s="25"/>
      <c r="D186" s="25"/>
      <c r="E186" s="45"/>
      <c r="F186" s="45"/>
      <c r="G186" s="45"/>
      <c r="H186" s="20"/>
      <c r="J186" s="55"/>
      <c r="K186" s="25"/>
      <c r="L186" s="25"/>
      <c r="M186" s="25"/>
      <c r="N186" s="45"/>
      <c r="O186" s="45"/>
      <c r="P186" s="45"/>
      <c r="Q186" s="20"/>
      <c r="S186" s="55"/>
      <c r="T186" s="25"/>
      <c r="U186" s="25"/>
      <c r="V186" s="25"/>
      <c r="W186" s="45"/>
      <c r="X186" s="178"/>
      <c r="Y186" s="178"/>
      <c r="Z186" s="20"/>
      <c r="AB186" s="55"/>
      <c r="AC186" s="25"/>
      <c r="AD186" s="25"/>
      <c r="AE186" s="25"/>
      <c r="AF186" s="45"/>
      <c r="AG186" s="45"/>
      <c r="AH186" s="45"/>
      <c r="AI186" s="20"/>
    </row>
    <row r="187" customFormat="false" ht="17.35" hidden="false" customHeight="false" outlineLevel="0" collapsed="false">
      <c r="A187" s="55" t="s">
        <v>167</v>
      </c>
      <c r="B187" s="25" t="s">
        <v>168</v>
      </c>
      <c r="C187" s="25"/>
      <c r="D187" s="25"/>
      <c r="E187" s="38" t="s">
        <v>169</v>
      </c>
      <c r="F187" s="45"/>
      <c r="G187" s="45"/>
      <c r="H187" s="20"/>
      <c r="J187" s="55" t="s">
        <v>167</v>
      </c>
      <c r="K187" s="25" t="s">
        <v>168</v>
      </c>
      <c r="L187" s="25"/>
      <c r="M187" s="25"/>
      <c r="N187" s="38" t="s">
        <v>169</v>
      </c>
      <c r="O187" s="45"/>
      <c r="P187" s="45"/>
      <c r="Q187" s="20"/>
      <c r="S187" s="55" t="s">
        <v>167</v>
      </c>
      <c r="T187" s="25" t="s">
        <v>168</v>
      </c>
      <c r="U187" s="25"/>
      <c r="V187" s="25"/>
      <c r="W187" s="38" t="s">
        <v>169</v>
      </c>
      <c r="X187" s="178"/>
      <c r="Y187" s="178"/>
      <c r="Z187" s="20"/>
      <c r="AB187" s="55" t="s">
        <v>167</v>
      </c>
      <c r="AC187" s="25" t="s">
        <v>168</v>
      </c>
      <c r="AD187" s="25"/>
      <c r="AE187" s="25"/>
      <c r="AF187" s="38" t="s">
        <v>169</v>
      </c>
      <c r="AG187" s="178"/>
      <c r="AH187" s="178"/>
      <c r="AI187" s="20"/>
    </row>
    <row r="188" customFormat="false" ht="17.35" hidden="false" customHeight="false" outlineLevel="0" collapsed="false">
      <c r="A188" s="70" t="n">
        <f aca="false">IF(E105="YES", H15*0.000002, 0)</f>
        <v>0</v>
      </c>
      <c r="B188" s="37" t="n">
        <f aca="false">(G158*B67)/1.2</f>
        <v>552.65801875</v>
      </c>
      <c r="C188" s="25"/>
      <c r="D188" s="25"/>
      <c r="E188" s="37" t="n">
        <f aca="false">(E40*A108)*0.1</f>
        <v>0</v>
      </c>
      <c r="F188" s="45"/>
      <c r="G188" s="45"/>
      <c r="H188" s="20"/>
      <c r="J188" s="70" t="n">
        <f aca="false">IF(N105="YES", H15*0.000002, 0)</f>
        <v>0.11705</v>
      </c>
      <c r="K188" s="37" t="n">
        <f aca="false">(P158*K67)/1.2</f>
        <v>2320.75086805556</v>
      </c>
      <c r="L188" s="25"/>
      <c r="M188" s="25"/>
      <c r="N188" s="37" t="n">
        <f aca="false">(E40*J108)*0.1</f>
        <v>0</v>
      </c>
      <c r="O188" s="45"/>
      <c r="P188" s="45"/>
      <c r="Q188" s="20"/>
      <c r="S188" s="70" t="n">
        <f aca="false">IF(W105="YES", Z15*0.000002, 0)</f>
        <v>0</v>
      </c>
      <c r="T188" s="37" t="n">
        <f aca="false">(Y158*T67)/1.2</f>
        <v>484.560514241319</v>
      </c>
      <c r="U188" s="25"/>
      <c r="V188" s="25"/>
      <c r="W188" s="37" t="n">
        <f aca="false">(E40*S108)*0.1</f>
        <v>0</v>
      </c>
      <c r="X188" s="178"/>
      <c r="Y188" s="178"/>
      <c r="Z188" s="20"/>
      <c r="AB188" s="70" t="n">
        <f aca="false">IF(AF105="YES", AI15*0.000002, 0)</f>
        <v>0</v>
      </c>
      <c r="AC188" s="37" t="n">
        <f aca="false">(AH158*AC67)/1.2</f>
        <v>371.012361631944</v>
      </c>
      <c r="AD188" s="25"/>
      <c r="AE188" s="25"/>
      <c r="AF188" s="37" t="n">
        <f aca="false">(E40*AB108)*0.1</f>
        <v>0</v>
      </c>
      <c r="AG188" s="178"/>
      <c r="AH188" s="178"/>
      <c r="AI188" s="20"/>
    </row>
    <row r="189" customFormat="false" ht="17.35" hidden="false" customHeight="false" outlineLevel="0" collapsed="false">
      <c r="A189" s="70"/>
      <c r="B189" s="37"/>
      <c r="C189" s="25"/>
      <c r="D189" s="25"/>
      <c r="E189" s="45"/>
      <c r="F189" s="45"/>
      <c r="G189" s="45"/>
      <c r="H189" s="20"/>
      <c r="J189" s="70"/>
      <c r="K189" s="37"/>
      <c r="L189" s="25"/>
      <c r="M189" s="25"/>
      <c r="N189" s="45"/>
      <c r="O189" s="45"/>
      <c r="P189" s="45"/>
      <c r="Q189" s="20"/>
      <c r="S189" s="70"/>
      <c r="T189" s="37"/>
      <c r="U189" s="25"/>
      <c r="V189" s="25"/>
      <c r="W189" s="45"/>
      <c r="X189" s="178"/>
      <c r="Y189" s="178"/>
      <c r="Z189" s="20"/>
      <c r="AB189" s="70"/>
      <c r="AC189" s="37"/>
      <c r="AD189" s="25"/>
      <c r="AE189" s="25"/>
      <c r="AF189" s="45"/>
      <c r="AG189" s="178"/>
      <c r="AH189" s="178"/>
      <c r="AI189" s="20"/>
    </row>
    <row r="190" customFormat="false" ht="17.35" hidden="false" customHeight="false" outlineLevel="0" collapsed="false">
      <c r="A190" s="78" t="s">
        <v>170</v>
      </c>
      <c r="B190" s="38" t="s">
        <v>171</v>
      </c>
      <c r="C190" s="25"/>
      <c r="D190" s="25"/>
      <c r="E190" s="38" t="s">
        <v>172</v>
      </c>
      <c r="F190" s="45"/>
      <c r="G190" s="45"/>
      <c r="H190" s="20"/>
      <c r="J190" s="78" t="s">
        <v>170</v>
      </c>
      <c r="K190" s="38" t="s">
        <v>171</v>
      </c>
      <c r="L190" s="25"/>
      <c r="M190" s="25"/>
      <c r="N190" s="38" t="s">
        <v>172</v>
      </c>
      <c r="O190" s="45"/>
      <c r="P190" s="45"/>
      <c r="Q190" s="20"/>
      <c r="S190" s="78" t="s">
        <v>170</v>
      </c>
      <c r="T190" s="38" t="s">
        <v>171</v>
      </c>
      <c r="U190" s="25"/>
      <c r="V190" s="25"/>
      <c r="W190" s="38" t="s">
        <v>172</v>
      </c>
      <c r="X190" s="178"/>
      <c r="Y190" s="178"/>
      <c r="Z190" s="20"/>
      <c r="AB190" s="78" t="s">
        <v>170</v>
      </c>
      <c r="AC190" s="38" t="s">
        <v>171</v>
      </c>
      <c r="AD190" s="25"/>
      <c r="AE190" s="25"/>
      <c r="AF190" s="38" t="s">
        <v>172</v>
      </c>
      <c r="AG190" s="178"/>
      <c r="AH190" s="178"/>
      <c r="AI190" s="20"/>
    </row>
    <row r="191" customFormat="false" ht="17.35" hidden="false" customHeight="false" outlineLevel="0" collapsed="false">
      <c r="A191" s="70" t="n">
        <f aca="false">(B182/1.2)-100</f>
        <v>99.9916666666667</v>
      </c>
      <c r="B191" s="37" t="n">
        <f aca="false">B188+E188+A191</f>
        <v>652.649685416667</v>
      </c>
      <c r="C191" s="25"/>
      <c r="D191" s="25"/>
      <c r="E191" s="37" t="n">
        <f aca="false">H148</f>
        <v>9754.17</v>
      </c>
      <c r="F191" s="45"/>
      <c r="G191" s="45"/>
      <c r="H191" s="20"/>
      <c r="J191" s="70" t="n">
        <f aca="false">K185-100</f>
        <v>1139.99</v>
      </c>
      <c r="K191" s="37" t="n">
        <f aca="false">K188+N188+J191</f>
        <v>3460.74086805556</v>
      </c>
      <c r="L191" s="25"/>
      <c r="M191" s="25"/>
      <c r="N191" s="37" t="n">
        <f aca="false">Q148</f>
        <v>-21870</v>
      </c>
      <c r="O191" s="45"/>
      <c r="P191" s="45"/>
      <c r="Q191" s="20"/>
      <c r="S191" s="70" t="n">
        <f aca="false">T185-100</f>
        <v>1099.99</v>
      </c>
      <c r="T191" s="37" t="n">
        <f aca="false">T188+W188+S191</f>
        <v>1584.55051424132</v>
      </c>
      <c r="U191" s="25"/>
      <c r="V191" s="25"/>
      <c r="W191" s="37" t="n">
        <f aca="false">Z148</f>
        <v>-140.562510000003</v>
      </c>
      <c r="X191" s="178"/>
      <c r="Y191" s="178"/>
      <c r="Z191" s="20"/>
      <c r="AB191" s="70" t="n">
        <f aca="false">AC185-100</f>
        <v>1139.99</v>
      </c>
      <c r="AC191" s="37" t="n">
        <f aca="false">AC188+AF188+AB191</f>
        <v>1511.00236163194</v>
      </c>
      <c r="AD191" s="25"/>
      <c r="AE191" s="25"/>
      <c r="AF191" s="37" t="n">
        <f aca="false">AI148</f>
        <v>-14056.251</v>
      </c>
      <c r="AG191" s="178"/>
      <c r="AH191" s="178"/>
      <c r="AI191" s="20"/>
    </row>
    <row r="192" customFormat="false" ht="17.35" hidden="false" customHeight="false" outlineLevel="0" collapsed="false">
      <c r="A192" s="55"/>
      <c r="B192" s="25"/>
      <c r="C192" s="25"/>
      <c r="D192" s="25"/>
      <c r="E192" s="45"/>
      <c r="F192" s="45"/>
      <c r="G192" s="45"/>
      <c r="H192" s="20"/>
      <c r="J192" s="55"/>
      <c r="K192" s="25"/>
      <c r="L192" s="25"/>
      <c r="M192" s="25"/>
      <c r="N192" s="45"/>
      <c r="O192" s="45"/>
      <c r="P192" s="45"/>
      <c r="Q192" s="20"/>
      <c r="S192" s="55"/>
      <c r="T192" s="25"/>
      <c r="U192" s="25"/>
      <c r="V192" s="25"/>
      <c r="W192" s="45"/>
      <c r="X192" s="45"/>
      <c r="Y192" s="45"/>
      <c r="Z192" s="20"/>
      <c r="AB192" s="55"/>
      <c r="AC192" s="25"/>
      <c r="AD192" s="25"/>
      <c r="AE192" s="25"/>
      <c r="AF192" s="45"/>
      <c r="AG192" s="45"/>
      <c r="AH192" s="45"/>
      <c r="AI192" s="20"/>
    </row>
    <row r="193" customFormat="false" ht="17.35" hidden="false" customHeight="false" outlineLevel="0" collapsed="false">
      <c r="A193" s="83" t="s">
        <v>173</v>
      </c>
      <c r="B193" s="25"/>
      <c r="C193" s="25"/>
      <c r="D193" s="84"/>
      <c r="E193" s="84"/>
      <c r="F193" s="84"/>
      <c r="G193" s="84"/>
      <c r="H193" s="85"/>
      <c r="J193" s="83" t="s">
        <v>173</v>
      </c>
      <c r="K193" s="25"/>
      <c r="L193" s="25"/>
      <c r="M193" s="84"/>
      <c r="N193" s="84"/>
      <c r="O193" s="84"/>
      <c r="P193" s="84"/>
      <c r="Q193" s="85"/>
      <c r="S193" s="83" t="s">
        <v>173</v>
      </c>
      <c r="T193" s="25"/>
      <c r="U193" s="25"/>
      <c r="V193" s="84"/>
      <c r="W193" s="84"/>
      <c r="X193" s="84"/>
      <c r="Y193" s="84"/>
      <c r="Z193" s="85"/>
      <c r="AB193" s="83" t="s">
        <v>173</v>
      </c>
      <c r="AC193" s="25"/>
      <c r="AD193" s="25"/>
      <c r="AE193" s="84"/>
      <c r="AF193" s="84"/>
      <c r="AG193" s="84"/>
      <c r="AH193" s="84"/>
      <c r="AI193" s="85"/>
    </row>
    <row r="194" customFormat="false" ht="17.35" hidden="false" customHeight="false" outlineLevel="0" collapsed="false">
      <c r="A194" s="55"/>
      <c r="B194" s="87"/>
      <c r="C194" s="87"/>
      <c r="D194" s="25"/>
      <c r="E194" s="45"/>
      <c r="F194" s="45"/>
      <c r="G194" s="45"/>
      <c r="H194" s="20"/>
      <c r="J194" s="55"/>
      <c r="K194" s="87"/>
      <c r="L194" s="87"/>
      <c r="M194" s="25"/>
      <c r="N194" s="45"/>
      <c r="O194" s="45"/>
      <c r="P194" s="45"/>
      <c r="Q194" s="20"/>
      <c r="S194" s="55"/>
      <c r="T194" s="87"/>
      <c r="U194" s="87"/>
      <c r="V194" s="25"/>
      <c r="W194" s="45"/>
      <c r="X194" s="45"/>
      <c r="Y194" s="45"/>
      <c r="Z194" s="20"/>
      <c r="AB194" s="55"/>
      <c r="AC194" s="87"/>
      <c r="AD194" s="87"/>
      <c r="AE194" s="25"/>
      <c r="AF194" s="45"/>
      <c r="AG194" s="45"/>
      <c r="AH194" s="45"/>
      <c r="AI194" s="20"/>
    </row>
    <row r="195" customFormat="false" ht="19.7" hidden="false" customHeight="false" outlineLevel="0" collapsed="false">
      <c r="A195" s="88" t="s">
        <v>28</v>
      </c>
      <c r="B195" s="89" t="s">
        <v>33</v>
      </c>
      <c r="C195" s="89"/>
      <c r="D195" s="89"/>
      <c r="E195" s="45"/>
      <c r="F195" s="45"/>
      <c r="G195" s="45"/>
      <c r="H195" s="20"/>
      <c r="J195" s="88" t="s">
        <v>28</v>
      </c>
      <c r="K195" s="89" t="s">
        <v>33</v>
      </c>
      <c r="L195" s="89"/>
      <c r="M195" s="89"/>
      <c r="N195" s="45"/>
      <c r="O195" s="45"/>
      <c r="P195" s="45"/>
      <c r="Q195" s="20"/>
      <c r="S195" s="88" t="s">
        <v>28</v>
      </c>
      <c r="T195" s="89" t="s">
        <v>33</v>
      </c>
      <c r="U195" s="89"/>
      <c r="V195" s="89"/>
      <c r="W195" s="45"/>
      <c r="X195" s="45"/>
      <c r="Y195" s="45"/>
      <c r="Z195" s="20"/>
      <c r="AB195" s="88" t="s">
        <v>28</v>
      </c>
      <c r="AC195" s="89" t="s">
        <v>33</v>
      </c>
      <c r="AD195" s="89"/>
      <c r="AE195" s="89"/>
      <c r="AF195" s="45"/>
      <c r="AG195" s="45"/>
      <c r="AH195" s="45"/>
      <c r="AI195" s="20"/>
    </row>
    <row r="196" customFormat="false" ht="19.5" hidden="false" customHeight="true" outlineLevel="0" collapsed="false">
      <c r="A196" s="88"/>
      <c r="B196" s="90" t="n">
        <f aca="false">K30</f>
        <v>35000</v>
      </c>
      <c r="C196" s="90"/>
      <c r="D196" s="90"/>
      <c r="E196" s="45"/>
      <c r="F196" s="45"/>
      <c r="G196" s="45"/>
      <c r="H196" s="20"/>
      <c r="J196" s="88"/>
      <c r="K196" s="90" t="n">
        <f aca="false">K30</f>
        <v>35000</v>
      </c>
      <c r="L196" s="90"/>
      <c r="M196" s="90"/>
      <c r="N196" s="45"/>
      <c r="O196" s="45"/>
      <c r="P196" s="45"/>
      <c r="Q196" s="20"/>
      <c r="S196" s="88"/>
      <c r="T196" s="90" t="n">
        <f aca="false">K30</f>
        <v>35000</v>
      </c>
      <c r="U196" s="90"/>
      <c r="V196" s="90"/>
      <c r="W196" s="45"/>
      <c r="X196" s="45"/>
      <c r="Y196" s="45"/>
      <c r="Z196" s="20"/>
      <c r="AB196" s="88"/>
      <c r="AC196" s="90" t="n">
        <f aca="false">K30</f>
        <v>35000</v>
      </c>
      <c r="AD196" s="90"/>
      <c r="AE196" s="90"/>
      <c r="AF196" s="45"/>
      <c r="AG196" s="45"/>
      <c r="AH196" s="45"/>
      <c r="AI196" s="20"/>
    </row>
    <row r="197" customFormat="false" ht="17.35" hidden="false" customHeight="false" outlineLevel="0" collapsed="false">
      <c r="A197" s="91" t="n">
        <f aca="false">K29</f>
        <v>35</v>
      </c>
      <c r="B197" s="92" t="n">
        <f aca="false">B96</f>
        <v>2209.81646663473</v>
      </c>
      <c r="C197" s="92"/>
      <c r="D197" s="92"/>
      <c r="E197" s="45"/>
      <c r="F197" s="45"/>
      <c r="G197" s="45"/>
      <c r="H197" s="20"/>
      <c r="J197" s="91" t="n">
        <f aca="false">K29</f>
        <v>35</v>
      </c>
      <c r="K197" s="92" t="n">
        <f aca="false">K96</f>
        <v>1506.2831870777</v>
      </c>
      <c r="L197" s="92"/>
      <c r="M197" s="92"/>
      <c r="N197" s="45"/>
      <c r="O197" s="45"/>
      <c r="P197" s="45"/>
      <c r="Q197" s="20"/>
      <c r="S197" s="91" t="n">
        <f aca="false">K29</f>
        <v>35</v>
      </c>
      <c r="T197" s="92" t="n">
        <f aca="false">T96</f>
        <v>1969.55774011266</v>
      </c>
      <c r="U197" s="92"/>
      <c r="V197" s="92"/>
      <c r="W197" s="45"/>
      <c r="X197" s="45"/>
      <c r="Y197" s="45"/>
      <c r="Z197" s="20"/>
      <c r="AB197" s="91" t="n">
        <f aca="false">K29</f>
        <v>35</v>
      </c>
      <c r="AC197" s="92" t="n">
        <f aca="false">AC96</f>
        <v>1477.42363784095</v>
      </c>
      <c r="AD197" s="92"/>
      <c r="AE197" s="92"/>
      <c r="AF197" s="45"/>
      <c r="AG197" s="45"/>
      <c r="AH197" s="45"/>
      <c r="AI197" s="20"/>
    </row>
    <row r="198" customFormat="false" ht="17.35" hidden="false" customHeight="false" outlineLevel="0" collapsed="false">
      <c r="A198" s="55"/>
      <c r="B198" s="25"/>
      <c r="C198" s="25"/>
      <c r="D198" s="25"/>
      <c r="E198" s="45"/>
      <c r="F198" s="45"/>
      <c r="G198" s="45"/>
      <c r="H198" s="20"/>
      <c r="J198" s="55"/>
      <c r="K198" s="25"/>
      <c r="L198" s="25"/>
      <c r="M198" s="25"/>
      <c r="N198" s="45"/>
      <c r="O198" s="45"/>
      <c r="P198" s="45"/>
      <c r="Q198" s="20"/>
      <c r="S198" s="55"/>
      <c r="T198" s="25"/>
      <c r="U198" s="25"/>
      <c r="V198" s="25"/>
      <c r="W198" s="45"/>
      <c r="X198" s="45"/>
      <c r="Y198" s="45"/>
      <c r="Z198" s="20"/>
      <c r="AB198" s="55"/>
      <c r="AC198" s="25"/>
      <c r="AD198" s="25"/>
      <c r="AE198" s="25"/>
      <c r="AF198" s="45"/>
      <c r="AG198" s="45"/>
      <c r="AH198" s="45"/>
      <c r="AI198" s="20"/>
    </row>
    <row r="199" customFormat="false" ht="17.35" hidden="false" customHeight="false" outlineLevel="0" collapsed="false">
      <c r="A199" s="55"/>
      <c r="B199" s="25"/>
      <c r="C199" s="25"/>
      <c r="D199" s="25"/>
      <c r="E199" s="45"/>
      <c r="F199" s="45"/>
      <c r="G199" s="45"/>
      <c r="H199" s="20"/>
      <c r="J199" s="55"/>
      <c r="K199" s="25"/>
      <c r="L199" s="25"/>
      <c r="M199" s="25"/>
      <c r="N199" s="45"/>
      <c r="O199" s="45"/>
      <c r="P199" s="45"/>
      <c r="Q199" s="20"/>
      <c r="S199" s="55"/>
      <c r="T199" s="25"/>
      <c r="U199" s="25"/>
      <c r="V199" s="25"/>
      <c r="W199" s="45"/>
      <c r="X199" s="45"/>
      <c r="Y199" s="45"/>
      <c r="Z199" s="20"/>
      <c r="AB199" s="55"/>
      <c r="AC199" s="25"/>
      <c r="AD199" s="25"/>
      <c r="AE199" s="25"/>
      <c r="AF199" s="45"/>
      <c r="AG199" s="45"/>
      <c r="AH199" s="45"/>
      <c r="AI199" s="20"/>
    </row>
    <row r="200" customFormat="false" ht="17.35" hidden="false" customHeight="false" outlineLevel="0" collapsed="false">
      <c r="A200" s="55"/>
      <c r="B200" s="25"/>
      <c r="C200" s="25"/>
      <c r="D200" s="25"/>
      <c r="E200" s="45"/>
      <c r="F200" s="45"/>
      <c r="G200" s="45"/>
      <c r="H200" s="20"/>
      <c r="J200" s="55"/>
      <c r="K200" s="25"/>
      <c r="L200" s="25"/>
      <c r="M200" s="25"/>
      <c r="N200" s="45"/>
      <c r="O200" s="45"/>
      <c r="P200" s="45"/>
      <c r="Q200" s="20"/>
      <c r="S200" s="55"/>
      <c r="T200" s="25"/>
      <c r="U200" s="25"/>
      <c r="V200" s="25"/>
      <c r="W200" s="45"/>
      <c r="X200" s="45"/>
      <c r="Y200" s="45"/>
      <c r="Z200" s="20"/>
      <c r="AB200" s="55"/>
      <c r="AC200" s="25"/>
      <c r="AD200" s="25"/>
      <c r="AE200" s="25"/>
      <c r="AF200" s="45"/>
      <c r="AG200" s="45"/>
      <c r="AH200" s="45"/>
      <c r="AI200" s="20"/>
    </row>
    <row r="201" customFormat="false" ht="17.35" hidden="false" customHeight="false" outlineLevel="0" collapsed="false">
      <c r="A201" s="55"/>
      <c r="B201" s="25"/>
      <c r="C201" s="25"/>
      <c r="D201" s="25"/>
      <c r="E201" s="45"/>
      <c r="F201" s="45"/>
      <c r="G201" s="45"/>
      <c r="H201" s="20"/>
      <c r="J201" s="55"/>
      <c r="K201" s="25"/>
      <c r="L201" s="25"/>
      <c r="M201" s="25"/>
      <c r="N201" s="45"/>
      <c r="O201" s="45"/>
      <c r="P201" s="45"/>
      <c r="Q201" s="20"/>
      <c r="S201" s="55"/>
      <c r="T201" s="25"/>
      <c r="U201" s="25"/>
      <c r="V201" s="25"/>
      <c r="W201" s="45"/>
      <c r="X201" s="45"/>
      <c r="Y201" s="45"/>
      <c r="Z201" s="20"/>
      <c r="AB201" s="55"/>
      <c r="AC201" s="25"/>
      <c r="AD201" s="25"/>
      <c r="AE201" s="25"/>
      <c r="AF201" s="45"/>
      <c r="AG201" s="45"/>
      <c r="AH201" s="45"/>
      <c r="AI201" s="20"/>
    </row>
    <row r="202" customFormat="false" ht="17.35" hidden="false" customHeight="false" outlineLevel="0" collapsed="false">
      <c r="A202" s="74"/>
      <c r="B202" s="75"/>
      <c r="C202" s="75"/>
      <c r="D202" s="75"/>
      <c r="E202" s="75"/>
      <c r="F202" s="75"/>
      <c r="G202" s="75"/>
      <c r="H202" s="82"/>
      <c r="J202" s="74"/>
      <c r="K202" s="75"/>
      <c r="L202" s="75"/>
      <c r="M202" s="75"/>
      <c r="N202" s="75"/>
      <c r="O202" s="75"/>
      <c r="P202" s="75"/>
      <c r="Q202" s="82"/>
      <c r="S202" s="74"/>
      <c r="T202" s="75"/>
      <c r="U202" s="75"/>
      <c r="V202" s="75"/>
      <c r="W202" s="75"/>
      <c r="X202" s="75"/>
      <c r="Y202" s="75"/>
      <c r="Z202" s="82"/>
      <c r="AB202" s="74"/>
      <c r="AC202" s="75"/>
      <c r="AD202" s="75"/>
      <c r="AE202" s="75"/>
      <c r="AF202" s="75"/>
      <c r="AG202" s="75"/>
      <c r="AH202" s="75"/>
      <c r="AI202" s="82"/>
    </row>
    <row r="206" customFormat="false" ht="22.05" hidden="false" customHeight="false" outlineLevel="0" collapsed="false">
      <c r="A206" s="179" t="s">
        <v>153</v>
      </c>
      <c r="B206" s="179"/>
      <c r="C206" s="179"/>
      <c r="D206" s="179"/>
      <c r="E206" s="179"/>
      <c r="F206" s="179"/>
      <c r="G206" s="179"/>
      <c r="H206" s="179"/>
    </row>
    <row r="207" customFormat="false" ht="17.35" hidden="false" customHeight="false" outlineLevel="0" collapsed="false">
      <c r="A207" s="55"/>
      <c r="B207" s="25"/>
      <c r="C207" s="25"/>
      <c r="D207" s="25"/>
      <c r="E207" s="94"/>
      <c r="F207" s="94"/>
      <c r="G207" s="94"/>
      <c r="H207" s="20"/>
    </row>
    <row r="208" customFormat="false" ht="17.35" hidden="false" customHeight="false" outlineLevel="0" collapsed="false">
      <c r="A208" s="180" t="s">
        <v>98</v>
      </c>
      <c r="B208" s="181" t="s">
        <v>174</v>
      </c>
      <c r="C208" s="181"/>
      <c r="D208" s="181"/>
      <c r="E208" s="181" t="s">
        <v>175</v>
      </c>
      <c r="F208" s="182"/>
      <c r="G208" s="94"/>
      <c r="H208" s="20"/>
    </row>
    <row r="209" customFormat="false" ht="17.35" hidden="false" customHeight="false" outlineLevel="0" collapsed="false">
      <c r="A209" s="183" t="s">
        <v>176</v>
      </c>
      <c r="B209" s="170" t="n">
        <f aca="false">A197</f>
        <v>35</v>
      </c>
      <c r="C209" s="170"/>
      <c r="D209" s="170"/>
      <c r="E209" s="170" t="n">
        <f aca="false">B196</f>
        <v>35000</v>
      </c>
      <c r="F209" s="182"/>
      <c r="G209" s="94"/>
      <c r="H209" s="20"/>
    </row>
    <row r="210" customFormat="false" ht="17.35" hidden="false" customHeight="false" outlineLevel="0" collapsed="false">
      <c r="A210" s="55"/>
      <c r="B210" s="25"/>
      <c r="C210" s="25"/>
      <c r="D210" s="25"/>
      <c r="E210" s="94"/>
      <c r="F210" s="94"/>
      <c r="G210" s="94"/>
      <c r="H210" s="20"/>
    </row>
    <row r="211" customFormat="false" ht="17.35" hidden="false" customHeight="false" outlineLevel="0" collapsed="false">
      <c r="A211" s="180" t="s">
        <v>154</v>
      </c>
      <c r="B211" s="181" t="s">
        <v>155</v>
      </c>
      <c r="C211" s="181"/>
      <c r="D211" s="181"/>
      <c r="E211" s="181" t="s">
        <v>156</v>
      </c>
      <c r="F211" s="94"/>
      <c r="G211" s="94"/>
      <c r="H211" s="20"/>
    </row>
    <row r="212" customFormat="false" ht="17.35" hidden="false" customHeight="false" outlineLevel="0" collapsed="false">
      <c r="A212" s="173" t="n">
        <f aca="false">A167</f>
        <v>2209.81646663473</v>
      </c>
      <c r="B212" s="172" t="str">
        <f aca="false">B167</f>
        <v>0</v>
      </c>
      <c r="C212" s="170"/>
      <c r="D212" s="170"/>
      <c r="E212" s="172" t="n">
        <f aca="false">E167</f>
        <v>2209.81646663473</v>
      </c>
      <c r="F212" s="94"/>
      <c r="G212" s="94"/>
      <c r="H212" s="20"/>
    </row>
    <row r="213" customFormat="false" ht="17.35" hidden="false" customHeight="false" outlineLevel="0" collapsed="false">
      <c r="A213" s="55"/>
      <c r="B213" s="25"/>
      <c r="C213" s="25"/>
      <c r="D213" s="25"/>
      <c r="E213" s="94"/>
      <c r="F213" s="94"/>
      <c r="G213" s="94"/>
      <c r="H213" s="20"/>
    </row>
    <row r="214" customFormat="false" ht="17.35" hidden="false" customHeight="false" outlineLevel="0" collapsed="false">
      <c r="A214" s="55" t="s">
        <v>158</v>
      </c>
      <c r="B214" s="25" t="s">
        <v>159</v>
      </c>
      <c r="C214" s="25"/>
      <c r="D214" s="94"/>
      <c r="E214" s="25" t="s">
        <v>160</v>
      </c>
      <c r="F214" s="94"/>
      <c r="G214" s="94"/>
      <c r="H214" s="20"/>
    </row>
    <row r="215" customFormat="false" ht="17.35" hidden="false" customHeight="false" outlineLevel="0" collapsed="false">
      <c r="A215" s="69" t="n">
        <f aca="false">A173</f>
        <v>57991.67</v>
      </c>
      <c r="B215" s="37" t="n">
        <f aca="false">B173</f>
        <v>11598.334</v>
      </c>
      <c r="C215" s="67"/>
      <c r="D215" s="94"/>
      <c r="E215" s="73" t="n">
        <f aca="false">E173</f>
        <v>640</v>
      </c>
      <c r="F215" s="94"/>
      <c r="G215" s="94"/>
      <c r="H215" s="20"/>
    </row>
    <row r="216" customFormat="false" ht="17.35" hidden="false" customHeight="false" outlineLevel="0" collapsed="false">
      <c r="A216" s="55"/>
      <c r="B216" s="25"/>
      <c r="C216" s="25"/>
      <c r="D216" s="94"/>
      <c r="E216" s="25"/>
      <c r="F216" s="94"/>
      <c r="G216" s="94"/>
      <c r="H216" s="20"/>
    </row>
    <row r="217" customFormat="false" ht="17.35" hidden="false" customHeight="false" outlineLevel="0" collapsed="false">
      <c r="A217" s="55" t="s">
        <v>161</v>
      </c>
      <c r="B217" s="25" t="s">
        <v>108</v>
      </c>
      <c r="C217" s="25"/>
      <c r="D217" s="94"/>
      <c r="E217" s="25" t="s">
        <v>109</v>
      </c>
      <c r="F217" s="94"/>
      <c r="G217" s="94"/>
      <c r="H217" s="20"/>
    </row>
    <row r="218" customFormat="false" ht="17.35" hidden="false" customHeight="false" outlineLevel="0" collapsed="false">
      <c r="A218" s="69" t="n">
        <f aca="false">A176</f>
        <v>70230.004</v>
      </c>
      <c r="B218" s="37" t="n">
        <f aca="false">B176</f>
        <v>1000</v>
      </c>
      <c r="C218" s="37"/>
      <c r="D218" s="94"/>
      <c r="E218" s="37" t="n">
        <f aca="false">E176</f>
        <v>1000</v>
      </c>
      <c r="F218" s="94"/>
      <c r="G218" s="94"/>
      <c r="H218" s="177"/>
    </row>
    <row r="219" customFormat="false" ht="17.35" hidden="false" customHeight="false" outlineLevel="0" collapsed="false">
      <c r="A219" s="55"/>
      <c r="B219" s="25"/>
      <c r="C219" s="25"/>
      <c r="D219" s="94"/>
      <c r="E219" s="25"/>
      <c r="F219" s="94"/>
      <c r="G219" s="94"/>
      <c r="H219" s="20"/>
    </row>
    <row r="220" customFormat="false" ht="17.35" hidden="false" customHeight="false" outlineLevel="0" collapsed="false">
      <c r="A220" s="55" t="s">
        <v>110</v>
      </c>
      <c r="B220" s="25" t="s">
        <v>146</v>
      </c>
      <c r="C220" s="25"/>
      <c r="D220" s="94"/>
      <c r="E220" s="25" t="s">
        <v>151</v>
      </c>
      <c r="F220" s="94"/>
      <c r="G220" s="94"/>
      <c r="H220" s="20"/>
    </row>
    <row r="221" customFormat="false" ht="17.35" hidden="false" customHeight="false" outlineLevel="0" collapsed="false">
      <c r="A221" s="70" t="n">
        <f aca="false">A179</f>
        <v>2000</v>
      </c>
      <c r="B221" s="37" t="n">
        <f aca="false">B179</f>
        <v>500</v>
      </c>
      <c r="C221" s="37"/>
      <c r="D221" s="94"/>
      <c r="E221" s="37" t="n">
        <f aca="false">E179</f>
        <v>67730.004</v>
      </c>
      <c r="F221" s="94"/>
      <c r="G221" s="94"/>
      <c r="H221" s="177"/>
    </row>
    <row r="222" customFormat="false" ht="17.35" hidden="false" customHeight="false" outlineLevel="0" collapsed="false">
      <c r="A222" s="55"/>
      <c r="B222" s="25"/>
      <c r="C222" s="25"/>
      <c r="D222" s="94"/>
      <c r="E222" s="25"/>
      <c r="F222" s="94"/>
      <c r="G222" s="94"/>
      <c r="H222" s="20"/>
    </row>
    <row r="223" customFormat="false" ht="17.35" hidden="false" customHeight="false" outlineLevel="0" collapsed="false">
      <c r="A223" s="55" t="s">
        <v>162</v>
      </c>
      <c r="B223" s="25" t="s">
        <v>152</v>
      </c>
      <c r="C223" s="25"/>
      <c r="D223" s="94"/>
      <c r="E223" s="25" t="s">
        <v>163</v>
      </c>
      <c r="F223" s="94"/>
      <c r="G223" s="94"/>
      <c r="H223" s="20"/>
    </row>
    <row r="224" customFormat="false" ht="17.35" hidden="false" customHeight="false" outlineLevel="0" collapsed="false">
      <c r="A224" s="70" t="n">
        <f aca="false">A182</f>
        <v>12803.7558655807</v>
      </c>
      <c r="B224" s="37" t="str">
        <f aca="false">B182</f>
        <v>239.99</v>
      </c>
      <c r="C224" s="37"/>
      <c r="D224" s="94"/>
      <c r="E224" s="37" t="n">
        <f aca="false">E182</f>
        <v>80783.7498655807</v>
      </c>
      <c r="F224" s="94"/>
      <c r="G224" s="94"/>
      <c r="H224" s="177"/>
    </row>
    <row r="225" customFormat="false" ht="17.35" hidden="false" customHeight="false" outlineLevel="0" collapsed="false">
      <c r="A225" s="55"/>
      <c r="B225" s="25"/>
      <c r="C225" s="25"/>
      <c r="D225" s="94"/>
      <c r="E225" s="25"/>
      <c r="F225" s="94"/>
      <c r="G225" s="94"/>
      <c r="H225" s="20"/>
    </row>
    <row r="226" customFormat="false" ht="17.35" hidden="false" customHeight="false" outlineLevel="0" collapsed="false">
      <c r="A226" s="55" t="s">
        <v>164</v>
      </c>
      <c r="B226" s="25" t="s">
        <v>165</v>
      </c>
      <c r="C226" s="25"/>
      <c r="D226" s="94"/>
      <c r="E226" s="25" t="s">
        <v>177</v>
      </c>
      <c r="F226" s="94"/>
      <c r="G226" s="94"/>
      <c r="H226" s="20"/>
    </row>
    <row r="227" customFormat="false" ht="17.35" hidden="false" customHeight="false" outlineLevel="0" collapsed="false">
      <c r="A227" s="70" t="n">
        <f aca="false">A185</f>
        <v>10</v>
      </c>
      <c r="B227" s="37" t="n">
        <f aca="false">B185</f>
        <v>2239.99</v>
      </c>
      <c r="C227" s="37"/>
      <c r="D227" s="94"/>
      <c r="E227" s="37" t="n">
        <f aca="false">B59</f>
        <v>34</v>
      </c>
      <c r="F227" s="94"/>
      <c r="G227" s="94"/>
      <c r="H227" s="177"/>
    </row>
    <row r="228" customFormat="false" ht="17.35" hidden="false" customHeight="false" outlineLevel="0" collapsed="false">
      <c r="A228" s="55"/>
      <c r="B228" s="25"/>
      <c r="C228" s="25"/>
      <c r="D228" s="25"/>
      <c r="E228" s="94"/>
      <c r="F228" s="94"/>
      <c r="G228" s="94"/>
      <c r="H228" s="20"/>
    </row>
    <row r="229" customFormat="false" ht="17.35" hidden="false" customHeight="false" outlineLevel="0" collapsed="false">
      <c r="A229" s="55" t="s">
        <v>154</v>
      </c>
      <c r="B229" s="25" t="s">
        <v>155</v>
      </c>
      <c r="C229" s="25"/>
      <c r="D229" s="25"/>
      <c r="E229" s="25" t="s">
        <v>156</v>
      </c>
      <c r="F229" s="94"/>
      <c r="G229" s="94"/>
      <c r="H229" s="20"/>
    </row>
    <row r="230" customFormat="false" ht="17.35" hidden="false" customHeight="false" outlineLevel="0" collapsed="false">
      <c r="A230" s="70" t="n">
        <f aca="false">A167</f>
        <v>2209.81646663473</v>
      </c>
      <c r="B230" s="37" t="str">
        <f aca="false">B167</f>
        <v>0</v>
      </c>
      <c r="C230" s="67"/>
      <c r="D230" s="67"/>
      <c r="E230" s="37" t="n">
        <f aca="false">E167</f>
        <v>2209.81646663473</v>
      </c>
      <c r="F230" s="94"/>
      <c r="G230" s="94"/>
      <c r="H230" s="20"/>
    </row>
    <row r="231" customFormat="false" ht="17.35" hidden="false" customHeight="false" outlineLevel="0" collapsed="false">
      <c r="A231" s="55"/>
      <c r="B231" s="25"/>
      <c r="C231" s="25"/>
      <c r="D231" s="25"/>
      <c r="E231" s="94"/>
      <c r="F231" s="94"/>
      <c r="G231" s="94"/>
      <c r="H231" s="20"/>
    </row>
    <row r="232" customFormat="false" ht="17.35" hidden="false" customHeight="false" outlineLevel="0" collapsed="false">
      <c r="A232" s="55" t="s">
        <v>178</v>
      </c>
      <c r="B232" s="25" t="s">
        <v>179</v>
      </c>
      <c r="C232" s="25"/>
      <c r="D232" s="25"/>
      <c r="E232" s="25" t="s">
        <v>180</v>
      </c>
      <c r="F232" s="94"/>
      <c r="G232" s="94"/>
      <c r="H232" s="20"/>
    </row>
    <row r="233" customFormat="false" ht="17.35" hidden="false" customHeight="false" outlineLevel="0" collapsed="false">
      <c r="A233" s="70" t="n">
        <f aca="false">E170</f>
        <v>5400</v>
      </c>
      <c r="B233" s="37" t="n">
        <f aca="false">E185</f>
        <v>5410</v>
      </c>
      <c r="C233" s="25"/>
      <c r="D233" s="25"/>
      <c r="E233" s="37" t="n">
        <f aca="false">J18*0.000006*100*1.2</f>
        <v>41.6772</v>
      </c>
      <c r="F233" s="94"/>
      <c r="G233" s="94"/>
      <c r="H233" s="20"/>
    </row>
    <row r="234" customFormat="false" ht="17.35" hidden="false" customHeight="false" outlineLevel="0" collapsed="false">
      <c r="A234" s="70"/>
      <c r="B234" s="37"/>
      <c r="C234" s="25"/>
      <c r="D234" s="25"/>
      <c r="E234" s="37"/>
      <c r="F234" s="94"/>
      <c r="G234" s="94"/>
      <c r="H234" s="20"/>
    </row>
    <row r="235" customFormat="false" ht="17.35" hidden="false" customHeight="false" outlineLevel="0" collapsed="false">
      <c r="A235" s="78" t="s">
        <v>181</v>
      </c>
      <c r="B235" s="38" t="s">
        <v>182</v>
      </c>
      <c r="C235" s="25"/>
      <c r="D235" s="25"/>
      <c r="E235" s="38" t="s">
        <v>102</v>
      </c>
      <c r="F235" s="94"/>
      <c r="G235" s="94"/>
      <c r="H235" s="20"/>
    </row>
    <row r="236" customFormat="false" ht="17.35" hidden="false" customHeight="false" outlineLevel="0" collapsed="false">
      <c r="A236" s="70" t="n">
        <f aca="false">IF(E105="YES", J18*0.000002, 0)*100*1.2</f>
        <v>0</v>
      </c>
      <c r="B236" s="37" t="n">
        <f aca="false">E233+A236</f>
        <v>41.6772</v>
      </c>
      <c r="C236" s="25"/>
      <c r="D236" s="25"/>
      <c r="E236" s="37"/>
      <c r="F236" s="94"/>
      <c r="G236" s="94"/>
      <c r="H236" s="20"/>
    </row>
    <row r="237" customFormat="false" ht="17.35" hidden="false" customHeight="false" outlineLevel="0" collapsed="false">
      <c r="A237" s="70"/>
      <c r="B237" s="37"/>
      <c r="C237" s="25"/>
      <c r="D237" s="25"/>
      <c r="E237" s="37"/>
      <c r="F237" s="94"/>
      <c r="G237" s="94"/>
      <c r="H237" s="20"/>
    </row>
    <row r="238" customFormat="false" ht="22.05" hidden="false" customHeight="false" outlineLevel="0" collapsed="false">
      <c r="A238" s="184" t="s">
        <v>183</v>
      </c>
      <c r="B238" s="184"/>
      <c r="C238" s="184"/>
      <c r="D238" s="184"/>
      <c r="E238" s="184"/>
      <c r="F238" s="184"/>
      <c r="G238" s="184"/>
      <c r="H238" s="184"/>
    </row>
    <row r="239" customFormat="false" ht="17.35" hidden="false" customHeight="false" outlineLevel="0" collapsed="false">
      <c r="A239" s="55" t="s">
        <v>184</v>
      </c>
      <c r="B239" s="25" t="s">
        <v>168</v>
      </c>
      <c r="C239" s="25"/>
      <c r="D239" s="25"/>
      <c r="E239" s="38" t="s">
        <v>169</v>
      </c>
      <c r="F239" s="94"/>
      <c r="G239" s="94"/>
      <c r="H239" s="20"/>
    </row>
    <row r="240" customFormat="false" ht="17.35" hidden="false" customHeight="false" outlineLevel="0" collapsed="false">
      <c r="A240" s="70" t="n">
        <f aca="false">H148</f>
        <v>9754.17</v>
      </c>
      <c r="B240" s="37" t="n">
        <f aca="false">B68</f>
        <v>552.65801875</v>
      </c>
      <c r="C240" s="25"/>
      <c r="D240" s="25"/>
      <c r="E240" s="37" t="n">
        <f aca="false">E188</f>
        <v>0</v>
      </c>
      <c r="F240" s="94"/>
      <c r="G240" s="94"/>
      <c r="H240" s="20"/>
    </row>
    <row r="241" customFormat="false" ht="17.35" hidden="false" customHeight="false" outlineLevel="0" collapsed="false">
      <c r="A241" s="70"/>
      <c r="B241" s="37"/>
      <c r="C241" s="25"/>
      <c r="D241" s="25"/>
      <c r="E241" s="94"/>
      <c r="F241" s="94"/>
      <c r="G241" s="94"/>
      <c r="H241" s="20"/>
    </row>
    <row r="242" customFormat="false" ht="17.35" hidden="false" customHeight="false" outlineLevel="0" collapsed="false">
      <c r="A242" s="78" t="s">
        <v>170</v>
      </c>
      <c r="B242" s="38" t="s">
        <v>171</v>
      </c>
      <c r="C242" s="25"/>
      <c r="D242" s="25"/>
      <c r="E242" s="38"/>
      <c r="F242" s="94"/>
      <c r="G242" s="94"/>
      <c r="H242" s="20"/>
    </row>
    <row r="243" customFormat="false" ht="17.35" hidden="false" customHeight="false" outlineLevel="0" collapsed="false">
      <c r="A243" s="70" t="n">
        <f aca="false">A191</f>
        <v>99.9916666666667</v>
      </c>
      <c r="B243" s="37" t="n">
        <f aca="false">B240+E240+A243+A240</f>
        <v>10406.8196854167</v>
      </c>
      <c r="C243" s="25"/>
      <c r="D243" s="25"/>
      <c r="E243" s="37"/>
      <c r="F243" s="94"/>
      <c r="G243" s="94"/>
      <c r="H243" s="20"/>
    </row>
    <row r="244" customFormat="false" ht="17.35" hidden="false" customHeight="false" outlineLevel="0" collapsed="false">
      <c r="A244" s="55"/>
      <c r="B244" s="25"/>
      <c r="C244" s="25"/>
      <c r="D244" s="25"/>
      <c r="E244" s="94"/>
      <c r="F244" s="94"/>
      <c r="G244" s="94"/>
      <c r="H244" s="20"/>
    </row>
    <row r="245" customFormat="false" ht="17.35" hidden="false" customHeight="false" outlineLevel="0" collapsed="false">
      <c r="A245" s="74"/>
      <c r="B245" s="75"/>
      <c r="C245" s="75"/>
      <c r="D245" s="75"/>
      <c r="E245" s="75"/>
      <c r="F245" s="75"/>
      <c r="G245" s="75"/>
      <c r="H245" s="82"/>
    </row>
    <row r="251" customFormat="false" ht="22.05" hidden="false" customHeight="false" outlineLevel="0" collapsed="false">
      <c r="A251" s="179" t="s">
        <v>185</v>
      </c>
      <c r="B251" s="179"/>
      <c r="C251" s="179"/>
      <c r="D251" s="179"/>
      <c r="E251" s="179"/>
      <c r="F251" s="179"/>
      <c r="G251" s="179"/>
      <c r="H251" s="179"/>
    </row>
    <row r="252" customFormat="false" ht="17.35" hidden="false" customHeight="false" outlineLevel="0" collapsed="false">
      <c r="A252" s="55"/>
      <c r="B252" s="178"/>
      <c r="C252" s="178"/>
      <c r="D252" s="178"/>
      <c r="E252" s="45"/>
      <c r="F252" s="45"/>
      <c r="G252" s="45"/>
      <c r="H252" s="20"/>
    </row>
    <row r="253" customFormat="false" ht="17.35" hidden="false" customHeight="false" outlineLevel="0" collapsed="false">
      <c r="A253" s="180" t="s">
        <v>186</v>
      </c>
      <c r="B253" s="185" t="n">
        <f aca="false">K35</f>
        <v>0.065</v>
      </c>
      <c r="C253" s="186"/>
      <c r="D253" s="187" t="s">
        <v>187</v>
      </c>
      <c r="E253" s="187"/>
      <c r="F253" s="185" t="n">
        <f aca="false">B83</f>
        <v>0.115</v>
      </c>
      <c r="G253" s="45"/>
      <c r="H253" s="20"/>
    </row>
    <row r="254" customFormat="false" ht="17.35" hidden="false" customHeight="false" outlineLevel="0" collapsed="false">
      <c r="A254" s="180" t="s">
        <v>188</v>
      </c>
      <c r="B254" s="188"/>
      <c r="C254" s="186"/>
      <c r="D254" s="187" t="s">
        <v>189</v>
      </c>
      <c r="E254" s="187"/>
      <c r="F254" s="188" t="n">
        <f aca="false">F261+F267+F269+B270+B271</f>
        <v>663.1896225</v>
      </c>
      <c r="G254" s="45"/>
      <c r="H254" s="20"/>
    </row>
    <row r="255" customFormat="false" ht="17.35" hidden="false" customHeight="false" outlineLevel="0" collapsed="false">
      <c r="A255" s="180" t="s">
        <v>190</v>
      </c>
      <c r="B255" s="188" t="n">
        <f aca="false">F262+B263</f>
        <v>99.9916666666667</v>
      </c>
      <c r="C255" s="186"/>
      <c r="D255" s="187" t="s">
        <v>191</v>
      </c>
      <c r="E255" s="187"/>
      <c r="F255" s="188" t="n">
        <f aca="false">(B254-F254)+B255</f>
        <v>-563.197955833333</v>
      </c>
      <c r="G255" s="45"/>
      <c r="H255" s="20"/>
    </row>
    <row r="256" customFormat="false" ht="17.35" hidden="false" customHeight="false" outlineLevel="0" collapsed="false">
      <c r="A256" s="189"/>
      <c r="B256" s="187"/>
      <c r="C256" s="190"/>
      <c r="D256" s="190"/>
      <c r="E256" s="190"/>
      <c r="F256" s="190"/>
      <c r="G256" s="191"/>
      <c r="H256" s="192"/>
    </row>
    <row r="257" customFormat="false" ht="17.35" hidden="false" customHeight="false" outlineLevel="0" collapsed="false">
      <c r="A257" s="55" t="s">
        <v>186</v>
      </c>
      <c r="B257" s="193" t="n">
        <f aca="false">B253</f>
        <v>0.065</v>
      </c>
      <c r="C257" s="186"/>
      <c r="D257" s="186"/>
      <c r="E257" s="186"/>
      <c r="F257" s="186"/>
      <c r="G257" s="45"/>
      <c r="H257" s="20"/>
    </row>
    <row r="258" customFormat="false" ht="17.35" hidden="false" customHeight="false" outlineLevel="0" collapsed="false">
      <c r="A258" s="194"/>
      <c r="B258" s="195"/>
      <c r="C258" s="196"/>
      <c r="D258" s="196"/>
      <c r="E258" s="191"/>
      <c r="F258" s="191"/>
      <c r="G258" s="191"/>
      <c r="H258" s="192"/>
    </row>
    <row r="259" customFormat="false" ht="17.35" hidden="false" customHeight="false" outlineLevel="0" collapsed="false">
      <c r="A259" s="55" t="s">
        <v>192</v>
      </c>
      <c r="B259" s="193" t="n">
        <f aca="false">B64</f>
        <v>0.05</v>
      </c>
      <c r="C259" s="178"/>
      <c r="D259" s="38" t="s">
        <v>193</v>
      </c>
      <c r="E259" s="38"/>
      <c r="F259" s="193" t="n">
        <v>0</v>
      </c>
      <c r="G259" s="45"/>
      <c r="H259" s="20"/>
    </row>
    <row r="260" customFormat="false" ht="17.35" hidden="false" customHeight="false" outlineLevel="0" collapsed="false">
      <c r="A260" s="123" t="s">
        <v>187</v>
      </c>
      <c r="B260" s="197" t="n">
        <f aca="false">B83</f>
        <v>0.115</v>
      </c>
      <c r="C260" s="198"/>
      <c r="D260" s="38" t="s">
        <v>188</v>
      </c>
      <c r="E260" s="38"/>
      <c r="F260" s="199" t="n">
        <f aca="false">(B89*B59)-(C89*B59)</f>
        <v>75133.7598655807</v>
      </c>
      <c r="G260" s="45"/>
      <c r="H260" s="20"/>
    </row>
    <row r="261" customFormat="false" ht="17.35" hidden="false" customHeight="false" outlineLevel="0" collapsed="false">
      <c r="A261" s="55" t="s">
        <v>194</v>
      </c>
      <c r="B261" s="197" t="n">
        <f aca="false">B67</f>
        <v>0.00979166666666667</v>
      </c>
      <c r="C261" s="178"/>
      <c r="D261" s="38" t="s">
        <v>194</v>
      </c>
      <c r="E261" s="38"/>
      <c r="F261" s="152" t="n">
        <f aca="false">B68*1.2</f>
        <v>663.1896225</v>
      </c>
      <c r="G261" s="45"/>
      <c r="H261" s="20"/>
    </row>
    <row r="262" customFormat="false" ht="17.35" hidden="false" customHeight="false" outlineLevel="0" collapsed="false">
      <c r="A262" s="55" t="s">
        <v>195</v>
      </c>
      <c r="B262" s="193" t="n">
        <f aca="false">A108</f>
        <v>0.2</v>
      </c>
      <c r="C262" s="178"/>
      <c r="D262" s="38" t="s">
        <v>195</v>
      </c>
      <c r="E262" s="38"/>
      <c r="F262" s="199" t="n">
        <f aca="false">E240*10</f>
        <v>0</v>
      </c>
      <c r="G262" s="45"/>
      <c r="H262" s="20"/>
    </row>
    <row r="263" customFormat="false" ht="17.35" hidden="false" customHeight="false" outlineLevel="0" collapsed="false">
      <c r="A263" s="55" t="s">
        <v>196</v>
      </c>
      <c r="B263" s="199" t="n">
        <f aca="false">A243</f>
        <v>99.9916666666667</v>
      </c>
      <c r="C263" s="178"/>
      <c r="D263" s="200" t="s">
        <v>191</v>
      </c>
      <c r="E263" s="200"/>
      <c r="F263" s="199" t="n">
        <f aca="false">(B254-F254)+B255</f>
        <v>-563.197955833333</v>
      </c>
      <c r="G263" s="45"/>
      <c r="H263" s="20"/>
    </row>
    <row r="264" customFormat="false" ht="17.35" hidden="false" customHeight="false" outlineLevel="0" collapsed="false">
      <c r="A264" s="70"/>
      <c r="B264" s="201"/>
      <c r="C264" s="178"/>
      <c r="D264" s="178"/>
      <c r="E264" s="201"/>
      <c r="F264" s="45"/>
      <c r="G264" s="45"/>
      <c r="H264" s="20"/>
    </row>
    <row r="265" customFormat="false" ht="22.05" hidden="false" customHeight="false" outlineLevel="0" collapsed="false">
      <c r="A265" s="184" t="s">
        <v>197</v>
      </c>
      <c r="B265" s="184"/>
      <c r="C265" s="184"/>
      <c r="D265" s="184"/>
      <c r="E265" s="184"/>
      <c r="F265" s="184"/>
      <c r="G265" s="184"/>
      <c r="H265" s="184"/>
    </row>
    <row r="266" customFormat="false" ht="17.35" hidden="false" customHeight="false" outlineLevel="0" collapsed="false">
      <c r="A266" s="55" t="s">
        <v>198</v>
      </c>
      <c r="B266" s="152" t="n">
        <v>0</v>
      </c>
      <c r="C266" s="178"/>
      <c r="D266" s="202" t="s">
        <v>199</v>
      </c>
      <c r="E266" s="202"/>
      <c r="F266" s="152" t="n">
        <v>0</v>
      </c>
      <c r="G266" s="45"/>
      <c r="H266" s="20"/>
    </row>
    <row r="267" customFormat="false" ht="17.35" hidden="false" customHeight="false" outlineLevel="0" collapsed="false">
      <c r="A267" s="70"/>
      <c r="B267" s="199"/>
      <c r="C267" s="178"/>
      <c r="D267" s="38" t="s">
        <v>200</v>
      </c>
      <c r="E267" s="38"/>
      <c r="F267" s="199" t="n">
        <f aca="false">B266+F266*B209</f>
        <v>0</v>
      </c>
      <c r="G267" s="45"/>
      <c r="H267" s="20"/>
    </row>
    <row r="268" customFormat="false" ht="17.35" hidden="false" customHeight="false" outlineLevel="0" collapsed="false">
      <c r="A268" s="78" t="s">
        <v>201</v>
      </c>
      <c r="B268" s="203" t="s">
        <v>4</v>
      </c>
      <c r="C268" s="178"/>
      <c r="D268" s="38" t="s">
        <v>202</v>
      </c>
      <c r="E268" s="38"/>
      <c r="F268" s="203" t="n">
        <f aca="false">B70</f>
        <v>0</v>
      </c>
      <c r="G268" s="45"/>
      <c r="H268" s="20"/>
    </row>
    <row r="269" customFormat="false" ht="17.35" hidden="false" customHeight="false" outlineLevel="0" collapsed="false">
      <c r="A269" s="78"/>
      <c r="B269" s="204"/>
      <c r="C269" s="178"/>
      <c r="D269" s="38" t="s">
        <v>203</v>
      </c>
      <c r="E269" s="38"/>
      <c r="F269" s="199" t="n">
        <f aca="false">B91</f>
        <v>0</v>
      </c>
      <c r="G269" s="45"/>
      <c r="H269" s="20"/>
    </row>
    <row r="270" customFormat="false" ht="17.35" hidden="false" customHeight="false" outlineLevel="0" collapsed="false">
      <c r="A270" s="78" t="s">
        <v>204</v>
      </c>
      <c r="B270" s="152" t="n">
        <v>0</v>
      </c>
      <c r="C270" s="178"/>
      <c r="D270" s="178"/>
      <c r="E270" s="201"/>
      <c r="F270" s="45"/>
      <c r="G270" s="45"/>
      <c r="H270" s="20"/>
    </row>
    <row r="271" customFormat="false" ht="17.35" hidden="false" customHeight="false" outlineLevel="0" collapsed="false">
      <c r="A271" s="55" t="s">
        <v>205</v>
      </c>
      <c r="B271" s="152" t="n">
        <v>0</v>
      </c>
      <c r="C271" s="178"/>
      <c r="D271" s="178"/>
      <c r="E271" s="45"/>
      <c r="F271" s="45"/>
      <c r="G271" s="45"/>
      <c r="H271" s="20"/>
    </row>
    <row r="272" customFormat="false" ht="17.35" hidden="false" customHeight="false" outlineLevel="0" collapsed="false">
      <c r="A272" s="74"/>
      <c r="B272" s="75"/>
      <c r="C272" s="75"/>
      <c r="D272" s="75"/>
      <c r="E272" s="75"/>
      <c r="F272" s="75"/>
      <c r="G272" s="75"/>
      <c r="H272" s="82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operator="between" showDropDown="false" showErrorMessage="true" showInputMessage="true" sqref="B105 K105 T105 AC105" type="list">
      <formula1>#ref!</formula1>
      <formula2>0</formula2>
    </dataValidation>
    <dataValidation allowBlank="true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operator="between" showDropDown="false" showErrorMessage="true" showInputMessage="true" sqref="B108:D108 K108:M108 T108:V108 AC108:AE108" type="list">
      <formula1>#ref!</formula1>
      <formula2>0</formula2>
    </dataValidation>
    <dataValidation allowBlank="true" operator="between" showDropDown="false" showErrorMessage="true" showInputMessage="true" sqref="B26 E105 N105 W105 AF105 A111 J111 S111 AB11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63" colorId="64" zoomScale="75" zoomScaleNormal="75" zoomScalePageLayoutView="100" workbookViewId="0">
      <selection pane="topLeft" activeCell="E185" activeCellId="0" sqref="E185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4" t="s">
        <v>324</v>
      </c>
      <c r="B1" s="4"/>
      <c r="C1" s="4"/>
      <c r="D1" s="4"/>
      <c r="E1" s="4"/>
      <c r="F1" s="4"/>
      <c r="G1" s="4"/>
      <c r="H1" s="4"/>
      <c r="I1" s="2"/>
      <c r="J1" s="2"/>
    </row>
    <row r="2" customFormat="false" ht="19.7" hidden="false" customHeight="false" outlineLevel="0" collapsed="false">
      <c r="A2" s="99"/>
      <c r="B2" s="8" t="s">
        <v>115</v>
      </c>
      <c r="C2" s="8"/>
      <c r="D2" s="8" t="s">
        <v>116</v>
      </c>
      <c r="E2" s="8"/>
      <c r="F2" s="8" t="s">
        <v>117</v>
      </c>
      <c r="G2" s="8"/>
      <c r="H2" s="9" t="s">
        <v>118</v>
      </c>
      <c r="I2" s="2"/>
      <c r="J2" s="2"/>
    </row>
    <row r="3" customFormat="false" ht="17.35" hidden="false" customHeight="false" outlineLevel="0" collapsed="false">
      <c r="A3" s="55" t="s">
        <v>121</v>
      </c>
      <c r="B3" s="13" t="n">
        <v>46854.17</v>
      </c>
      <c r="C3" s="13" t="n">
        <v>0</v>
      </c>
      <c r="D3" s="13" t="n">
        <v>0</v>
      </c>
      <c r="E3" s="13"/>
      <c r="F3" s="13" t="n">
        <v>833.33</v>
      </c>
      <c r="G3" s="13"/>
      <c r="H3" s="14" t="n">
        <v>0</v>
      </c>
      <c r="I3" s="2"/>
      <c r="J3" s="2"/>
    </row>
    <row r="4" customFormat="false" ht="17.35" hidden="false" customHeight="false" outlineLevel="0" collapsed="false">
      <c r="A4" s="55" t="s">
        <v>122</v>
      </c>
      <c r="B4" s="17" t="n">
        <v>0</v>
      </c>
      <c r="C4" s="17" t="n">
        <v>0</v>
      </c>
      <c r="D4" s="17" t="n">
        <v>0</v>
      </c>
      <c r="E4" s="17"/>
      <c r="F4" s="17" t="n">
        <v>0</v>
      </c>
      <c r="G4" s="17"/>
      <c r="H4" s="18"/>
      <c r="I4" s="2"/>
      <c r="J4" s="2"/>
    </row>
    <row r="5" customFormat="false" ht="17.35" hidden="false" customHeight="false" outlineLevel="0" collapsed="false">
      <c r="A5" s="55" t="s">
        <v>123</v>
      </c>
      <c r="B5" s="13" t="n">
        <v>0</v>
      </c>
      <c r="C5" s="13" t="n">
        <v>0</v>
      </c>
      <c r="D5" s="13" t="n">
        <v>0</v>
      </c>
      <c r="E5" s="13"/>
      <c r="F5" s="13" t="n">
        <v>0</v>
      </c>
      <c r="G5" s="13"/>
      <c r="H5" s="20"/>
      <c r="I5" s="2"/>
      <c r="J5" s="2"/>
    </row>
    <row r="6" customFormat="false" ht="17.35" hidden="false" customHeight="false" outlineLevel="0" collapsed="false">
      <c r="A6" s="55" t="s">
        <v>124</v>
      </c>
      <c r="B6" s="21" t="n">
        <f aca="false">(B3*B4/100)+B5</f>
        <v>0</v>
      </c>
      <c r="C6" s="21" t="n">
        <f aca="false">(C3*C4/100)+C5</f>
        <v>0</v>
      </c>
      <c r="D6" s="21" t="n">
        <f aca="false">(D3*D4/100)+D5</f>
        <v>0</v>
      </c>
      <c r="E6" s="21"/>
      <c r="F6" s="21" t="n">
        <f aca="false">(F3*F4/100)+F5</f>
        <v>0</v>
      </c>
      <c r="G6" s="21"/>
      <c r="H6" s="20"/>
      <c r="I6" s="2"/>
      <c r="J6" s="2"/>
    </row>
    <row r="7" customFormat="false" ht="17.35" hidden="false" customHeight="false" outlineLevel="0" collapsed="false">
      <c r="A7" s="55" t="s">
        <v>125</v>
      </c>
      <c r="B7" s="21" t="n">
        <f aca="false">B3-B6</f>
        <v>46854.17</v>
      </c>
      <c r="C7" s="21" t="n">
        <f aca="false">C3-C6</f>
        <v>0</v>
      </c>
      <c r="D7" s="21" t="n">
        <f aca="false">D3-D6</f>
        <v>0</v>
      </c>
      <c r="E7" s="21"/>
      <c r="F7" s="21" t="n">
        <f aca="false">F3-F6</f>
        <v>833.33</v>
      </c>
      <c r="G7" s="21"/>
      <c r="H7" s="20"/>
      <c r="I7" s="2"/>
      <c r="J7" s="2"/>
    </row>
    <row r="8" customFormat="false" ht="17.35" hidden="false" customHeight="false" outlineLevel="0" collapsed="false">
      <c r="A8" s="55"/>
      <c r="B8" s="25"/>
      <c r="C8" s="25"/>
      <c r="D8" s="25"/>
      <c r="E8" s="25"/>
      <c r="F8" s="25"/>
      <c r="G8" s="25"/>
      <c r="H8" s="20"/>
      <c r="I8" s="2"/>
      <c r="J8" s="2"/>
      <c r="L8" s="26" t="s">
        <v>3</v>
      </c>
      <c r="M8" s="27" t="n">
        <f aca="false">H13+H14</f>
        <v>640</v>
      </c>
    </row>
    <row r="9" customFormat="false" ht="19.7" hidden="false" customHeight="false" outlineLevel="0" collapsed="false">
      <c r="A9" s="153" t="s">
        <v>133</v>
      </c>
      <c r="B9" s="153"/>
      <c r="C9" s="153"/>
      <c r="D9" s="153"/>
      <c r="E9" s="153" t="n">
        <f aca="false">(B7+C7+D7+E3)</f>
        <v>46854.17</v>
      </c>
      <c r="F9" s="153"/>
      <c r="G9" s="29"/>
      <c r="H9" s="30" t="n">
        <f aca="false">B7+D7+F7+H3</f>
        <v>47687.5</v>
      </c>
      <c r="I9" s="2"/>
      <c r="J9" s="2"/>
      <c r="L9" s="27"/>
      <c r="M9" s="27"/>
    </row>
    <row r="10" customFormat="false" ht="17.35" hidden="false" customHeight="false" outlineLevel="0" collapsed="false">
      <c r="A10" s="155" t="s">
        <v>134</v>
      </c>
      <c r="B10" s="155"/>
      <c r="C10" s="155"/>
      <c r="D10" s="155"/>
      <c r="E10" s="155" t="n">
        <v>50</v>
      </c>
      <c r="F10" s="155"/>
      <c r="G10" s="21"/>
      <c r="H10" s="14" t="n">
        <v>550</v>
      </c>
      <c r="I10" s="2"/>
      <c r="J10" s="2"/>
      <c r="L10" s="32" t="s">
        <v>1</v>
      </c>
      <c r="M10" s="27" t="n">
        <f aca="false">H15-H11-M8</f>
        <v>48237.5</v>
      </c>
    </row>
    <row r="11" customFormat="false" ht="17.35" hidden="false" customHeight="false" outlineLevel="0" collapsed="false">
      <c r="A11" s="155" t="s">
        <v>135</v>
      </c>
      <c r="B11" s="155"/>
      <c r="C11" s="155"/>
      <c r="D11" s="155"/>
      <c r="E11" s="155"/>
      <c r="F11" s="155"/>
      <c r="G11" s="21"/>
      <c r="H11" s="20" t="n">
        <f aca="false">(H9+H10)*20%</f>
        <v>9647.5</v>
      </c>
      <c r="I11" s="2"/>
      <c r="J11" s="2"/>
      <c r="L11" s="27"/>
      <c r="M11" s="27"/>
    </row>
    <row r="12" customFormat="false" ht="17.35" hidden="false" customHeight="false" outlineLevel="0" collapsed="false">
      <c r="A12" s="155" t="s">
        <v>136</v>
      </c>
      <c r="B12" s="155"/>
      <c r="C12" s="155"/>
      <c r="D12" s="155"/>
      <c r="E12" s="155"/>
      <c r="F12" s="155"/>
      <c r="G12" s="21"/>
      <c r="H12" s="14" t="n">
        <v>0</v>
      </c>
      <c r="I12" s="2"/>
      <c r="J12" s="2"/>
    </row>
    <row r="13" customFormat="false" ht="17.35" hidden="false" customHeight="false" outlineLevel="0" collapsed="false">
      <c r="A13" s="155" t="s">
        <v>137</v>
      </c>
      <c r="B13" s="155"/>
      <c r="C13" s="155"/>
      <c r="D13" s="155"/>
      <c r="E13" s="155" t="n">
        <v>585</v>
      </c>
      <c r="F13" s="155"/>
      <c r="G13" s="21"/>
      <c r="H13" s="14" t="n">
        <v>585</v>
      </c>
      <c r="I13" s="2"/>
      <c r="J13" s="2"/>
    </row>
    <row r="14" customFormat="false" ht="17.35" hidden="false" customHeight="false" outlineLevel="0" collapsed="false">
      <c r="A14" s="155" t="s">
        <v>138</v>
      </c>
      <c r="B14" s="155"/>
      <c r="C14" s="155"/>
      <c r="D14" s="155"/>
      <c r="E14" s="155" t="n">
        <v>55</v>
      </c>
      <c r="F14" s="155"/>
      <c r="G14" s="21"/>
      <c r="H14" s="14" t="n">
        <v>55</v>
      </c>
      <c r="I14" s="2"/>
      <c r="J14" s="2" t="s">
        <v>13</v>
      </c>
    </row>
    <row r="15" customFormat="false" ht="17.35" hidden="false" customHeight="false" outlineLevel="0" collapsed="false">
      <c r="A15" s="155" t="s">
        <v>139</v>
      </c>
      <c r="B15" s="155"/>
      <c r="C15" s="155"/>
      <c r="D15" s="155"/>
      <c r="E15" s="155"/>
      <c r="F15" s="155"/>
      <c r="G15" s="21"/>
      <c r="H15" s="33" t="n">
        <f aca="false">(H9+H10+H13+H14+H11)-H12</f>
        <v>58525</v>
      </c>
      <c r="I15" s="2"/>
      <c r="J15" s="34" t="n">
        <f aca="false">H15</f>
        <v>58525</v>
      </c>
    </row>
    <row r="16" customFormat="false" ht="17.35" hidden="false" customHeight="false" outlineLevel="0" collapsed="false">
      <c r="A16" s="155" t="s">
        <v>140</v>
      </c>
      <c r="B16" s="155"/>
      <c r="C16" s="155"/>
      <c r="D16" s="155"/>
      <c r="E16" s="155" t="n">
        <v>120</v>
      </c>
      <c r="F16" s="155"/>
      <c r="G16" s="21"/>
      <c r="H16" s="14" t="n">
        <v>0</v>
      </c>
      <c r="I16" s="2"/>
      <c r="J16" s="2"/>
      <c r="Y16" s="36" t="s">
        <v>15</v>
      </c>
    </row>
    <row r="17" customFormat="false" ht="17.35" hidden="false" customHeight="false" outlineLevel="0" collapsed="false">
      <c r="A17" s="70" t="s">
        <v>141</v>
      </c>
      <c r="B17" s="70"/>
      <c r="C17" s="70"/>
      <c r="D17" s="70"/>
      <c r="E17" s="70"/>
      <c r="F17" s="70"/>
      <c r="G17" s="37"/>
      <c r="H17" s="20"/>
      <c r="I17" s="2"/>
      <c r="J17" s="2" t="s">
        <v>16</v>
      </c>
      <c r="Y17" s="36" t="s">
        <v>17</v>
      </c>
    </row>
    <row r="18" customFormat="false" ht="17.35" hidden="false" customHeight="false" outlineLevel="0" collapsed="false">
      <c r="A18" s="158" t="s">
        <v>15</v>
      </c>
      <c r="B18" s="159" t="s">
        <v>142</v>
      </c>
      <c r="C18" s="159"/>
      <c r="D18" s="159"/>
      <c r="E18" s="159"/>
      <c r="F18" s="159"/>
      <c r="G18" s="38"/>
      <c r="H18" s="39" t="n">
        <v>0</v>
      </c>
      <c r="I18" s="2"/>
      <c r="J18" s="34" t="n">
        <f aca="false">(B3+D3+F3+H3+H10)*1.2</f>
        <v>57885</v>
      </c>
      <c r="Y18" s="36" t="s">
        <v>18</v>
      </c>
    </row>
    <row r="19" customFormat="false" ht="17.35" hidden="false" customHeight="false" outlineLevel="0" collapsed="false">
      <c r="A19" s="158" t="s">
        <v>17</v>
      </c>
      <c r="B19" s="159" t="s">
        <v>142</v>
      </c>
      <c r="C19" s="159"/>
      <c r="D19" s="159"/>
      <c r="E19" s="159"/>
      <c r="F19" s="159"/>
      <c r="G19" s="38"/>
      <c r="H19" s="39" t="n">
        <v>0</v>
      </c>
      <c r="I19" s="2"/>
      <c r="J19" s="2"/>
      <c r="Z19" s="2" t="s">
        <v>9</v>
      </c>
    </row>
    <row r="20" customFormat="false" ht="17.35" hidden="false" customHeight="false" outlineLevel="0" collapsed="false">
      <c r="A20" s="158" t="s">
        <v>18</v>
      </c>
      <c r="B20" s="159" t="s">
        <v>142</v>
      </c>
      <c r="C20" s="159"/>
      <c r="D20" s="159"/>
      <c r="E20" s="159"/>
      <c r="F20" s="159"/>
      <c r="G20" s="38"/>
      <c r="H20" s="39" t="n">
        <v>0</v>
      </c>
      <c r="I20" s="2"/>
      <c r="J20" s="2"/>
      <c r="Z20" s="2" t="s">
        <v>10</v>
      </c>
    </row>
    <row r="21" customFormat="false" ht="19.7" hidden="false" customHeight="false" outlineLevel="0" collapsed="false">
      <c r="A21" s="449" t="s">
        <v>143</v>
      </c>
      <c r="B21" s="449"/>
      <c r="C21" s="449"/>
      <c r="D21" s="449"/>
      <c r="E21" s="449"/>
      <c r="F21" s="449"/>
      <c r="G21" s="43"/>
      <c r="H21" s="44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45"/>
      <c r="B22" s="45"/>
      <c r="C22" s="45"/>
      <c r="D22" s="45"/>
      <c r="E22" s="45"/>
      <c r="F22" s="45"/>
      <c r="G22" s="45"/>
      <c r="H22" s="45"/>
      <c r="J22" s="2"/>
      <c r="K22" s="2"/>
      <c r="P22" s="46"/>
    </row>
    <row r="23" customFormat="false" ht="17.35" hidden="false" customHeight="false" outlineLevel="0" collapsed="false">
      <c r="A23" s="45"/>
      <c r="B23" s="45"/>
      <c r="C23" s="45"/>
      <c r="D23" s="45"/>
      <c r="E23" s="45"/>
      <c r="F23" s="45"/>
      <c r="G23" s="45"/>
      <c r="H23" s="45"/>
      <c r="J23" s="2"/>
      <c r="K23" s="2"/>
      <c r="P23" s="46"/>
    </row>
    <row r="24" customFormat="false" ht="46.5" hidden="false" customHeight="true" outlineLevel="0" collapsed="false">
      <c r="A24" s="47" t="s">
        <v>21</v>
      </c>
      <c r="B24" s="47"/>
      <c r="C24" s="47"/>
      <c r="D24" s="47"/>
      <c r="E24" s="47"/>
      <c r="F24" s="47"/>
      <c r="G24" s="47"/>
      <c r="H24" s="47"/>
      <c r="I24" s="2"/>
      <c r="J24" s="2"/>
      <c r="K24" s="2"/>
      <c r="P24" s="46"/>
    </row>
    <row r="25" customFormat="false" ht="17.35" hidden="false" customHeight="false" outlineLevel="0" collapsed="false">
      <c r="A25" s="48"/>
      <c r="B25" s="49"/>
      <c r="C25" s="49"/>
      <c r="D25" s="49"/>
      <c r="E25" s="49"/>
      <c r="F25" s="49"/>
      <c r="G25" s="49"/>
      <c r="H25" s="50"/>
      <c r="I25" s="2"/>
      <c r="J25" s="2"/>
      <c r="K25" s="2"/>
      <c r="P25" s="46"/>
    </row>
    <row r="26" customFormat="false" ht="17.9" hidden="false" customHeight="false" outlineLevel="0" collapsed="false">
      <c r="A26" s="51" t="s">
        <v>22</v>
      </c>
      <c r="B26" s="52" t="s">
        <v>10</v>
      </c>
      <c r="C26" s="25"/>
      <c r="D26" s="25"/>
      <c r="E26" s="25"/>
      <c r="F26" s="25"/>
      <c r="G26" s="25"/>
      <c r="H26" s="20"/>
      <c r="I26" s="2"/>
      <c r="J26" s="53" t="s">
        <v>23</v>
      </c>
      <c r="K26" s="54" t="s">
        <v>24</v>
      </c>
      <c r="P26" s="46"/>
    </row>
    <row r="27" customFormat="false" ht="17.9" hidden="false" customHeight="false" outlineLevel="0" collapsed="false">
      <c r="A27" s="55"/>
      <c r="B27" s="25"/>
      <c r="C27" s="25"/>
      <c r="D27" s="25"/>
      <c r="E27" s="25"/>
      <c r="F27" s="25"/>
      <c r="G27" s="25"/>
      <c r="H27" s="20"/>
      <c r="I27" s="2"/>
      <c r="J27" s="56" t="s">
        <v>25</v>
      </c>
      <c r="K27" s="57" t="n">
        <v>1</v>
      </c>
      <c r="P27" s="46"/>
    </row>
    <row r="28" customFormat="false" ht="22.05" hidden="false" customHeight="false" outlineLevel="0" collapsed="false">
      <c r="A28" s="58" t="s">
        <v>26</v>
      </c>
      <c r="B28" s="58"/>
      <c r="C28" s="58"/>
      <c r="D28" s="58"/>
      <c r="E28" s="58"/>
      <c r="F28" s="58"/>
      <c r="G28" s="58"/>
      <c r="H28" s="58"/>
      <c r="I28" s="2"/>
      <c r="J28" s="56" t="s">
        <v>27</v>
      </c>
      <c r="K28" s="57"/>
      <c r="P28" s="46"/>
    </row>
    <row r="29" customFormat="false" ht="17.9" hidden="false" customHeight="false" outlineLevel="0" collapsed="false">
      <c r="A29" s="55"/>
      <c r="B29" s="25"/>
      <c r="C29" s="25"/>
      <c r="D29" s="25"/>
      <c r="E29" s="25"/>
      <c r="F29" s="25"/>
      <c r="G29" s="25"/>
      <c r="H29" s="20" t="n">
        <v>36</v>
      </c>
      <c r="I29" s="25"/>
      <c r="J29" s="53" t="s">
        <v>214</v>
      </c>
      <c r="K29" s="59" t="n">
        <v>35</v>
      </c>
      <c r="P29" s="46"/>
    </row>
    <row r="30" customFormat="false" ht="17.9" hidden="false" customHeight="false" outlineLevel="0" collapsed="false">
      <c r="A30" s="55" t="s">
        <v>29</v>
      </c>
      <c r="B30" s="60" t="s">
        <v>30</v>
      </c>
      <c r="C30" s="60"/>
      <c r="D30" s="60"/>
      <c r="E30" s="25"/>
      <c r="F30" s="25"/>
      <c r="G30" s="25"/>
      <c r="H30" s="20" t="n">
        <v>10000</v>
      </c>
      <c r="I30" s="25"/>
      <c r="J30" s="53" t="s">
        <v>31</v>
      </c>
      <c r="K30" s="61" t="n">
        <v>35000</v>
      </c>
      <c r="P30" s="46"/>
    </row>
    <row r="31" customFormat="false" ht="17.9" hidden="false" customHeight="false" outlineLevel="0" collapsed="false">
      <c r="A31" s="55"/>
      <c r="B31" s="25"/>
      <c r="C31" s="25"/>
      <c r="D31" s="25"/>
      <c r="E31" s="25"/>
      <c r="F31" s="25"/>
      <c r="G31" s="25"/>
      <c r="H31" s="20" t="n">
        <v>27500</v>
      </c>
      <c r="I31" s="25"/>
      <c r="J31" s="53" t="s">
        <v>32</v>
      </c>
      <c r="K31" s="62" t="n">
        <v>10800</v>
      </c>
      <c r="P31" s="46"/>
    </row>
    <row r="32" customFormat="false" ht="34.8" hidden="false" customHeight="false" outlineLevel="0" collapsed="false">
      <c r="A32" s="55" t="s">
        <v>28</v>
      </c>
      <c r="B32" s="25" t="s">
        <v>33</v>
      </c>
      <c r="C32" s="25"/>
      <c r="D32" s="25"/>
      <c r="E32" s="25" t="s">
        <v>34</v>
      </c>
      <c r="F32" s="25"/>
      <c r="G32" s="25"/>
      <c r="H32" s="20"/>
      <c r="I32" s="2" t="n">
        <v>0</v>
      </c>
      <c r="J32" s="53" t="s">
        <v>35</v>
      </c>
      <c r="K32" s="62" t="n">
        <v>0</v>
      </c>
      <c r="P32" s="46"/>
    </row>
    <row r="33" customFormat="false" ht="34.8" hidden="false" customHeight="false" outlineLevel="0" collapsed="false">
      <c r="A33" s="63" t="n">
        <f aca="false">A52</f>
        <v>35</v>
      </c>
      <c r="B33" s="64" t="n">
        <f aca="false">B51</f>
        <v>35000</v>
      </c>
      <c r="C33" s="25"/>
      <c r="D33" s="25"/>
      <c r="E33" s="64" t="n">
        <f aca="false">K48</f>
        <v>1303.85491786444</v>
      </c>
      <c r="F33" s="64"/>
      <c r="G33" s="64"/>
      <c r="H33" s="65"/>
      <c r="I33" s="2"/>
      <c r="J33" s="56" t="s">
        <v>36</v>
      </c>
      <c r="K33" s="66" t="n">
        <f aca="false">H21-H11+(H16*20%)</f>
        <v>48877.5</v>
      </c>
      <c r="L33" s="1" t="n">
        <f aca="false">H21-H11+(H16*20%)</f>
        <v>48877.5</v>
      </c>
      <c r="P33" s="46"/>
    </row>
    <row r="34" customFormat="false" ht="17.35" hidden="false" customHeight="false" outlineLevel="0" collapsed="false">
      <c r="A34" s="55"/>
      <c r="B34" s="25"/>
      <c r="C34" s="25"/>
      <c r="D34" s="25"/>
      <c r="E34" s="67"/>
      <c r="F34" s="67"/>
      <c r="G34" s="67"/>
      <c r="H34" s="65"/>
      <c r="I34" s="2"/>
      <c r="J34" s="2"/>
      <c r="K34" s="2"/>
      <c r="P34" s="46"/>
    </row>
    <row r="35" customFormat="false" ht="21.6" hidden="false" customHeight="false" outlineLevel="0" collapsed="false">
      <c r="A35" s="55" t="s">
        <v>37</v>
      </c>
      <c r="B35" s="25" t="s">
        <v>38</v>
      </c>
      <c r="C35" s="25"/>
      <c r="D35" s="46"/>
      <c r="E35" s="25" t="s">
        <v>39</v>
      </c>
      <c r="F35" s="67"/>
      <c r="G35" s="67"/>
      <c r="H35" s="65"/>
      <c r="I35" s="2"/>
      <c r="J35" s="68" t="s">
        <v>40</v>
      </c>
      <c r="K35" s="0" t="n">
        <v>0.065</v>
      </c>
      <c r="P35" s="46"/>
    </row>
    <row r="36" customFormat="false" ht="17.35" hidden="false" customHeight="false" outlineLevel="0" collapsed="false">
      <c r="A36" s="69" t="n">
        <f aca="false">K47</f>
        <v>1303.85491786444</v>
      </c>
      <c r="B36" s="64" t="str">
        <f aca="false">IF(B26="YES", K42, "0.00")</f>
        <v>0.00</v>
      </c>
      <c r="C36" s="64"/>
      <c r="D36" s="64"/>
      <c r="E36" s="64" t="n">
        <f aca="false">K31</f>
        <v>10800</v>
      </c>
      <c r="F36" s="64"/>
      <c r="G36" s="64"/>
      <c r="H36" s="65"/>
      <c r="I36" s="2"/>
      <c r="J36" s="2" t="s">
        <v>41</v>
      </c>
      <c r="K36" s="2" t="n">
        <f aca="false">K29</f>
        <v>35</v>
      </c>
      <c r="P36" s="46"/>
    </row>
    <row r="37" customFormat="false" ht="17.35" hidden="false" customHeight="false" outlineLevel="0" collapsed="false">
      <c r="A37" s="70"/>
      <c r="B37" s="37"/>
      <c r="C37" s="67"/>
      <c r="D37" s="67"/>
      <c r="E37" s="67"/>
      <c r="F37" s="67"/>
      <c r="G37" s="67"/>
      <c r="H37" s="65"/>
      <c r="I37" s="2"/>
      <c r="J37" s="2"/>
      <c r="K37" s="2"/>
      <c r="P37" s="46"/>
    </row>
    <row r="38" customFormat="false" ht="17.35" hidden="false" customHeight="false" outlineLevel="0" collapsed="false">
      <c r="A38" s="55"/>
      <c r="B38" s="25"/>
      <c r="C38" s="67"/>
      <c r="D38" s="67"/>
      <c r="E38" s="67"/>
      <c r="F38" s="67"/>
      <c r="G38" s="67"/>
      <c r="H38" s="65"/>
      <c r="J38" s="71" t="s">
        <v>42</v>
      </c>
      <c r="K38" s="71"/>
      <c r="L38" s="2" t="n">
        <v>42030.76</v>
      </c>
      <c r="N38" s="1" t="n">
        <f aca="false">80.88*36</f>
        <v>2911.68</v>
      </c>
      <c r="P38" s="46"/>
    </row>
    <row r="39" customFormat="false" ht="17.35" hidden="false" customHeight="false" outlineLevel="0" collapsed="false">
      <c r="A39" s="55" t="s">
        <v>43</v>
      </c>
      <c r="B39" s="25" t="s">
        <v>44</v>
      </c>
      <c r="C39" s="25"/>
      <c r="D39" s="46"/>
      <c r="E39" s="25" t="s">
        <v>45</v>
      </c>
      <c r="F39" s="67"/>
      <c r="G39" s="67"/>
      <c r="H39" s="65"/>
      <c r="J39" s="2" t="s">
        <v>46</v>
      </c>
      <c r="K39" s="2" t="n">
        <f aca="false">K33</f>
        <v>48877.5</v>
      </c>
      <c r="L39" s="2" t="n">
        <f aca="false">(L47*K46)+K44</f>
        <v>32852.7867930225</v>
      </c>
      <c r="N39" s="1" t="n">
        <f aca="false">K39-L39</f>
        <v>16024.7132069775</v>
      </c>
      <c r="P39" s="46"/>
    </row>
    <row r="40" customFormat="false" ht="17.35" hidden="false" customHeight="false" outlineLevel="0" collapsed="false">
      <c r="A40" s="288" t="n">
        <f aca="false">E36*A45/100</f>
        <v>10800</v>
      </c>
      <c r="B40" s="72" t="str">
        <f aca="false">IF(B26="YES", K42, "0.00")</f>
        <v>0.00</v>
      </c>
      <c r="C40" s="72"/>
      <c r="D40" s="72"/>
      <c r="E40" s="73" t="n">
        <f aca="false">K32</f>
        <v>0</v>
      </c>
      <c r="F40" s="67"/>
      <c r="G40" s="67"/>
      <c r="H40" s="65"/>
      <c r="J40" s="2" t="s">
        <v>47</v>
      </c>
      <c r="K40" s="2" t="n">
        <f aca="false">(A40)/1.2</f>
        <v>9000</v>
      </c>
      <c r="L40" s="2" t="n">
        <f aca="false">K39-L39</f>
        <v>16024.7132069775</v>
      </c>
      <c r="N40" s="1" t="n">
        <f aca="false">N38-N39</f>
        <v>-13113.0332069775</v>
      </c>
      <c r="P40" s="46"/>
    </row>
    <row r="41" customFormat="false" ht="17.35" hidden="false" customHeight="false" outlineLevel="0" collapsed="false">
      <c r="A41" s="55"/>
      <c r="B41" s="25"/>
      <c r="C41" s="25"/>
      <c r="D41" s="25"/>
      <c r="E41" s="25"/>
      <c r="F41" s="67"/>
      <c r="G41" s="67"/>
      <c r="H41" s="65"/>
      <c r="J41" s="2" t="s">
        <v>48</v>
      </c>
      <c r="K41" s="2" t="n">
        <f aca="false">K35/12</f>
        <v>0.00541666666666667</v>
      </c>
      <c r="L41" s="2"/>
      <c r="P41" s="46"/>
    </row>
    <row r="42" customFormat="false" ht="17.35" hidden="false" customHeight="false" outlineLevel="0" collapsed="false">
      <c r="A42" s="74"/>
      <c r="B42" s="75"/>
      <c r="C42" s="75"/>
      <c r="D42" s="75"/>
      <c r="E42" s="75"/>
      <c r="F42" s="75"/>
      <c r="G42" s="76"/>
      <c r="H42" s="77"/>
      <c r="J42" s="2" t="s">
        <v>49</v>
      </c>
      <c r="K42" s="2" t="n">
        <f aca="false">(K32/K36/100)*C45</f>
        <v>0</v>
      </c>
      <c r="L42" s="2"/>
      <c r="P42" s="46"/>
    </row>
    <row r="43" customFormat="false" ht="17.35" hidden="false" customHeight="false" outlineLevel="0" collapsed="false">
      <c r="A43" s="48"/>
      <c r="B43" s="49"/>
      <c r="C43" s="49"/>
      <c r="D43" s="49"/>
      <c r="E43" s="49"/>
      <c r="F43" s="49"/>
      <c r="G43" s="49"/>
      <c r="H43" s="50"/>
      <c r="J43" s="2" t="s">
        <v>50</v>
      </c>
      <c r="K43" s="2"/>
      <c r="L43" s="2"/>
      <c r="P43" s="46"/>
    </row>
    <row r="44" customFormat="false" ht="17.35" hidden="false" customHeight="false" outlineLevel="0" collapsed="false">
      <c r="A44" s="78" t="s">
        <v>51</v>
      </c>
      <c r="B44" s="25"/>
      <c r="C44" s="79" t="s">
        <v>52</v>
      </c>
      <c r="D44" s="79"/>
      <c r="E44" s="25"/>
      <c r="F44" s="25"/>
      <c r="G44" s="25"/>
      <c r="H44" s="20"/>
      <c r="J44" s="2" t="s">
        <v>53</v>
      </c>
      <c r="K44" s="2" t="n">
        <f aca="false">(K40/(1+K41)^(K36+1))</f>
        <v>7409.40991795322</v>
      </c>
      <c r="L44" s="2"/>
      <c r="P44" s="46"/>
    </row>
    <row r="45" customFormat="false" ht="17.35" hidden="false" customHeight="false" outlineLevel="0" collapsed="false">
      <c r="A45" s="500" t="n">
        <v>100</v>
      </c>
      <c r="B45" s="25"/>
      <c r="C45" s="499" t="n">
        <v>100</v>
      </c>
      <c r="D45" s="499"/>
      <c r="E45" s="499"/>
      <c r="F45" s="25"/>
      <c r="G45" s="25"/>
      <c r="H45" s="20"/>
      <c r="J45" s="2" t="s">
        <v>54</v>
      </c>
      <c r="K45" s="2" t="n">
        <f aca="false">(K39-K44)</f>
        <v>41468.0900820468</v>
      </c>
      <c r="L45" s="2"/>
      <c r="P45" s="46"/>
    </row>
    <row r="46" customFormat="false" ht="17.35" hidden="false" customHeight="false" outlineLevel="0" collapsed="false">
      <c r="A46" s="74"/>
      <c r="B46" s="75"/>
      <c r="C46" s="75"/>
      <c r="D46" s="75"/>
      <c r="E46" s="75"/>
      <c r="F46" s="75"/>
      <c r="G46" s="75"/>
      <c r="H46" s="82"/>
      <c r="J46" s="2" t="s">
        <v>55</v>
      </c>
      <c r="K46" s="2" t="n">
        <f aca="false">((1-(1/((1+K41)^K36)))/K41)</f>
        <v>31.8042210938366</v>
      </c>
      <c r="L46" s="2"/>
      <c r="P46" s="46"/>
    </row>
    <row r="47" customFormat="false" ht="17.35" hidden="false" customHeight="false" outlineLevel="0" collapsed="false">
      <c r="A47" s="48"/>
      <c r="B47" s="49"/>
      <c r="C47" s="49"/>
      <c r="D47" s="49"/>
      <c r="E47" s="49"/>
      <c r="F47" s="49"/>
      <c r="G47" s="49"/>
      <c r="H47" s="50"/>
      <c r="J47" s="2" t="s">
        <v>56</v>
      </c>
      <c r="K47" s="2" t="n">
        <f aca="false">K45/K46</f>
        <v>1303.85491786444</v>
      </c>
      <c r="L47" s="2" t="n">
        <f aca="false">L49-K42</f>
        <v>800</v>
      </c>
      <c r="M47" s="1" t="n">
        <f aca="false">K47-L47</f>
        <v>503.854917864441</v>
      </c>
      <c r="P47" s="46"/>
    </row>
    <row r="48" customFormat="false" ht="31.8" hidden="false" customHeight="false" outlineLevel="0" collapsed="false">
      <c r="A48" s="83" t="s">
        <v>57</v>
      </c>
      <c r="B48" s="25"/>
      <c r="C48" s="25"/>
      <c r="D48" s="84"/>
      <c r="E48" s="84"/>
      <c r="F48" s="84"/>
      <c r="G48" s="84"/>
      <c r="H48" s="85"/>
      <c r="J48" s="86" t="s">
        <v>58</v>
      </c>
      <c r="K48" s="2" t="n">
        <f aca="false">IF(B26="YES", K47+K42, K47)</f>
        <v>1303.85491786444</v>
      </c>
      <c r="L48" s="2"/>
      <c r="P48" s="46"/>
    </row>
    <row r="49" customFormat="false" ht="17.35" hidden="false" customHeight="false" outlineLevel="0" collapsed="false">
      <c r="A49" s="55"/>
      <c r="B49" s="87"/>
      <c r="C49" s="87"/>
      <c r="D49" s="25"/>
      <c r="E49" s="25"/>
      <c r="F49" s="25"/>
      <c r="G49" s="25"/>
      <c r="H49" s="20"/>
      <c r="J49" s="2" t="s">
        <v>59</v>
      </c>
      <c r="K49" s="2"/>
      <c r="L49" s="2" t="n">
        <v>800</v>
      </c>
      <c r="P49" s="46"/>
    </row>
    <row r="50" customFormat="false" ht="19.7" hidden="false" customHeight="false" outlineLevel="0" collapsed="false">
      <c r="A50" s="88" t="s">
        <v>28</v>
      </c>
      <c r="B50" s="89" t="s">
        <v>33</v>
      </c>
      <c r="C50" s="89"/>
      <c r="D50" s="89"/>
      <c r="E50" s="25"/>
      <c r="F50" s="25"/>
      <c r="G50" s="25"/>
      <c r="H50" s="20"/>
      <c r="I50" s="2"/>
      <c r="J50" s="2"/>
      <c r="K50" s="2"/>
      <c r="P50" s="46"/>
    </row>
    <row r="51" customFormat="false" ht="19.5" hidden="false" customHeight="true" outlineLevel="0" collapsed="false">
      <c r="A51" s="88"/>
      <c r="B51" s="90" t="n">
        <f aca="false">K30</f>
        <v>35000</v>
      </c>
      <c r="C51" s="90"/>
      <c r="D51" s="90"/>
      <c r="E51" s="25"/>
      <c r="F51" s="25"/>
      <c r="G51" s="25"/>
      <c r="H51" s="20"/>
      <c r="I51" s="2"/>
      <c r="J51" s="2"/>
      <c r="K51" s="2"/>
      <c r="P51" s="46"/>
    </row>
    <row r="52" customFormat="false" ht="17.35" hidden="false" customHeight="false" outlineLevel="0" collapsed="false">
      <c r="A52" s="91" t="n">
        <f aca="false">K29</f>
        <v>35</v>
      </c>
      <c r="B52" s="92" t="n">
        <f aca="false">K48</f>
        <v>1303.85491786444</v>
      </c>
      <c r="C52" s="92"/>
      <c r="D52" s="92"/>
      <c r="E52" s="25"/>
      <c r="F52" s="25"/>
      <c r="G52" s="25"/>
      <c r="H52" s="20"/>
      <c r="I52" s="2"/>
      <c r="J52" s="2"/>
      <c r="K52" s="2"/>
      <c r="P52" s="46"/>
    </row>
    <row r="53" customFormat="false" ht="17.35" hidden="false" customHeight="false" outlineLevel="0" collapsed="false">
      <c r="A53" s="55"/>
      <c r="B53" s="25"/>
      <c r="C53" s="25"/>
      <c r="D53" s="25"/>
      <c r="E53" s="25"/>
      <c r="F53" s="25"/>
      <c r="G53" s="25"/>
      <c r="H53" s="20"/>
      <c r="I53" s="2"/>
      <c r="J53" s="2"/>
      <c r="K53" s="2"/>
      <c r="P53" s="46"/>
    </row>
    <row r="54" customFormat="false" ht="17.35" hidden="false" customHeight="false" outlineLevel="0" collapsed="false">
      <c r="A54" s="74"/>
      <c r="B54" s="75"/>
      <c r="C54" s="75"/>
      <c r="D54" s="75"/>
      <c r="E54" s="75"/>
      <c r="F54" s="75"/>
      <c r="G54" s="75"/>
      <c r="H54" s="82"/>
      <c r="I54" s="2"/>
      <c r="J54" s="2"/>
      <c r="K54" s="2"/>
      <c r="P54" s="46"/>
    </row>
    <row r="55" customFormat="false" ht="17.35" hidden="false" customHeight="false" outlineLevel="0" collapsed="false">
      <c r="A55" s="45"/>
      <c r="B55" s="45"/>
      <c r="C55" s="45"/>
      <c r="D55" s="45"/>
      <c r="E55" s="45"/>
      <c r="F55" s="45"/>
      <c r="G55" s="45"/>
      <c r="H55" s="45"/>
      <c r="J55" s="2"/>
      <c r="K55" s="2"/>
      <c r="P55" s="46"/>
    </row>
    <row r="56" customFormat="false" ht="17.35" hidden="false" customHeight="false" outlineLevel="0" collapsed="false">
      <c r="A56" s="45"/>
      <c r="B56" s="45"/>
      <c r="C56" s="45"/>
      <c r="D56" s="45"/>
      <c r="E56" s="45"/>
      <c r="F56" s="45"/>
      <c r="G56" s="45"/>
      <c r="H56" s="45"/>
      <c r="J56" s="2"/>
      <c r="K56" s="2"/>
      <c r="P56" s="46"/>
    </row>
    <row r="57" customFormat="false" ht="17.35" hidden="false" customHeight="false" outlineLevel="0" collapsed="false">
      <c r="A57" s="48"/>
      <c r="B57" s="49"/>
      <c r="C57" s="49"/>
      <c r="D57" s="49"/>
      <c r="E57" s="93"/>
      <c r="F57" s="93"/>
      <c r="G57" s="93"/>
      <c r="H57" s="50"/>
      <c r="J57" s="48"/>
      <c r="K57" s="49"/>
      <c r="L57" s="49"/>
      <c r="M57" s="49"/>
      <c r="N57" s="93"/>
      <c r="O57" s="93"/>
      <c r="P57" s="93"/>
      <c r="Q57" s="50"/>
      <c r="S57" s="48"/>
      <c r="T57" s="49"/>
      <c r="U57" s="49"/>
      <c r="V57" s="49"/>
      <c r="W57" s="93"/>
      <c r="X57" s="93"/>
      <c r="Y57" s="93"/>
      <c r="Z57" s="50"/>
      <c r="AB57" s="48"/>
      <c r="AC57" s="49"/>
      <c r="AD57" s="49"/>
      <c r="AE57" s="49"/>
      <c r="AF57" s="93"/>
      <c r="AG57" s="93"/>
      <c r="AH57" s="93"/>
      <c r="AI57" s="50"/>
    </row>
    <row r="58" customFormat="false" ht="17.35" hidden="false" customHeight="false" outlineLevel="0" collapsed="false">
      <c r="A58" s="55" t="s">
        <v>46</v>
      </c>
      <c r="B58" s="25" t="n">
        <v>1</v>
      </c>
      <c r="C58" s="25"/>
      <c r="D58" s="25"/>
      <c r="E58" s="94"/>
      <c r="F58" s="94"/>
      <c r="G58" s="94"/>
      <c r="H58" s="20"/>
      <c r="J58" s="55" t="s">
        <v>46</v>
      </c>
      <c r="K58" s="25" t="n">
        <v>1</v>
      </c>
      <c r="L58" s="25"/>
      <c r="M58" s="25"/>
      <c r="N58" s="94"/>
      <c r="O58" s="94"/>
      <c r="P58" s="94"/>
      <c r="Q58" s="20"/>
      <c r="S58" s="55" t="s">
        <v>46</v>
      </c>
      <c r="T58" s="25" t="n">
        <v>1</v>
      </c>
      <c r="U58" s="25"/>
      <c r="V58" s="25"/>
      <c r="W58" s="94"/>
      <c r="X58" s="94"/>
      <c r="Y58" s="94"/>
      <c r="Z58" s="20"/>
      <c r="AB58" s="55" t="s">
        <v>46</v>
      </c>
      <c r="AC58" s="25" t="n">
        <v>1</v>
      </c>
      <c r="AD58" s="25"/>
      <c r="AE58" s="25"/>
      <c r="AF58" s="94"/>
      <c r="AG58" s="94"/>
      <c r="AH58" s="94"/>
      <c r="AI58" s="20"/>
    </row>
    <row r="59" customFormat="false" ht="17.35" hidden="false" customHeight="false" outlineLevel="0" collapsed="false">
      <c r="A59" s="55" t="s">
        <v>60</v>
      </c>
      <c r="B59" s="25" t="n">
        <f aca="false">K29-B58</f>
        <v>34</v>
      </c>
      <c r="C59" s="25"/>
      <c r="D59" s="25"/>
      <c r="E59" s="94"/>
      <c r="F59" s="94"/>
      <c r="G59" s="94"/>
      <c r="H59" s="20"/>
      <c r="J59" s="55" t="s">
        <v>60</v>
      </c>
      <c r="K59" s="25" t="n">
        <f aca="false">K29-K58</f>
        <v>34</v>
      </c>
      <c r="L59" s="25"/>
      <c r="M59" s="25"/>
      <c r="N59" s="94"/>
      <c r="O59" s="94"/>
      <c r="P59" s="94"/>
      <c r="Q59" s="20"/>
      <c r="S59" s="55" t="s">
        <v>60</v>
      </c>
      <c r="T59" s="25" t="n">
        <f aca="false">K29-T58</f>
        <v>34</v>
      </c>
      <c r="U59" s="25"/>
      <c r="V59" s="25"/>
      <c r="W59" s="94"/>
      <c r="X59" s="94"/>
      <c r="Y59" s="94"/>
      <c r="Z59" s="20"/>
      <c r="AB59" s="55" t="s">
        <v>60</v>
      </c>
      <c r="AC59" s="25" t="n">
        <f aca="false">K29-AC58</f>
        <v>34</v>
      </c>
      <c r="AD59" s="25"/>
      <c r="AE59" s="25"/>
      <c r="AF59" s="94"/>
      <c r="AG59" s="94"/>
      <c r="AH59" s="94"/>
      <c r="AI59" s="20"/>
    </row>
    <row r="60" customFormat="false" ht="17.35" hidden="false" customHeight="false" outlineLevel="0" collapsed="false">
      <c r="A60" s="95" t="s">
        <v>61</v>
      </c>
      <c r="B60" s="96" t="n">
        <v>10</v>
      </c>
      <c r="C60" s="25"/>
      <c r="D60" s="25"/>
      <c r="E60" s="94"/>
      <c r="F60" s="94"/>
      <c r="G60" s="94"/>
      <c r="H60" s="20"/>
      <c r="J60" s="95" t="s">
        <v>61</v>
      </c>
      <c r="K60" s="96" t="n">
        <v>20</v>
      </c>
      <c r="L60" s="25"/>
      <c r="M60" s="25"/>
      <c r="N60" s="94"/>
      <c r="O60" s="94"/>
      <c r="P60" s="94"/>
      <c r="Q60" s="20"/>
      <c r="S60" s="95" t="s">
        <v>61</v>
      </c>
      <c r="T60" s="96" t="n">
        <v>10</v>
      </c>
      <c r="U60" s="25"/>
      <c r="V60" s="25"/>
      <c r="W60" s="94"/>
      <c r="X60" s="94"/>
      <c r="Y60" s="94"/>
      <c r="Z60" s="20"/>
      <c r="AB60" s="95" t="s">
        <v>61</v>
      </c>
      <c r="AC60" s="96" t="n">
        <v>10</v>
      </c>
      <c r="AD60" s="25"/>
      <c r="AE60" s="25"/>
      <c r="AF60" s="94"/>
      <c r="AG60" s="94"/>
      <c r="AH60" s="94"/>
      <c r="AI60" s="20"/>
    </row>
    <row r="61" customFormat="false" ht="17.35" hidden="false" customHeight="false" outlineLevel="0" collapsed="false">
      <c r="A61" s="55" t="s">
        <v>16</v>
      </c>
      <c r="B61" s="25" t="n">
        <f aca="false">J18</f>
        <v>57885</v>
      </c>
      <c r="C61" s="25"/>
      <c r="D61" s="25"/>
      <c r="E61" s="94"/>
      <c r="F61" s="94"/>
      <c r="G61" s="94"/>
      <c r="H61" s="20"/>
      <c r="J61" s="55" t="s">
        <v>16</v>
      </c>
      <c r="K61" s="25" t="n">
        <f aca="false">J18</f>
        <v>57885</v>
      </c>
      <c r="L61" s="25"/>
      <c r="M61" s="25"/>
      <c r="N61" s="94"/>
      <c r="O61" s="94"/>
      <c r="P61" s="94"/>
      <c r="Q61" s="20"/>
      <c r="S61" s="55" t="s">
        <v>16</v>
      </c>
      <c r="T61" s="25" t="n">
        <f aca="false">J18</f>
        <v>57885</v>
      </c>
      <c r="U61" s="25"/>
      <c r="V61" s="25"/>
      <c r="W61" s="94"/>
      <c r="X61" s="94"/>
      <c r="Y61" s="94"/>
      <c r="Z61" s="20"/>
      <c r="AB61" s="55" t="s">
        <v>16</v>
      </c>
      <c r="AC61" s="25" t="n">
        <f aca="false">J18</f>
        <v>57885</v>
      </c>
      <c r="AD61" s="25"/>
      <c r="AE61" s="25"/>
      <c r="AF61" s="94"/>
      <c r="AG61" s="94"/>
      <c r="AH61" s="94"/>
      <c r="AI61" s="20"/>
    </row>
    <row r="62" customFormat="false" ht="17.35" hidden="false" customHeight="false" outlineLevel="0" collapsed="false">
      <c r="A62" s="97" t="s">
        <v>62</v>
      </c>
      <c r="B62" s="98" t="n">
        <v>0</v>
      </c>
      <c r="C62" s="25"/>
      <c r="D62" s="25"/>
      <c r="E62" s="94"/>
      <c r="F62" s="94"/>
      <c r="G62" s="94"/>
      <c r="H62" s="20"/>
      <c r="J62" s="97" t="s">
        <v>62</v>
      </c>
      <c r="K62" s="98" t="n">
        <v>0.06</v>
      </c>
      <c r="L62" s="25"/>
      <c r="M62" s="25"/>
      <c r="N62" s="94"/>
      <c r="O62" s="94"/>
      <c r="P62" s="94"/>
      <c r="Q62" s="20"/>
      <c r="S62" s="97" t="s">
        <v>62</v>
      </c>
      <c r="T62" s="98" t="n">
        <f aca="false">IF(AND(K29&gt;= 12, K29&lt;=24), 0.0105, IF(AND(K29&gt;=48), -0.0075, 0))</f>
        <v>0</v>
      </c>
      <c r="U62" s="25"/>
      <c r="V62" s="25"/>
      <c r="W62" s="94"/>
      <c r="X62" s="94"/>
      <c r="Y62" s="94"/>
      <c r="Z62" s="20"/>
      <c r="AB62" s="97" t="s">
        <v>62</v>
      </c>
      <c r="AC62" s="98" t="n">
        <f aca="false">IF(AND(K29&gt;= 12, K29&lt;=24), 0.0105, IF(AND(K29&gt;=48), -0.0075, 0))</f>
        <v>0</v>
      </c>
      <c r="AD62" s="25"/>
      <c r="AE62" s="25"/>
      <c r="AF62" s="94"/>
      <c r="AG62" s="94"/>
      <c r="AH62" s="94"/>
      <c r="AI62" s="20"/>
    </row>
    <row r="63" customFormat="false" ht="17.35" hidden="false" customHeight="false" outlineLevel="0" collapsed="false">
      <c r="A63" s="99" t="s">
        <v>63</v>
      </c>
      <c r="B63" s="100" t="n">
        <v>0.065</v>
      </c>
      <c r="C63" s="25"/>
      <c r="D63" s="25"/>
      <c r="E63" s="94"/>
      <c r="F63" s="94"/>
      <c r="G63" s="94"/>
      <c r="H63" s="20"/>
      <c r="J63" s="99" t="s">
        <v>63</v>
      </c>
      <c r="K63" s="100" t="n">
        <v>0.08</v>
      </c>
      <c r="L63" s="25"/>
      <c r="M63" s="25"/>
      <c r="N63" s="94"/>
      <c r="O63" s="94"/>
      <c r="P63" s="94"/>
      <c r="Q63" s="20"/>
      <c r="S63" s="99" t="s">
        <v>63</v>
      </c>
      <c r="T63" s="100" t="n">
        <v>0.059</v>
      </c>
      <c r="U63" s="25"/>
      <c r="V63" s="25"/>
      <c r="W63" s="94"/>
      <c r="X63" s="94"/>
      <c r="Y63" s="94"/>
      <c r="Z63" s="20"/>
      <c r="AB63" s="99" t="s">
        <v>63</v>
      </c>
      <c r="AC63" s="100" t="n">
        <v>0.059</v>
      </c>
      <c r="AD63" s="25"/>
      <c r="AE63" s="25"/>
      <c r="AF63" s="94"/>
      <c r="AG63" s="94"/>
      <c r="AH63" s="94"/>
      <c r="AI63" s="20"/>
    </row>
    <row r="64" customFormat="false" ht="17.35" hidden="false" customHeight="false" outlineLevel="0" collapsed="false">
      <c r="A64" s="101" t="s">
        <v>64</v>
      </c>
      <c r="B64" s="102" t="n">
        <v>0.05</v>
      </c>
      <c r="C64" s="25"/>
      <c r="D64" s="25"/>
      <c r="E64" s="94"/>
      <c r="F64" s="94"/>
      <c r="G64" s="94"/>
      <c r="H64" s="20"/>
      <c r="J64" s="101" t="s">
        <v>64</v>
      </c>
      <c r="K64" s="102" t="n">
        <v>0.1</v>
      </c>
      <c r="L64" s="25"/>
      <c r="M64" s="25"/>
      <c r="N64" s="94"/>
      <c r="O64" s="94"/>
      <c r="P64" s="94"/>
      <c r="Q64" s="20"/>
      <c r="S64" s="101" t="s">
        <v>64</v>
      </c>
      <c r="T64" s="102" t="n">
        <f aca="false">IF(T108=AP108, 2.4%, 7.2%)</f>
        <v>0.072</v>
      </c>
      <c r="U64" s="25"/>
      <c r="V64" s="25"/>
      <c r="W64" s="94"/>
      <c r="X64" s="94"/>
      <c r="Y64" s="94"/>
      <c r="Z64" s="20"/>
      <c r="AB64" s="101" t="s">
        <v>64</v>
      </c>
      <c r="AC64" s="102" t="n">
        <f aca="false">IF(AC108=AP108, 2.4%, 7.2%)</f>
        <v>0.072</v>
      </c>
      <c r="AD64" s="25"/>
      <c r="AE64" s="25"/>
      <c r="AF64" s="94"/>
      <c r="AG64" s="94"/>
      <c r="AH64" s="94"/>
      <c r="AI64" s="20"/>
    </row>
    <row r="65" customFormat="false" ht="17.35" hidden="false" customHeight="false" outlineLevel="0" collapsed="false">
      <c r="A65" s="74" t="s">
        <v>65</v>
      </c>
      <c r="B65" s="82" t="n">
        <f aca="false">(B89*B59)-(K47*K29)</f>
        <v>24948.8927958523</v>
      </c>
      <c r="C65" s="25"/>
      <c r="D65" s="25"/>
      <c r="E65" s="94"/>
      <c r="F65" s="94"/>
      <c r="G65" s="94"/>
      <c r="H65" s="20"/>
      <c r="J65" s="74" t="s">
        <v>65</v>
      </c>
      <c r="K65" s="82" t="n">
        <f aca="false">(K89*K59)-(K47*K29)</f>
        <v>5578.70623538621</v>
      </c>
      <c r="L65" s="25"/>
      <c r="M65" s="25"/>
      <c r="N65" s="94"/>
      <c r="O65" s="94"/>
      <c r="P65" s="94"/>
      <c r="Q65" s="20"/>
      <c r="S65" s="74" t="s">
        <v>65</v>
      </c>
      <c r="T65" s="82" t="n">
        <f aca="false">(T89*T59)-(K47*K29)</f>
        <v>16889.7242525263</v>
      </c>
      <c r="U65" s="25"/>
      <c r="V65" s="25"/>
      <c r="W65" s="94"/>
      <c r="X65" s="94"/>
      <c r="Y65" s="94"/>
      <c r="Z65" s="20"/>
      <c r="AB65" s="74" t="s">
        <v>65</v>
      </c>
      <c r="AC65" s="82" t="n">
        <f aca="false">(AC89*AC59)-(K47*K29)</f>
        <v>157.164775288125</v>
      </c>
      <c r="AD65" s="25"/>
      <c r="AE65" s="25"/>
      <c r="AF65" s="94"/>
      <c r="AG65" s="94"/>
      <c r="AH65" s="94"/>
      <c r="AI65" s="20"/>
    </row>
    <row r="66" customFormat="false" ht="17.35" hidden="false" customHeight="false" outlineLevel="0" collapsed="false">
      <c r="A66" s="97" t="s">
        <v>66</v>
      </c>
      <c r="B66" s="98" t="n">
        <v>0.005</v>
      </c>
      <c r="C66" s="25"/>
      <c r="D66" s="25"/>
      <c r="E66" s="94"/>
      <c r="F66" s="94"/>
      <c r="G66" s="94"/>
      <c r="H66" s="20"/>
      <c r="J66" s="97" t="s">
        <v>66</v>
      </c>
      <c r="K66" s="98" t="n">
        <v>0.05</v>
      </c>
      <c r="L66" s="25"/>
      <c r="M66" s="25"/>
      <c r="N66" s="94"/>
      <c r="O66" s="94"/>
      <c r="P66" s="94"/>
      <c r="Q66" s="20"/>
      <c r="S66" s="97" t="s">
        <v>66</v>
      </c>
      <c r="T66" s="98" t="n">
        <v>0.005</v>
      </c>
      <c r="U66" s="25"/>
      <c r="V66" s="25"/>
      <c r="W66" s="94"/>
      <c r="X66" s="94"/>
      <c r="Y66" s="94"/>
      <c r="Z66" s="20"/>
      <c r="AB66" s="97" t="s">
        <v>66</v>
      </c>
      <c r="AC66" s="98" t="n">
        <v>0.005</v>
      </c>
      <c r="AD66" s="25"/>
      <c r="AE66" s="25"/>
      <c r="AF66" s="94"/>
      <c r="AG66" s="94"/>
      <c r="AH66" s="94"/>
      <c r="AI66" s="20"/>
    </row>
    <row r="67" customFormat="false" ht="17.35" hidden="false" customHeight="false" outlineLevel="0" collapsed="false">
      <c r="A67" s="55" t="s">
        <v>67</v>
      </c>
      <c r="B67" s="103" t="n">
        <f aca="false">B66+(B66*0.5*(K29/12-1))</f>
        <v>0.00979166666666667</v>
      </c>
      <c r="C67" s="25"/>
      <c r="D67" s="25"/>
      <c r="E67" s="94"/>
      <c r="F67" s="94"/>
      <c r="G67" s="94"/>
      <c r="H67" s="20"/>
      <c r="J67" s="55" t="s">
        <v>67</v>
      </c>
      <c r="K67" s="103" t="n">
        <f aca="false">K66+(K66*0.25*(K29/12-1))</f>
        <v>0.0739583333333333</v>
      </c>
      <c r="L67" s="25"/>
      <c r="M67" s="25"/>
      <c r="N67" s="94"/>
      <c r="O67" s="94"/>
      <c r="P67" s="94"/>
      <c r="Q67" s="20"/>
      <c r="S67" s="55" t="s">
        <v>67</v>
      </c>
      <c r="T67" s="103" t="n">
        <f aca="false">T66+(T66*0.5*(K29/12-1))</f>
        <v>0.00979166666666667</v>
      </c>
      <c r="U67" s="25"/>
      <c r="V67" s="25"/>
      <c r="W67" s="94"/>
      <c r="X67" s="94"/>
      <c r="Y67" s="94"/>
      <c r="Z67" s="20"/>
      <c r="AB67" s="55" t="s">
        <v>67</v>
      </c>
      <c r="AC67" s="103" t="n">
        <f aca="false">AC66+(AC66*0.5*(K29/12-1))</f>
        <v>0.00979166666666667</v>
      </c>
      <c r="AD67" s="25"/>
      <c r="AE67" s="25"/>
      <c r="AF67" s="94"/>
      <c r="AG67" s="94"/>
      <c r="AH67" s="94"/>
      <c r="AI67" s="20"/>
    </row>
    <row r="68" customFormat="false" ht="17.35" hidden="false" customHeight="false" outlineLevel="0" collapsed="false">
      <c r="A68" s="74" t="s">
        <v>68</v>
      </c>
      <c r="B68" s="82" t="n">
        <f aca="false">(G158*B67)/1.2</f>
        <v>552.65801875</v>
      </c>
      <c r="C68" s="25"/>
      <c r="D68" s="25"/>
      <c r="E68" s="94"/>
      <c r="F68" s="94"/>
      <c r="G68" s="94"/>
      <c r="H68" s="20"/>
      <c r="J68" s="74" t="s">
        <v>68</v>
      </c>
      <c r="K68" s="82" t="n">
        <f aca="false">K61*K67</f>
        <v>4281.078125</v>
      </c>
      <c r="L68" s="25"/>
      <c r="M68" s="25"/>
      <c r="N68" s="94"/>
      <c r="O68" s="94"/>
      <c r="P68" s="94"/>
      <c r="Q68" s="20"/>
      <c r="S68" s="74" t="s">
        <v>68</v>
      </c>
      <c r="T68" s="82" t="n">
        <f aca="false">T61*T67</f>
        <v>566.790625</v>
      </c>
      <c r="U68" s="25"/>
      <c r="V68" s="25"/>
      <c r="W68" s="94"/>
      <c r="X68" s="94"/>
      <c r="Y68" s="94"/>
      <c r="Z68" s="20"/>
      <c r="AB68" s="74" t="s">
        <v>68</v>
      </c>
      <c r="AC68" s="82" t="n">
        <f aca="false">AH158*AC67</f>
        <v>445.214833958333</v>
      </c>
      <c r="AD68" s="25"/>
      <c r="AE68" s="25"/>
      <c r="AF68" s="94"/>
      <c r="AG68" s="94"/>
      <c r="AH68" s="94"/>
      <c r="AI68" s="20"/>
    </row>
    <row r="69" customFormat="false" ht="17.35" hidden="false" customHeight="false" outlineLevel="0" collapsed="false">
      <c r="A69" s="97" t="s">
        <v>69</v>
      </c>
      <c r="B69" s="98" t="n">
        <v>0</v>
      </c>
      <c r="C69" s="25"/>
      <c r="D69" s="25"/>
      <c r="E69" s="94"/>
      <c r="F69" s="94"/>
      <c r="G69" s="94"/>
      <c r="H69" s="20"/>
      <c r="J69" s="97" t="s">
        <v>69</v>
      </c>
      <c r="K69" s="98" t="n">
        <v>0</v>
      </c>
      <c r="L69" s="25"/>
      <c r="M69" s="25"/>
      <c r="N69" s="94"/>
      <c r="O69" s="94"/>
      <c r="P69" s="94"/>
      <c r="Q69" s="20"/>
      <c r="S69" s="97" t="s">
        <v>69</v>
      </c>
      <c r="T69" s="98" t="n">
        <v>0</v>
      </c>
      <c r="U69" s="25"/>
      <c r="V69" s="25"/>
      <c r="W69" s="94"/>
      <c r="X69" s="94"/>
      <c r="Y69" s="94"/>
      <c r="Z69" s="20"/>
      <c r="AB69" s="97" t="s">
        <v>69</v>
      </c>
      <c r="AC69" s="98" t="n">
        <v>0</v>
      </c>
      <c r="AD69" s="25"/>
      <c r="AE69" s="25"/>
      <c r="AF69" s="94"/>
      <c r="AG69" s="94"/>
      <c r="AH69" s="94"/>
      <c r="AI69" s="20"/>
    </row>
    <row r="70" customFormat="false" ht="17.35" hidden="false" customHeight="false" outlineLevel="0" collapsed="false">
      <c r="A70" s="99" t="s">
        <v>70</v>
      </c>
      <c r="B70" s="100" t="n">
        <v>0</v>
      </c>
      <c r="C70" s="25"/>
      <c r="D70" s="25"/>
      <c r="E70" s="94"/>
      <c r="F70" s="94"/>
      <c r="G70" s="94"/>
      <c r="H70" s="20"/>
      <c r="J70" s="99" t="s">
        <v>70</v>
      </c>
      <c r="K70" s="100" t="n">
        <v>0</v>
      </c>
      <c r="L70" s="25"/>
      <c r="M70" s="25"/>
      <c r="N70" s="94"/>
      <c r="O70" s="94"/>
      <c r="P70" s="94"/>
      <c r="Q70" s="20"/>
      <c r="S70" s="99" t="s">
        <v>70</v>
      </c>
      <c r="T70" s="100" t="n">
        <v>0</v>
      </c>
      <c r="U70" s="25"/>
      <c r="V70" s="25"/>
      <c r="W70" s="94"/>
      <c r="X70" s="94"/>
      <c r="Y70" s="94"/>
      <c r="Z70" s="20"/>
      <c r="AB70" s="99" t="s">
        <v>70</v>
      </c>
      <c r="AC70" s="100" t="n">
        <v>0</v>
      </c>
      <c r="AD70" s="25"/>
      <c r="AE70" s="25"/>
      <c r="AF70" s="94"/>
      <c r="AG70" s="94"/>
      <c r="AH70" s="94"/>
      <c r="AI70" s="20"/>
    </row>
    <row r="71" customFormat="false" ht="17.35" hidden="false" customHeight="false" outlineLevel="0" collapsed="false">
      <c r="A71" s="74" t="s">
        <v>71</v>
      </c>
      <c r="B71" s="104" t="n">
        <f aca="false">B69*(1+B70)</f>
        <v>0</v>
      </c>
      <c r="C71" s="25"/>
      <c r="D71" s="25"/>
      <c r="E71" s="94"/>
      <c r="F71" s="94"/>
      <c r="G71" s="94"/>
      <c r="H71" s="20"/>
      <c r="J71" s="74" t="s">
        <v>71</v>
      </c>
      <c r="K71" s="104" t="n">
        <f aca="false">K69*(1+K70)</f>
        <v>0</v>
      </c>
      <c r="L71" s="25"/>
      <c r="M71" s="25"/>
      <c r="N71" s="94"/>
      <c r="O71" s="94"/>
      <c r="P71" s="94"/>
      <c r="Q71" s="20"/>
      <c r="S71" s="74" t="s">
        <v>71</v>
      </c>
      <c r="T71" s="104" t="n">
        <f aca="false">T69*(1+T70)</f>
        <v>0</v>
      </c>
      <c r="U71" s="25"/>
      <c r="V71" s="25"/>
      <c r="W71" s="94"/>
      <c r="X71" s="94"/>
      <c r="Y71" s="94"/>
      <c r="Z71" s="20"/>
      <c r="AB71" s="74" t="s">
        <v>71</v>
      </c>
      <c r="AC71" s="104" t="n">
        <f aca="false">AC69*(1+AC70)</f>
        <v>0</v>
      </c>
      <c r="AD71" s="25"/>
      <c r="AE71" s="25"/>
      <c r="AF71" s="94"/>
      <c r="AG71" s="94"/>
      <c r="AH71" s="94"/>
      <c r="AI71" s="20"/>
    </row>
    <row r="72" customFormat="false" ht="17.35" hidden="false" customHeight="false" outlineLevel="0" collapsed="false">
      <c r="A72" s="97" t="s">
        <v>72</v>
      </c>
      <c r="B72" s="105" t="n">
        <v>0</v>
      </c>
      <c r="C72" s="25"/>
      <c r="D72" s="25"/>
      <c r="E72" s="94"/>
      <c r="F72" s="94"/>
      <c r="G72" s="94"/>
      <c r="H72" s="20"/>
      <c r="J72" s="97" t="s">
        <v>72</v>
      </c>
      <c r="K72" s="105" t="n">
        <v>0</v>
      </c>
      <c r="L72" s="25"/>
      <c r="M72" s="25"/>
      <c r="N72" s="94"/>
      <c r="O72" s="94"/>
      <c r="P72" s="94"/>
      <c r="Q72" s="20"/>
      <c r="S72" s="97" t="s">
        <v>72</v>
      </c>
      <c r="T72" s="105" t="n">
        <v>0</v>
      </c>
      <c r="U72" s="25"/>
      <c r="V72" s="25"/>
      <c r="W72" s="94"/>
      <c r="X72" s="94"/>
      <c r="Y72" s="94"/>
      <c r="Z72" s="20"/>
      <c r="AB72" s="97" t="s">
        <v>72</v>
      </c>
      <c r="AC72" s="105" t="n">
        <v>0</v>
      </c>
      <c r="AD72" s="25"/>
      <c r="AE72" s="25"/>
      <c r="AF72" s="94"/>
      <c r="AG72" s="94"/>
      <c r="AH72" s="94"/>
      <c r="AI72" s="20"/>
    </row>
    <row r="73" customFormat="false" ht="17.35" hidden="false" customHeight="false" outlineLevel="0" collapsed="false">
      <c r="A73" s="99" t="s">
        <v>73</v>
      </c>
      <c r="B73" s="96" t="n">
        <v>0</v>
      </c>
      <c r="C73" s="25"/>
      <c r="D73" s="25"/>
      <c r="E73" s="94"/>
      <c r="F73" s="94"/>
      <c r="G73" s="94"/>
      <c r="H73" s="20"/>
      <c r="J73" s="99" t="s">
        <v>73</v>
      </c>
      <c r="K73" s="96" t="n">
        <v>0</v>
      </c>
      <c r="L73" s="25"/>
      <c r="M73" s="25"/>
      <c r="N73" s="94"/>
      <c r="O73" s="94"/>
      <c r="P73" s="94"/>
      <c r="Q73" s="20"/>
      <c r="S73" s="99" t="s">
        <v>73</v>
      </c>
      <c r="T73" s="96" t="n">
        <v>0</v>
      </c>
      <c r="U73" s="25"/>
      <c r="V73" s="25"/>
      <c r="W73" s="94"/>
      <c r="X73" s="94"/>
      <c r="Y73" s="94"/>
      <c r="Z73" s="20"/>
      <c r="AB73" s="99" t="s">
        <v>73</v>
      </c>
      <c r="AC73" s="96" t="n">
        <v>0</v>
      </c>
      <c r="AD73" s="25"/>
      <c r="AE73" s="25"/>
      <c r="AF73" s="94"/>
      <c r="AG73" s="94"/>
      <c r="AH73" s="94"/>
      <c r="AI73" s="20"/>
    </row>
    <row r="74" customFormat="false" ht="17.35" hidden="false" customHeight="false" outlineLevel="0" collapsed="false">
      <c r="A74" s="74" t="s">
        <v>74</v>
      </c>
      <c r="B74" s="82" t="n">
        <f aca="false">B73*B29</f>
        <v>0</v>
      </c>
      <c r="C74" s="25"/>
      <c r="D74" s="25" t="n">
        <f aca="false">B74+B72</f>
        <v>0</v>
      </c>
      <c r="E74" s="94"/>
      <c r="F74" s="94"/>
      <c r="G74" s="94"/>
      <c r="H74" s="20"/>
      <c r="J74" s="74" t="s">
        <v>74</v>
      </c>
      <c r="K74" s="82" t="n">
        <f aca="false">K73*K29</f>
        <v>0</v>
      </c>
      <c r="L74" s="25"/>
      <c r="M74" s="25" t="n">
        <f aca="false">K74+K72</f>
        <v>0</v>
      </c>
      <c r="N74" s="94"/>
      <c r="O74" s="94"/>
      <c r="P74" s="94"/>
      <c r="Q74" s="20"/>
      <c r="S74" s="74" t="s">
        <v>74</v>
      </c>
      <c r="T74" s="82" t="n">
        <f aca="false">T73*K29</f>
        <v>0</v>
      </c>
      <c r="U74" s="25"/>
      <c r="V74" s="25" t="n">
        <f aca="false">T74+T72</f>
        <v>0</v>
      </c>
      <c r="W74" s="94"/>
      <c r="X74" s="94"/>
      <c r="Y74" s="94"/>
      <c r="Z74" s="20"/>
      <c r="AB74" s="74" t="s">
        <v>74</v>
      </c>
      <c r="AC74" s="82" t="n">
        <f aca="false">AC73*K29</f>
        <v>0</v>
      </c>
      <c r="AD74" s="25"/>
      <c r="AE74" s="25" t="n">
        <f aca="false">AC74+AC72</f>
        <v>0</v>
      </c>
      <c r="AF74" s="94"/>
      <c r="AG74" s="94"/>
      <c r="AH74" s="94"/>
      <c r="AI74" s="20"/>
    </row>
    <row r="75" customFormat="false" ht="17.35" hidden="false" customHeight="false" outlineLevel="0" collapsed="false">
      <c r="A75" s="99" t="s">
        <v>75</v>
      </c>
      <c r="B75" s="96" t="n">
        <v>0</v>
      </c>
      <c r="C75" s="25"/>
      <c r="D75" s="25" t="n">
        <f aca="false">B75</f>
        <v>0</v>
      </c>
      <c r="E75" s="94"/>
      <c r="F75" s="94"/>
      <c r="G75" s="94"/>
      <c r="H75" s="20"/>
      <c r="J75" s="99" t="s">
        <v>75</v>
      </c>
      <c r="K75" s="96" t="n">
        <v>0</v>
      </c>
      <c r="L75" s="25"/>
      <c r="M75" s="25" t="n">
        <f aca="false">K75</f>
        <v>0</v>
      </c>
      <c r="N75" s="94"/>
      <c r="O75" s="94"/>
      <c r="P75" s="94"/>
      <c r="Q75" s="20"/>
      <c r="S75" s="99" t="s">
        <v>75</v>
      </c>
      <c r="T75" s="96" t="n">
        <v>0</v>
      </c>
      <c r="U75" s="25"/>
      <c r="V75" s="25" t="n">
        <f aca="false">T75</f>
        <v>0</v>
      </c>
      <c r="W75" s="94"/>
      <c r="X75" s="94"/>
      <c r="Y75" s="94"/>
      <c r="Z75" s="20"/>
      <c r="AB75" s="99" t="s">
        <v>75</v>
      </c>
      <c r="AC75" s="96" t="n">
        <v>0</v>
      </c>
      <c r="AD75" s="25"/>
      <c r="AE75" s="25" t="n">
        <f aca="false">AC75</f>
        <v>0</v>
      </c>
      <c r="AF75" s="94"/>
      <c r="AG75" s="94"/>
      <c r="AH75" s="94"/>
      <c r="AI75" s="20"/>
    </row>
    <row r="76" customFormat="false" ht="17.35" hidden="false" customHeight="false" outlineLevel="0" collapsed="false">
      <c r="A76" s="101" t="s">
        <v>76</v>
      </c>
      <c r="B76" s="106" t="n">
        <v>0</v>
      </c>
      <c r="C76" s="25"/>
      <c r="D76" s="25" t="n">
        <f aca="false">B76</f>
        <v>0</v>
      </c>
      <c r="E76" s="94"/>
      <c r="F76" s="94"/>
      <c r="G76" s="94"/>
      <c r="H76" s="20"/>
      <c r="J76" s="101" t="s">
        <v>76</v>
      </c>
      <c r="K76" s="106" t="n">
        <v>0</v>
      </c>
      <c r="L76" s="25"/>
      <c r="M76" s="25" t="n">
        <f aca="false">K76</f>
        <v>0</v>
      </c>
      <c r="N76" s="94"/>
      <c r="O76" s="94"/>
      <c r="P76" s="94"/>
      <c r="Q76" s="20"/>
      <c r="S76" s="101" t="s">
        <v>76</v>
      </c>
      <c r="T76" s="106" t="n">
        <v>0</v>
      </c>
      <c r="U76" s="25"/>
      <c r="V76" s="25" t="n">
        <f aca="false">T76</f>
        <v>0</v>
      </c>
      <c r="W76" s="94"/>
      <c r="X76" s="94"/>
      <c r="Y76" s="94"/>
      <c r="Z76" s="20"/>
      <c r="AB76" s="101" t="s">
        <v>76</v>
      </c>
      <c r="AC76" s="106" t="n">
        <v>0</v>
      </c>
      <c r="AD76" s="25"/>
      <c r="AE76" s="25" t="n">
        <f aca="false">AC76</f>
        <v>0</v>
      </c>
      <c r="AF76" s="94"/>
      <c r="AG76" s="94"/>
      <c r="AH76" s="94"/>
      <c r="AI76" s="20"/>
    </row>
    <row r="77" customFormat="false" ht="17.35" hidden="false" customHeight="false" outlineLevel="0" collapsed="false">
      <c r="A77" s="107" t="s">
        <v>77</v>
      </c>
      <c r="B77" s="108" t="n">
        <f aca="false">SUM(D65:D76)</f>
        <v>0</v>
      </c>
      <c r="C77" s="25"/>
      <c r="D77" s="25"/>
      <c r="E77" s="94"/>
      <c r="F77" s="94"/>
      <c r="G77" s="94"/>
      <c r="H77" s="20"/>
      <c r="J77" s="107" t="s">
        <v>77</v>
      </c>
      <c r="K77" s="108" t="n">
        <f aca="false">SUM(M65:M76)</f>
        <v>0</v>
      </c>
      <c r="L77" s="25"/>
      <c r="M77" s="25"/>
      <c r="N77" s="94"/>
      <c r="O77" s="94"/>
      <c r="P77" s="94"/>
      <c r="Q77" s="20"/>
      <c r="S77" s="107" t="s">
        <v>77</v>
      </c>
      <c r="T77" s="108" t="n">
        <f aca="false">SUM(V65:V76)</f>
        <v>0</v>
      </c>
      <c r="U77" s="25"/>
      <c r="V77" s="25"/>
      <c r="W77" s="94"/>
      <c r="X77" s="94"/>
      <c r="Y77" s="94"/>
      <c r="Z77" s="20"/>
      <c r="AB77" s="107" t="s">
        <v>77</v>
      </c>
      <c r="AC77" s="108" t="n">
        <f aca="false">SUM(AE65:AE76)</f>
        <v>0</v>
      </c>
      <c r="AD77" s="25"/>
      <c r="AE77" s="25"/>
      <c r="AF77" s="94"/>
      <c r="AG77" s="94"/>
      <c r="AH77" s="94"/>
      <c r="AI77" s="20"/>
    </row>
    <row r="78" customFormat="false" ht="17.35" hidden="false" customHeight="false" outlineLevel="0" collapsed="false">
      <c r="A78" s="55" t="s">
        <v>78</v>
      </c>
      <c r="B78" s="20" t="n">
        <f aca="false">B77/H29</f>
        <v>0</v>
      </c>
      <c r="C78" s="25"/>
      <c r="D78" s="25"/>
      <c r="E78" s="94"/>
      <c r="F78" s="94"/>
      <c r="G78" s="94"/>
      <c r="H78" s="20"/>
      <c r="J78" s="55" t="s">
        <v>78</v>
      </c>
      <c r="K78" s="20" t="n">
        <f aca="false">K77/K29</f>
        <v>0</v>
      </c>
      <c r="L78" s="25"/>
      <c r="M78" s="25"/>
      <c r="N78" s="94"/>
      <c r="O78" s="94"/>
      <c r="P78" s="94"/>
      <c r="Q78" s="20"/>
      <c r="S78" s="55" t="s">
        <v>78</v>
      </c>
      <c r="T78" s="20" t="n">
        <f aca="false">T77/K29</f>
        <v>0</v>
      </c>
      <c r="U78" s="25"/>
      <c r="V78" s="25"/>
      <c r="W78" s="94"/>
      <c r="X78" s="94"/>
      <c r="Y78" s="94"/>
      <c r="Z78" s="20"/>
      <c r="AB78" s="55" t="s">
        <v>78</v>
      </c>
      <c r="AC78" s="20" t="n">
        <f aca="false">AC77/K29</f>
        <v>0</v>
      </c>
      <c r="AD78" s="25"/>
      <c r="AE78" s="25"/>
      <c r="AF78" s="94"/>
      <c r="AG78" s="94"/>
      <c r="AH78" s="94"/>
      <c r="AI78" s="20"/>
    </row>
    <row r="79" customFormat="false" ht="17.35" hidden="false" customHeight="false" outlineLevel="0" collapsed="false">
      <c r="A79" s="109" t="s">
        <v>79</v>
      </c>
      <c r="B79" s="77" t="n">
        <f aca="false">K47</f>
        <v>1303.85491786444</v>
      </c>
      <c r="C79" s="25"/>
      <c r="D79" s="25"/>
      <c r="E79" s="94"/>
      <c r="F79" s="94"/>
      <c r="G79" s="94"/>
      <c r="H79" s="20"/>
      <c r="J79" s="109" t="s">
        <v>79</v>
      </c>
      <c r="K79" s="77" t="n">
        <f aca="false">K47</f>
        <v>1303.85491786444</v>
      </c>
      <c r="L79" s="25"/>
      <c r="M79" s="25"/>
      <c r="N79" s="94"/>
      <c r="O79" s="94"/>
      <c r="P79" s="94"/>
      <c r="Q79" s="20"/>
      <c r="S79" s="109" t="s">
        <v>79</v>
      </c>
      <c r="T79" s="77" t="n">
        <f aca="false">B52</f>
        <v>1303.85491786444</v>
      </c>
      <c r="U79" s="25"/>
      <c r="V79" s="25"/>
      <c r="W79" s="94"/>
      <c r="X79" s="94"/>
      <c r="Y79" s="94"/>
      <c r="Z79" s="20"/>
      <c r="AB79" s="109" t="s">
        <v>79</v>
      </c>
      <c r="AC79" s="77" t="n">
        <f aca="false">B52</f>
        <v>1303.85491786444</v>
      </c>
      <c r="AD79" s="25"/>
      <c r="AE79" s="25"/>
      <c r="AF79" s="94"/>
      <c r="AG79" s="94"/>
      <c r="AH79" s="94"/>
      <c r="AI79" s="20"/>
    </row>
    <row r="80" customFormat="false" ht="17.35" hidden="false" customHeight="false" outlineLevel="0" collapsed="false">
      <c r="A80" s="55"/>
      <c r="B80" s="25"/>
      <c r="C80" s="25"/>
      <c r="D80" s="25"/>
      <c r="E80" s="94"/>
      <c r="F80" s="94"/>
      <c r="G80" s="94"/>
      <c r="H80" s="20"/>
      <c r="J80" s="55"/>
      <c r="K80" s="25"/>
      <c r="L80" s="25"/>
      <c r="M80" s="25"/>
      <c r="N80" s="94"/>
      <c r="O80" s="94"/>
      <c r="P80" s="94"/>
      <c r="Q80" s="20"/>
      <c r="S80" s="55"/>
      <c r="T80" s="25"/>
      <c r="U80" s="25"/>
      <c r="V80" s="25"/>
      <c r="W80" s="94"/>
      <c r="X80" s="94"/>
      <c r="Y80" s="94"/>
      <c r="Z80" s="20"/>
      <c r="AB80" s="55"/>
      <c r="AC80" s="25"/>
      <c r="AD80" s="25"/>
      <c r="AE80" s="25"/>
      <c r="AF80" s="94"/>
      <c r="AG80" s="94"/>
      <c r="AH80" s="94"/>
      <c r="AI80" s="20"/>
    </row>
    <row r="81" customFormat="false" ht="17.35" hidden="false" customHeight="false" outlineLevel="0" collapsed="false">
      <c r="A81" s="48" t="s">
        <v>80</v>
      </c>
      <c r="B81" s="50" t="n">
        <f aca="false">G158</f>
        <v>67730.004</v>
      </c>
      <c r="C81" s="25"/>
      <c r="D81" s="25"/>
      <c r="E81" s="94"/>
      <c r="F81" s="94"/>
      <c r="G81" s="94"/>
      <c r="H81" s="20"/>
      <c r="J81" s="48" t="s">
        <v>80</v>
      </c>
      <c r="K81" s="50" t="n">
        <f aca="false">P158</f>
        <v>37655</v>
      </c>
      <c r="L81" s="25"/>
      <c r="M81" s="25"/>
      <c r="N81" s="94"/>
      <c r="O81" s="94"/>
      <c r="P81" s="94"/>
      <c r="Q81" s="20"/>
      <c r="S81" s="48" t="s">
        <v>80</v>
      </c>
      <c r="T81" s="50" t="n">
        <f aca="false">Y158</f>
        <v>59384.43749</v>
      </c>
      <c r="U81" s="25"/>
      <c r="V81" s="25"/>
      <c r="W81" s="94"/>
      <c r="X81" s="94"/>
      <c r="Y81" s="94"/>
      <c r="Z81" s="20"/>
      <c r="AB81" s="48" t="s">
        <v>80</v>
      </c>
      <c r="AC81" s="50" t="n">
        <f aca="false">AH158</f>
        <v>45468.749</v>
      </c>
      <c r="AD81" s="25"/>
      <c r="AE81" s="25"/>
      <c r="AF81" s="94"/>
      <c r="AG81" s="94"/>
      <c r="AH81" s="94"/>
      <c r="AI81" s="20"/>
    </row>
    <row r="82" customFormat="false" ht="17.35" hidden="false" customHeight="false" outlineLevel="0" collapsed="false">
      <c r="A82" s="55" t="s">
        <v>47</v>
      </c>
      <c r="B82" s="20" t="n">
        <f aca="false">A40</f>
        <v>10800</v>
      </c>
      <c r="C82" s="25"/>
      <c r="D82" s="25"/>
      <c r="E82" s="94"/>
      <c r="F82" s="94"/>
      <c r="G82" s="94"/>
      <c r="H82" s="20"/>
      <c r="J82" s="55" t="s">
        <v>47</v>
      </c>
      <c r="K82" s="20" t="n">
        <f aca="false">IF(J111 = "YES", A40, 0)</f>
        <v>0</v>
      </c>
      <c r="L82" s="25"/>
      <c r="M82" s="25"/>
      <c r="N82" s="94"/>
      <c r="O82" s="94"/>
      <c r="P82" s="94"/>
      <c r="Q82" s="20"/>
      <c r="S82" s="55" t="s">
        <v>47</v>
      </c>
      <c r="T82" s="20" t="n">
        <f aca="false">A40</f>
        <v>10800</v>
      </c>
      <c r="U82" s="25"/>
      <c r="V82" s="25"/>
      <c r="W82" s="94"/>
      <c r="X82" s="94"/>
      <c r="Y82" s="94"/>
      <c r="Z82" s="20"/>
      <c r="AB82" s="55" t="s">
        <v>47</v>
      </c>
      <c r="AC82" s="20" t="n">
        <f aca="false">A40</f>
        <v>10800</v>
      </c>
      <c r="AD82" s="25"/>
      <c r="AE82" s="25"/>
      <c r="AF82" s="94"/>
      <c r="AG82" s="94"/>
      <c r="AH82" s="94"/>
      <c r="AI82" s="20"/>
    </row>
    <row r="83" customFormat="false" ht="17.35" hidden="false" customHeight="false" outlineLevel="0" collapsed="false">
      <c r="A83" s="55" t="s">
        <v>81</v>
      </c>
      <c r="B83" s="103" t="n">
        <f aca="false">B62+B63+B64</f>
        <v>0.115</v>
      </c>
      <c r="C83" s="25"/>
      <c r="D83" s="25"/>
      <c r="E83" s="94"/>
      <c r="F83" s="94"/>
      <c r="G83" s="94"/>
      <c r="H83" s="20"/>
      <c r="J83" s="55" t="s">
        <v>81</v>
      </c>
      <c r="K83" s="103" t="n">
        <f aca="false">K62+K63+K64</f>
        <v>0.24</v>
      </c>
      <c r="L83" s="25"/>
      <c r="M83" s="25"/>
      <c r="N83" s="94"/>
      <c r="O83" s="94"/>
      <c r="P83" s="94"/>
      <c r="Q83" s="20"/>
      <c r="S83" s="55" t="s">
        <v>81</v>
      </c>
      <c r="T83" s="103" t="n">
        <f aca="false">T62+T63+T64</f>
        <v>0.131</v>
      </c>
      <c r="U83" s="25"/>
      <c r="V83" s="25"/>
      <c r="W83" s="94"/>
      <c r="X83" s="94"/>
      <c r="Y83" s="94"/>
      <c r="Z83" s="20"/>
      <c r="AB83" s="55" t="s">
        <v>81</v>
      </c>
      <c r="AC83" s="103" t="n">
        <f aca="false">AC62+AC63+AC64</f>
        <v>0.131</v>
      </c>
      <c r="AD83" s="25"/>
      <c r="AE83" s="25"/>
      <c r="AF83" s="94"/>
      <c r="AG83" s="94"/>
      <c r="AH83" s="94"/>
      <c r="AI83" s="20"/>
    </row>
    <row r="84" customFormat="false" ht="17.35" hidden="false" customHeight="false" outlineLevel="0" collapsed="false">
      <c r="A84" s="55" t="s">
        <v>82</v>
      </c>
      <c r="B84" s="103" t="n">
        <f aca="false">B83/12</f>
        <v>0.00958333333333333</v>
      </c>
      <c r="C84" s="25"/>
      <c r="D84" s="25"/>
      <c r="E84" s="94"/>
      <c r="F84" s="94"/>
      <c r="G84" s="94"/>
      <c r="H84" s="20"/>
      <c r="J84" s="55" t="s">
        <v>82</v>
      </c>
      <c r="K84" s="103" t="n">
        <f aca="false">K83/12</f>
        <v>0.02</v>
      </c>
      <c r="L84" s="25"/>
      <c r="M84" s="25"/>
      <c r="N84" s="94"/>
      <c r="O84" s="94"/>
      <c r="P84" s="94"/>
      <c r="Q84" s="20"/>
      <c r="S84" s="55" t="s">
        <v>82</v>
      </c>
      <c r="T84" s="103" t="n">
        <f aca="false">T83/12</f>
        <v>0.0109166666666667</v>
      </c>
      <c r="U84" s="25"/>
      <c r="V84" s="25"/>
      <c r="W84" s="94"/>
      <c r="X84" s="94"/>
      <c r="Y84" s="94"/>
      <c r="Z84" s="20"/>
      <c r="AB84" s="55" t="s">
        <v>82</v>
      </c>
      <c r="AC84" s="103" t="n">
        <f aca="false">AC83/12</f>
        <v>0.0109166666666667</v>
      </c>
      <c r="AD84" s="25"/>
      <c r="AE84" s="25"/>
      <c r="AF84" s="94"/>
      <c r="AG84" s="94"/>
      <c r="AH84" s="94"/>
      <c r="AI84" s="20"/>
    </row>
    <row r="85" customFormat="false" ht="17.35" hidden="false" customHeight="false" outlineLevel="0" collapsed="false">
      <c r="A85" s="55" t="s">
        <v>83</v>
      </c>
      <c r="B85" s="20" t="n">
        <f aca="false">IF(B82=0, (B59+B58), (B59))</f>
        <v>34</v>
      </c>
      <c r="C85" s="25"/>
      <c r="D85" s="25"/>
      <c r="E85" s="94"/>
      <c r="F85" s="94"/>
      <c r="G85" s="94"/>
      <c r="H85" s="20"/>
      <c r="J85" s="55" t="s">
        <v>83</v>
      </c>
      <c r="K85" s="20" t="n">
        <f aca="false">IF(K82=0, (K59+K58), (K59))</f>
        <v>35</v>
      </c>
      <c r="L85" s="25"/>
      <c r="M85" s="25"/>
      <c r="N85" s="94"/>
      <c r="O85" s="94"/>
      <c r="P85" s="94"/>
      <c r="Q85" s="20"/>
      <c r="S85" s="55" t="s">
        <v>83</v>
      </c>
      <c r="T85" s="20" t="n">
        <f aca="false">T59</f>
        <v>34</v>
      </c>
      <c r="U85" s="25"/>
      <c r="V85" s="25"/>
      <c r="W85" s="94"/>
      <c r="X85" s="94"/>
      <c r="Y85" s="94"/>
      <c r="Z85" s="20"/>
      <c r="AB85" s="55" t="s">
        <v>83</v>
      </c>
      <c r="AC85" s="20" t="n">
        <f aca="false">AC59</f>
        <v>34</v>
      </c>
      <c r="AD85" s="25"/>
      <c r="AE85" s="25"/>
      <c r="AF85" s="94"/>
      <c r="AG85" s="94"/>
      <c r="AH85" s="94"/>
      <c r="AI85" s="20"/>
    </row>
    <row r="86" customFormat="false" ht="17.35" hidden="false" customHeight="false" outlineLevel="0" collapsed="false">
      <c r="A86" s="55" t="s">
        <v>84</v>
      </c>
      <c r="B86" s="20" t="n">
        <f aca="false">(B82/((1+B84)^(B85+1)))</f>
        <v>7734.77563633703</v>
      </c>
      <c r="C86" s="25"/>
      <c r="D86" s="25"/>
      <c r="E86" s="94"/>
      <c r="F86" s="94"/>
      <c r="G86" s="94"/>
      <c r="H86" s="20"/>
      <c r="J86" s="55" t="s">
        <v>84</v>
      </c>
      <c r="K86" s="20" t="n">
        <f aca="false">(K82/((1+K84)^(K85+1)))</f>
        <v>0</v>
      </c>
      <c r="L86" s="25"/>
      <c r="M86" s="25"/>
      <c r="N86" s="94"/>
      <c r="O86" s="94"/>
      <c r="P86" s="94"/>
      <c r="Q86" s="20"/>
      <c r="S86" s="55" t="s">
        <v>84</v>
      </c>
      <c r="T86" s="20" t="n">
        <f aca="false">(T82/((1+T84)^(T85+1)))</f>
        <v>7385.60831361469</v>
      </c>
      <c r="U86" s="25"/>
      <c r="V86" s="25"/>
      <c r="W86" s="94"/>
      <c r="X86" s="94"/>
      <c r="Y86" s="94"/>
      <c r="Z86" s="20"/>
      <c r="AB86" s="55" t="s">
        <v>84</v>
      </c>
      <c r="AC86" s="20" t="n">
        <f aca="false">(AC82/((1+AC84)^(AC85+1)))</f>
        <v>7385.60831361469</v>
      </c>
      <c r="AD86" s="25"/>
      <c r="AE86" s="25"/>
      <c r="AF86" s="94"/>
      <c r="AG86" s="94"/>
      <c r="AH86" s="94"/>
      <c r="AI86" s="20"/>
    </row>
    <row r="87" customFormat="false" ht="17.35" hidden="false" customHeight="false" outlineLevel="0" collapsed="false">
      <c r="A87" s="55" t="s">
        <v>85</v>
      </c>
      <c r="B87" s="20" t="n">
        <f aca="false">((1-(1/((1+B84)^B85)))/B84)</f>
        <v>28.8995114056174</v>
      </c>
      <c r="C87" s="25"/>
      <c r="D87" s="25"/>
      <c r="E87" s="94"/>
      <c r="F87" s="94"/>
      <c r="G87" s="94"/>
      <c r="H87" s="20"/>
      <c r="J87" s="55" t="s">
        <v>85</v>
      </c>
      <c r="K87" s="20" t="n">
        <f aca="false">((1-(1/((1+K84)^K85)))/K84)</f>
        <v>24.9986193320352</v>
      </c>
      <c r="L87" s="25"/>
      <c r="M87" s="25"/>
      <c r="N87" s="94"/>
      <c r="O87" s="94"/>
      <c r="P87" s="94"/>
      <c r="Q87" s="20"/>
      <c r="S87" s="55" t="s">
        <v>85</v>
      </c>
      <c r="T87" s="20" t="n">
        <f aca="false">((1-(1/((1+T84)^T85)))/T84)</f>
        <v>28.2762125724768</v>
      </c>
      <c r="U87" s="25"/>
      <c r="V87" s="25"/>
      <c r="W87" s="94"/>
      <c r="X87" s="94"/>
      <c r="Y87" s="94"/>
      <c r="Z87" s="20"/>
      <c r="AB87" s="55" t="s">
        <v>85</v>
      </c>
      <c r="AC87" s="20" t="n">
        <f aca="false">((1-(1/((1+AC84)^AC85)))/AC84)</f>
        <v>28.2762125724768</v>
      </c>
      <c r="AD87" s="25"/>
      <c r="AE87" s="25"/>
      <c r="AF87" s="94"/>
      <c r="AG87" s="94"/>
      <c r="AH87" s="94"/>
      <c r="AI87" s="20"/>
    </row>
    <row r="88" customFormat="false" ht="17.35" hidden="false" customHeight="false" outlineLevel="0" collapsed="false">
      <c r="A88" s="55" t="s">
        <v>86</v>
      </c>
      <c r="B88" s="20" t="n">
        <f aca="false">B81-B86</f>
        <v>59995.228363663</v>
      </c>
      <c r="C88" s="25"/>
      <c r="D88" s="25"/>
      <c r="E88" s="94"/>
      <c r="F88" s="94"/>
      <c r="G88" s="94"/>
      <c r="H88" s="20"/>
      <c r="J88" s="55" t="s">
        <v>86</v>
      </c>
      <c r="K88" s="20" t="n">
        <f aca="false">K81-K86</f>
        <v>37655</v>
      </c>
      <c r="L88" s="25"/>
      <c r="M88" s="25"/>
      <c r="N88" s="94"/>
      <c r="O88" s="94"/>
      <c r="P88" s="94"/>
      <c r="Q88" s="20"/>
      <c r="S88" s="55" t="s">
        <v>86</v>
      </c>
      <c r="T88" s="20" t="n">
        <f aca="false">T81-T86</f>
        <v>51998.8291763853</v>
      </c>
      <c r="U88" s="25"/>
      <c r="V88" s="25"/>
      <c r="W88" s="94"/>
      <c r="X88" s="94"/>
      <c r="Y88" s="94"/>
      <c r="Z88" s="20"/>
      <c r="AB88" s="55" t="s">
        <v>86</v>
      </c>
      <c r="AC88" s="20" t="n">
        <f aca="false">AC81-AC86</f>
        <v>38083.1406863853</v>
      </c>
      <c r="AD88" s="25"/>
      <c r="AE88" s="25"/>
      <c r="AF88" s="94"/>
      <c r="AG88" s="94"/>
      <c r="AH88" s="94"/>
      <c r="AI88" s="20"/>
    </row>
    <row r="89" customFormat="false" ht="17.35" hidden="false" customHeight="false" outlineLevel="0" collapsed="false">
      <c r="A89" s="55" t="s">
        <v>87</v>
      </c>
      <c r="B89" s="20" t="n">
        <f aca="false">(B88/B87)</f>
        <v>2075.99455650317</v>
      </c>
      <c r="C89" s="25"/>
      <c r="D89" s="25"/>
      <c r="E89" s="94"/>
      <c r="F89" s="94"/>
      <c r="G89" s="94"/>
      <c r="H89" s="20"/>
      <c r="J89" s="55" t="s">
        <v>87</v>
      </c>
      <c r="K89" s="20" t="n">
        <f aca="false">(K88/K87)</f>
        <v>1506.2831870777</v>
      </c>
      <c r="L89" s="25"/>
      <c r="M89" s="25"/>
      <c r="N89" s="94"/>
      <c r="O89" s="94"/>
      <c r="P89" s="94"/>
      <c r="Q89" s="20"/>
      <c r="S89" s="55" t="s">
        <v>87</v>
      </c>
      <c r="T89" s="20" t="n">
        <f aca="false">(T88/T87)</f>
        <v>1838.96018758182</v>
      </c>
      <c r="U89" s="25"/>
      <c r="V89" s="25"/>
      <c r="W89" s="94"/>
      <c r="X89" s="94"/>
      <c r="Y89" s="94"/>
      <c r="Z89" s="20"/>
      <c r="AB89" s="55" t="s">
        <v>87</v>
      </c>
      <c r="AC89" s="20" t="n">
        <f aca="false">(AC88/AC87)</f>
        <v>1346.8260853101</v>
      </c>
      <c r="AD89" s="25"/>
      <c r="AE89" s="25"/>
      <c r="AF89" s="94"/>
      <c r="AG89" s="94"/>
      <c r="AH89" s="94"/>
      <c r="AI89" s="20"/>
    </row>
    <row r="90" customFormat="false" ht="17.35" hidden="false" customHeight="false" outlineLevel="0" collapsed="false">
      <c r="A90" s="55" t="s">
        <v>88</v>
      </c>
      <c r="B90" s="20" t="n">
        <f aca="false">((B89*(B85))+B77)</f>
        <v>70583.8149211077</v>
      </c>
      <c r="C90" s="25"/>
      <c r="D90" s="25"/>
      <c r="E90" s="94"/>
      <c r="F90" s="94"/>
      <c r="G90" s="94"/>
      <c r="H90" s="20"/>
      <c r="J90" s="55" t="s">
        <v>88</v>
      </c>
      <c r="K90" s="20" t="n">
        <f aca="false">((K89*(K85))+K77)</f>
        <v>52719.9115477193</v>
      </c>
      <c r="L90" s="25"/>
      <c r="M90" s="25"/>
      <c r="N90" s="94"/>
      <c r="O90" s="94"/>
      <c r="P90" s="94"/>
      <c r="Q90" s="20"/>
      <c r="S90" s="55" t="s">
        <v>88</v>
      </c>
      <c r="T90" s="20" t="n">
        <f aca="false">(T89*(T85))+T77</f>
        <v>62524.6463777818</v>
      </c>
      <c r="U90" s="25"/>
      <c r="V90" s="25"/>
      <c r="W90" s="94"/>
      <c r="X90" s="94"/>
      <c r="Y90" s="94"/>
      <c r="Z90" s="20"/>
      <c r="AB90" s="55" t="s">
        <v>88</v>
      </c>
      <c r="AC90" s="20" t="n">
        <f aca="false">(AC89*(AC59))+AC77</f>
        <v>45792.0869005436</v>
      </c>
      <c r="AD90" s="25"/>
      <c r="AE90" s="25"/>
      <c r="AF90" s="94"/>
      <c r="AG90" s="94"/>
      <c r="AH90" s="94"/>
      <c r="AI90" s="20"/>
    </row>
    <row r="91" customFormat="false" ht="17.35" hidden="false" customHeight="false" outlineLevel="0" collapsed="false">
      <c r="A91" s="55" t="s">
        <v>89</v>
      </c>
      <c r="B91" s="20" t="n">
        <f aca="false">(B90/(1-B71))*B71</f>
        <v>0</v>
      </c>
      <c r="C91" s="25"/>
      <c r="D91" s="25"/>
      <c r="E91" s="94"/>
      <c r="F91" s="94"/>
      <c r="G91" s="94"/>
      <c r="H91" s="20"/>
      <c r="J91" s="55" t="s">
        <v>89</v>
      </c>
      <c r="K91" s="20" t="n">
        <f aca="false">(K90/(1-K71))*K71</f>
        <v>0</v>
      </c>
      <c r="L91" s="25"/>
      <c r="M91" s="25"/>
      <c r="N91" s="94"/>
      <c r="O91" s="94"/>
      <c r="P91" s="94"/>
      <c r="Q91" s="20"/>
      <c r="S91" s="55" t="s">
        <v>89</v>
      </c>
      <c r="T91" s="20" t="n">
        <f aca="false">(T90/(1-T71))*T71</f>
        <v>0</v>
      </c>
      <c r="U91" s="25"/>
      <c r="V91" s="25"/>
      <c r="W91" s="94"/>
      <c r="X91" s="94"/>
      <c r="Y91" s="94"/>
      <c r="Z91" s="20"/>
      <c r="AB91" s="55" t="s">
        <v>89</v>
      </c>
      <c r="AC91" s="20" t="n">
        <f aca="false">(AC90/(1-AC71))*AC71</f>
        <v>0</v>
      </c>
      <c r="AD91" s="25"/>
      <c r="AE91" s="25"/>
      <c r="AF91" s="94"/>
      <c r="AG91" s="94"/>
      <c r="AH91" s="94"/>
      <c r="AI91" s="20"/>
    </row>
    <row r="92" customFormat="false" ht="17.35" hidden="false" customHeight="false" outlineLevel="0" collapsed="false">
      <c r="A92" s="74" t="s">
        <v>90</v>
      </c>
      <c r="B92" s="82" t="n">
        <f aca="false">(B90+B91)</f>
        <v>70583.8149211077</v>
      </c>
      <c r="C92" s="25"/>
      <c r="D92" s="25"/>
      <c r="E92" s="94"/>
      <c r="F92" s="94"/>
      <c r="G92" s="94"/>
      <c r="H92" s="20"/>
      <c r="J92" s="74" t="s">
        <v>90</v>
      </c>
      <c r="K92" s="82" t="n">
        <f aca="false">(K90+K91)</f>
        <v>52719.9115477193</v>
      </c>
      <c r="L92" s="25"/>
      <c r="M92" s="25"/>
      <c r="N92" s="94"/>
      <c r="O92" s="94"/>
      <c r="P92" s="94"/>
      <c r="Q92" s="20"/>
      <c r="S92" s="74" t="s">
        <v>90</v>
      </c>
      <c r="T92" s="82" t="n">
        <f aca="false">(T90+T91)</f>
        <v>62524.6463777818</v>
      </c>
      <c r="U92" s="25"/>
      <c r="V92" s="25"/>
      <c r="W92" s="94"/>
      <c r="X92" s="94"/>
      <c r="Y92" s="94"/>
      <c r="Z92" s="20"/>
      <c r="AB92" s="74" t="s">
        <v>90</v>
      </c>
      <c r="AC92" s="82" t="n">
        <f aca="false">(AC90+AC91)</f>
        <v>45792.0869005436</v>
      </c>
      <c r="AD92" s="25"/>
      <c r="AE92" s="25"/>
      <c r="AF92" s="94"/>
      <c r="AG92" s="94"/>
      <c r="AH92" s="94"/>
      <c r="AI92" s="20"/>
    </row>
    <row r="93" customFormat="false" ht="17.35" hidden="false" customHeight="false" outlineLevel="0" collapsed="false">
      <c r="A93" s="55"/>
      <c r="B93" s="25"/>
      <c r="C93" s="25"/>
      <c r="D93" s="25"/>
      <c r="E93" s="94"/>
      <c r="F93" s="94"/>
      <c r="G93" s="94"/>
      <c r="H93" s="20"/>
      <c r="J93" s="55"/>
      <c r="K93" s="25"/>
      <c r="L93" s="25"/>
      <c r="M93" s="25"/>
      <c r="N93" s="94"/>
      <c r="O93" s="94"/>
      <c r="P93" s="94"/>
      <c r="Q93" s="20"/>
      <c r="S93" s="55"/>
      <c r="T93" s="25"/>
      <c r="U93" s="25"/>
      <c r="V93" s="25"/>
      <c r="W93" s="94"/>
      <c r="X93" s="94"/>
      <c r="Y93" s="94"/>
      <c r="Z93" s="20"/>
      <c r="AB93" s="55"/>
      <c r="AC93" s="25"/>
      <c r="AD93" s="25"/>
      <c r="AE93" s="25"/>
      <c r="AF93" s="94"/>
      <c r="AG93" s="94"/>
      <c r="AH93" s="94"/>
      <c r="AI93" s="20"/>
    </row>
    <row r="94" customFormat="false" ht="17.35" hidden="false" customHeight="false" outlineLevel="0" collapsed="false">
      <c r="A94" s="107" t="s">
        <v>91</v>
      </c>
      <c r="B94" s="108" t="str">
        <f aca="false">IF(B26="YES",((E40/B85)*(1+A108)),"0")</f>
        <v>0</v>
      </c>
      <c r="C94" s="25"/>
      <c r="D94" s="25"/>
      <c r="E94" s="94"/>
      <c r="F94" s="94"/>
      <c r="G94" s="94"/>
      <c r="H94" s="20"/>
      <c r="J94" s="107" t="s">
        <v>91</v>
      </c>
      <c r="K94" s="108" t="n">
        <f aca="false">((E40/K85)*(1+J108))*1.2</f>
        <v>0</v>
      </c>
      <c r="L94" s="25"/>
      <c r="M94" s="25"/>
      <c r="N94" s="94"/>
      <c r="O94" s="94"/>
      <c r="P94" s="94"/>
      <c r="Q94" s="20"/>
      <c r="S94" s="107" t="s">
        <v>91</v>
      </c>
      <c r="T94" s="108" t="n">
        <f aca="false">((E40/T85)*(1+S108))</f>
        <v>0</v>
      </c>
      <c r="U94" s="25"/>
      <c r="V94" s="25"/>
      <c r="W94" s="94"/>
      <c r="X94" s="94"/>
      <c r="Y94" s="94"/>
      <c r="Z94" s="20"/>
      <c r="AB94" s="107" t="s">
        <v>91</v>
      </c>
      <c r="AC94" s="108" t="n">
        <f aca="false">((E40/AC85)*(1+AB108))*1.2</f>
        <v>0</v>
      </c>
      <c r="AD94" s="25"/>
      <c r="AE94" s="25"/>
      <c r="AF94" s="94"/>
      <c r="AG94" s="94"/>
      <c r="AH94" s="94"/>
      <c r="AI94" s="20"/>
    </row>
    <row r="95" customFormat="false" ht="17.35" hidden="false" customHeight="false" outlineLevel="0" collapsed="false">
      <c r="A95" s="112" t="s">
        <v>92</v>
      </c>
      <c r="B95" s="113" t="n">
        <f aca="false">B92/(B85)</f>
        <v>2075.99455650317</v>
      </c>
      <c r="C95" s="25"/>
      <c r="D95" s="25"/>
      <c r="E95" s="94"/>
      <c r="F95" s="94"/>
      <c r="G95" s="94"/>
      <c r="H95" s="20"/>
      <c r="J95" s="112" t="s">
        <v>92</v>
      </c>
      <c r="K95" s="113" t="n">
        <f aca="false">K92/(K85)</f>
        <v>1506.2831870777</v>
      </c>
      <c r="L95" s="25"/>
      <c r="M95" s="25"/>
      <c r="N95" s="94"/>
      <c r="O95" s="94"/>
      <c r="P95" s="94"/>
      <c r="Q95" s="20"/>
      <c r="S95" s="112" t="s">
        <v>92</v>
      </c>
      <c r="T95" s="113" t="n">
        <f aca="false">T92/(T85)</f>
        <v>1838.96018758182</v>
      </c>
      <c r="U95" s="25"/>
      <c r="V95" s="25"/>
      <c r="W95" s="94"/>
      <c r="X95" s="94"/>
      <c r="Y95" s="94"/>
      <c r="Z95" s="20"/>
      <c r="AB95" s="112" t="s">
        <v>92</v>
      </c>
      <c r="AC95" s="113" t="n">
        <f aca="false">AC92/(AC59)</f>
        <v>1346.8260853101</v>
      </c>
      <c r="AD95" s="25"/>
      <c r="AE95" s="25"/>
      <c r="AF95" s="94"/>
      <c r="AG95" s="94"/>
      <c r="AH95" s="94"/>
      <c r="AI95" s="20"/>
    </row>
    <row r="96" customFormat="false" ht="17.35" hidden="false" customHeight="false" outlineLevel="0" collapsed="false">
      <c r="A96" s="114" t="s">
        <v>93</v>
      </c>
      <c r="B96" s="115" t="n">
        <f aca="false">(B94+B95)</f>
        <v>2075.99455650317</v>
      </c>
      <c r="C96" s="25"/>
      <c r="D96" s="25"/>
      <c r="E96" s="94"/>
      <c r="F96" s="94"/>
      <c r="G96" s="94"/>
      <c r="H96" s="20"/>
      <c r="J96" s="114" t="s">
        <v>93</v>
      </c>
      <c r="K96" s="115" t="n">
        <f aca="false">(K94+K95)</f>
        <v>1506.2831870777</v>
      </c>
      <c r="L96" s="25"/>
      <c r="M96" s="25"/>
      <c r="N96" s="94"/>
      <c r="O96" s="94"/>
      <c r="P96" s="94"/>
      <c r="Q96" s="20"/>
      <c r="S96" s="114" t="s">
        <v>93</v>
      </c>
      <c r="T96" s="115" t="n">
        <f aca="false">T94+T95</f>
        <v>1838.96018758182</v>
      </c>
      <c r="U96" s="25"/>
      <c r="V96" s="25"/>
      <c r="W96" s="94"/>
      <c r="X96" s="94"/>
      <c r="Y96" s="94"/>
      <c r="Z96" s="20"/>
      <c r="AB96" s="114" t="s">
        <v>93</v>
      </c>
      <c r="AC96" s="115" t="n">
        <f aca="false">AC94+AC95</f>
        <v>1346.8260853101</v>
      </c>
      <c r="AD96" s="25"/>
      <c r="AE96" s="25"/>
      <c r="AF96" s="94"/>
      <c r="AG96" s="94"/>
      <c r="AH96" s="94"/>
      <c r="AI96" s="20"/>
    </row>
    <row r="97" customFormat="false" ht="17.35" hidden="false" customHeight="false" outlineLevel="0" collapsed="false">
      <c r="A97" s="74"/>
      <c r="B97" s="75"/>
      <c r="C97" s="75"/>
      <c r="D97" s="75"/>
      <c r="E97" s="116"/>
      <c r="F97" s="116"/>
      <c r="G97" s="116"/>
      <c r="H97" s="82"/>
      <c r="J97" s="74"/>
      <c r="K97" s="75"/>
      <c r="L97" s="75"/>
      <c r="M97" s="75"/>
      <c r="N97" s="116"/>
      <c r="O97" s="116"/>
      <c r="P97" s="116"/>
      <c r="Q97" s="82"/>
      <c r="S97" s="74"/>
      <c r="T97" s="75"/>
      <c r="U97" s="75"/>
      <c r="V97" s="75"/>
      <c r="W97" s="116"/>
      <c r="X97" s="116"/>
      <c r="Y97" s="116"/>
      <c r="Z97" s="82"/>
      <c r="AB97" s="74"/>
      <c r="AC97" s="75"/>
      <c r="AD97" s="75"/>
      <c r="AE97" s="75"/>
      <c r="AF97" s="116"/>
      <c r="AG97" s="116"/>
      <c r="AH97" s="116"/>
      <c r="AI97" s="82"/>
    </row>
    <row r="98" customFormat="false" ht="13.8" hidden="false" customHeight="false" outlineLevel="0" collapsed="false">
      <c r="A98" s="45"/>
      <c r="B98" s="45"/>
      <c r="C98" s="45"/>
      <c r="D98" s="45"/>
      <c r="E98" s="45"/>
      <c r="F98" s="45"/>
      <c r="G98" s="45"/>
      <c r="H98" s="45"/>
      <c r="J98" s="45"/>
      <c r="K98" s="45"/>
      <c r="L98" s="45"/>
      <c r="M98" s="45"/>
      <c r="N98" s="45"/>
      <c r="O98" s="45"/>
      <c r="P98" s="45"/>
      <c r="Q98" s="45"/>
      <c r="S98" s="45"/>
      <c r="T98" s="45"/>
      <c r="U98" s="45"/>
      <c r="V98" s="45"/>
      <c r="W98" s="45"/>
      <c r="X98" s="45"/>
      <c r="Y98" s="45"/>
      <c r="Z98" s="45"/>
      <c r="AB98" s="45"/>
      <c r="AC98" s="45"/>
      <c r="AD98" s="45"/>
      <c r="AE98" s="45"/>
      <c r="AF98" s="45"/>
      <c r="AG98" s="45"/>
      <c r="AH98" s="45"/>
      <c r="AI98" s="45"/>
    </row>
    <row r="99" customFormat="false" ht="13.8" hidden="false" customHeight="false" outlineLevel="0" collapsed="false">
      <c r="A99" s="45"/>
      <c r="B99" s="45"/>
      <c r="C99" s="45"/>
      <c r="D99" s="45"/>
      <c r="E99" s="45"/>
      <c r="F99" s="45"/>
      <c r="G99" s="45"/>
      <c r="H99" s="45"/>
      <c r="J99" s="45"/>
      <c r="K99" s="45"/>
      <c r="L99" s="45"/>
      <c r="M99" s="45"/>
      <c r="N99" s="45"/>
      <c r="O99" s="45"/>
      <c r="P99" s="45"/>
      <c r="Q99" s="45"/>
      <c r="S99" s="45"/>
      <c r="T99" s="45"/>
      <c r="U99" s="45"/>
      <c r="V99" s="45"/>
      <c r="W99" s="45"/>
      <c r="X99" s="45"/>
      <c r="Y99" s="45"/>
      <c r="Z99" s="45"/>
      <c r="AB99" s="45"/>
      <c r="AC99" s="45"/>
      <c r="AD99" s="45"/>
      <c r="AE99" s="45"/>
      <c r="AF99" s="45"/>
      <c r="AG99" s="45"/>
      <c r="AH99" s="45"/>
      <c r="AI99" s="45"/>
    </row>
    <row r="100" customFormat="false" ht="47.25" hidden="false" customHeight="true" outlineLevel="0" collapsed="false">
      <c r="A100" s="4" t="s">
        <v>96</v>
      </c>
      <c r="B100" s="4"/>
      <c r="C100" s="4"/>
      <c r="D100" s="4"/>
      <c r="E100" s="4"/>
      <c r="F100" s="4"/>
      <c r="G100" s="4"/>
      <c r="H100" s="4"/>
      <c r="J100" s="4" t="s">
        <v>95</v>
      </c>
      <c r="K100" s="4"/>
      <c r="L100" s="4"/>
      <c r="M100" s="4"/>
      <c r="N100" s="4"/>
      <c r="O100" s="4"/>
      <c r="P100" s="4"/>
      <c r="Q100" s="4"/>
      <c r="S100" s="4" t="s">
        <v>96</v>
      </c>
      <c r="T100" s="4"/>
      <c r="U100" s="4"/>
      <c r="V100" s="4"/>
      <c r="W100" s="4"/>
      <c r="X100" s="4"/>
      <c r="Y100" s="4"/>
      <c r="Z100" s="4"/>
      <c r="AB100" s="4" t="s">
        <v>97</v>
      </c>
      <c r="AC100" s="4"/>
      <c r="AD100" s="4"/>
      <c r="AE100" s="4"/>
      <c r="AF100" s="4"/>
      <c r="AG100" s="4"/>
      <c r="AH100" s="4"/>
      <c r="AI100" s="4"/>
    </row>
    <row r="101" customFormat="false" ht="17.35" hidden="false" customHeight="false" outlineLevel="0" collapsed="false">
      <c r="A101" s="48"/>
      <c r="B101" s="49"/>
      <c r="C101" s="49"/>
      <c r="D101" s="49"/>
      <c r="E101" s="93"/>
      <c r="F101" s="93"/>
      <c r="G101" s="93"/>
      <c r="H101" s="117"/>
      <c r="J101" s="48"/>
      <c r="K101" s="49"/>
      <c r="L101" s="49"/>
      <c r="M101" s="49"/>
      <c r="N101" s="93"/>
      <c r="O101" s="93"/>
      <c r="P101" s="93"/>
      <c r="Q101" s="117"/>
      <c r="S101" s="48"/>
      <c r="T101" s="49"/>
      <c r="U101" s="49"/>
      <c r="V101" s="49"/>
      <c r="W101" s="93"/>
      <c r="X101" s="93"/>
      <c r="Y101" s="93"/>
      <c r="Z101" s="117"/>
      <c r="AB101" s="48"/>
      <c r="AC101" s="49"/>
      <c r="AD101" s="49"/>
      <c r="AE101" s="49"/>
      <c r="AF101" s="93"/>
      <c r="AG101" s="93"/>
      <c r="AH101" s="93"/>
      <c r="AI101" s="117"/>
    </row>
    <row r="102" customFormat="false" ht="22.05" hidden="false" customHeight="false" outlineLevel="0" collapsed="false">
      <c r="A102" s="58" t="s">
        <v>26</v>
      </c>
      <c r="B102" s="58"/>
      <c r="C102" s="58"/>
      <c r="D102" s="58"/>
      <c r="E102" s="58"/>
      <c r="F102" s="58"/>
      <c r="G102" s="58"/>
      <c r="H102" s="58"/>
      <c r="J102" s="58" t="s">
        <v>26</v>
      </c>
      <c r="K102" s="58"/>
      <c r="L102" s="58"/>
      <c r="M102" s="58"/>
      <c r="N102" s="58"/>
      <c r="O102" s="58"/>
      <c r="P102" s="58"/>
      <c r="Q102" s="58"/>
      <c r="S102" s="58" t="s">
        <v>26</v>
      </c>
      <c r="T102" s="58"/>
      <c r="U102" s="58"/>
      <c r="V102" s="58"/>
      <c r="W102" s="58"/>
      <c r="X102" s="58"/>
      <c r="Y102" s="58"/>
      <c r="Z102" s="58"/>
      <c r="AB102" s="58" t="s">
        <v>26</v>
      </c>
      <c r="AC102" s="58"/>
      <c r="AD102" s="58"/>
      <c r="AE102" s="58"/>
      <c r="AF102" s="58"/>
      <c r="AG102" s="58"/>
      <c r="AH102" s="58"/>
      <c r="AI102" s="58"/>
    </row>
    <row r="103" customFormat="false" ht="17.35" hidden="false" customHeight="false" outlineLevel="0" collapsed="false">
      <c r="A103" s="55"/>
      <c r="B103" s="25"/>
      <c r="C103" s="25"/>
      <c r="D103" s="25"/>
      <c r="E103" s="94"/>
      <c r="F103" s="94"/>
      <c r="G103" s="94"/>
      <c r="H103" s="118"/>
      <c r="J103" s="55"/>
      <c r="K103" s="25"/>
      <c r="L103" s="25"/>
      <c r="M103" s="25"/>
      <c r="N103" s="94"/>
      <c r="O103" s="94"/>
      <c r="P103" s="94"/>
      <c r="Q103" s="118"/>
      <c r="S103" s="55"/>
      <c r="T103" s="25"/>
      <c r="U103" s="25"/>
      <c r="V103" s="25"/>
      <c r="W103" s="94"/>
      <c r="X103" s="94"/>
      <c r="Y103" s="94"/>
      <c r="Z103" s="118"/>
      <c r="AB103" s="55"/>
      <c r="AC103" s="25"/>
      <c r="AD103" s="25"/>
      <c r="AE103" s="25"/>
      <c r="AF103" s="94"/>
      <c r="AG103" s="94"/>
      <c r="AH103" s="94"/>
      <c r="AI103" s="118"/>
    </row>
    <row r="104" customFormat="false" ht="17.35" hidden="false" customHeight="false" outlineLevel="0" collapsed="false">
      <c r="A104" s="55" t="s">
        <v>98</v>
      </c>
      <c r="B104" s="25" t="s">
        <v>23</v>
      </c>
      <c r="C104" s="25"/>
      <c r="D104" s="25"/>
      <c r="E104" s="25" t="s">
        <v>22</v>
      </c>
      <c r="F104" s="25"/>
      <c r="G104" s="25"/>
      <c r="H104" s="20"/>
      <c r="J104" s="55" t="s">
        <v>98</v>
      </c>
      <c r="K104" s="25" t="s">
        <v>23</v>
      </c>
      <c r="L104" s="25"/>
      <c r="M104" s="25"/>
      <c r="N104" s="25" t="s">
        <v>22</v>
      </c>
      <c r="O104" s="25"/>
      <c r="P104" s="25"/>
      <c r="Q104" s="20"/>
      <c r="S104" s="55" t="s">
        <v>98</v>
      </c>
      <c r="T104" s="25" t="s">
        <v>23</v>
      </c>
      <c r="U104" s="25"/>
      <c r="V104" s="25"/>
      <c r="W104" s="25" t="s">
        <v>22</v>
      </c>
      <c r="X104" s="25"/>
      <c r="Y104" s="25"/>
      <c r="Z104" s="20"/>
      <c r="AB104" s="55" t="s">
        <v>98</v>
      </c>
      <c r="AC104" s="25" t="s">
        <v>23</v>
      </c>
      <c r="AD104" s="25"/>
      <c r="AE104" s="25"/>
      <c r="AF104" s="25" t="s">
        <v>22</v>
      </c>
      <c r="AG104" s="25"/>
      <c r="AH104" s="25"/>
      <c r="AI104" s="20"/>
    </row>
    <row r="105" customFormat="false" ht="17.35" hidden="false" customHeight="false" outlineLevel="0" collapsed="false">
      <c r="A105" s="51" t="s">
        <v>99</v>
      </c>
      <c r="B105" s="37" t="s">
        <v>100</v>
      </c>
      <c r="C105" s="37"/>
      <c r="D105" s="37"/>
      <c r="E105" s="60" t="s">
        <v>10</v>
      </c>
      <c r="F105" s="60"/>
      <c r="G105" s="60"/>
      <c r="H105" s="118"/>
      <c r="J105" s="51" t="s">
        <v>99</v>
      </c>
      <c r="K105" s="37" t="s">
        <v>100</v>
      </c>
      <c r="L105" s="37"/>
      <c r="M105" s="37"/>
      <c r="N105" s="60" t="s">
        <v>9</v>
      </c>
      <c r="O105" s="60"/>
      <c r="P105" s="60"/>
      <c r="Q105" s="118"/>
      <c r="S105" s="51" t="s">
        <v>99</v>
      </c>
      <c r="T105" s="37" t="s">
        <v>100</v>
      </c>
      <c r="U105" s="37"/>
      <c r="V105" s="37"/>
      <c r="W105" s="60" t="s">
        <v>9</v>
      </c>
      <c r="X105" s="60"/>
      <c r="Y105" s="60"/>
      <c r="Z105" s="118"/>
      <c r="AB105" s="51" t="s">
        <v>99</v>
      </c>
      <c r="AC105" s="37" t="s">
        <v>100</v>
      </c>
      <c r="AD105" s="37"/>
      <c r="AE105" s="37"/>
      <c r="AF105" s="60" t="s">
        <v>9</v>
      </c>
      <c r="AG105" s="60"/>
      <c r="AH105" s="60"/>
      <c r="AI105" s="118"/>
    </row>
    <row r="106" customFormat="false" ht="17.35" hidden="false" customHeight="false" outlineLevel="0" collapsed="false">
      <c r="A106" s="55"/>
      <c r="B106" s="25"/>
      <c r="C106" s="25"/>
      <c r="D106" s="94"/>
      <c r="E106" s="25"/>
      <c r="F106" s="25"/>
      <c r="G106" s="94"/>
      <c r="H106" s="20"/>
      <c r="J106" s="55"/>
      <c r="K106" s="25"/>
      <c r="L106" s="25"/>
      <c r="M106" s="94"/>
      <c r="N106" s="25"/>
      <c r="O106" s="25"/>
      <c r="P106" s="94"/>
      <c r="Q106" s="20"/>
      <c r="S106" s="55"/>
      <c r="T106" s="25"/>
      <c r="U106" s="25"/>
      <c r="V106" s="94"/>
      <c r="W106" s="25"/>
      <c r="X106" s="25"/>
      <c r="Y106" s="94"/>
      <c r="Z106" s="20"/>
      <c r="AB106" s="55"/>
      <c r="AC106" s="25"/>
      <c r="AD106" s="25"/>
      <c r="AE106" s="94"/>
      <c r="AF106" s="25"/>
      <c r="AG106" s="25"/>
      <c r="AH106" s="94"/>
      <c r="AI106" s="20"/>
    </row>
    <row r="107" customFormat="false" ht="17.35" hidden="false" customHeight="false" outlineLevel="0" collapsed="false">
      <c r="A107" s="55" t="s">
        <v>101</v>
      </c>
      <c r="B107" s="25" t="s">
        <v>102</v>
      </c>
      <c r="C107" s="25"/>
      <c r="D107" s="94"/>
      <c r="E107" s="25" t="s">
        <v>103</v>
      </c>
      <c r="F107" s="25"/>
      <c r="G107" s="94"/>
      <c r="H107" s="118"/>
      <c r="J107" s="55" t="s">
        <v>101</v>
      </c>
      <c r="K107" s="25" t="s">
        <v>102</v>
      </c>
      <c r="L107" s="25"/>
      <c r="M107" s="94"/>
      <c r="N107" s="25" t="s">
        <v>103</v>
      </c>
      <c r="O107" s="25"/>
      <c r="P107" s="94"/>
      <c r="Q107" s="118"/>
      <c r="S107" s="55" t="s">
        <v>101</v>
      </c>
      <c r="T107" s="25" t="s">
        <v>102</v>
      </c>
      <c r="U107" s="25"/>
      <c r="V107" s="94"/>
      <c r="W107" s="25" t="s">
        <v>103</v>
      </c>
      <c r="X107" s="25"/>
      <c r="Y107" s="94"/>
      <c r="Z107" s="118"/>
      <c r="AB107" s="55" t="s">
        <v>101</v>
      </c>
      <c r="AC107" s="25" t="s">
        <v>102</v>
      </c>
      <c r="AD107" s="25"/>
      <c r="AE107" s="94"/>
      <c r="AF107" s="25" t="s">
        <v>103</v>
      </c>
      <c r="AG107" s="25"/>
      <c r="AH107" s="94"/>
      <c r="AI107" s="118"/>
    </row>
    <row r="108" customFormat="false" ht="17.35" hidden="false" customHeight="false" outlineLevel="0" collapsed="false">
      <c r="A108" s="120" t="n">
        <v>0.2</v>
      </c>
      <c r="B108" s="72" t="s">
        <v>364</v>
      </c>
      <c r="C108" s="72"/>
      <c r="D108" s="72"/>
      <c r="E108" s="121" t="n">
        <f aca="false">B83</f>
        <v>0.115</v>
      </c>
      <c r="F108" s="121"/>
      <c r="G108" s="121"/>
      <c r="H108" s="65"/>
      <c r="J108" s="120" t="n">
        <v>0.3</v>
      </c>
      <c r="K108" s="72" t="s">
        <v>104</v>
      </c>
      <c r="L108" s="72"/>
      <c r="M108" s="72"/>
      <c r="N108" s="121" t="n">
        <f aca="false">K83</f>
        <v>0.24</v>
      </c>
      <c r="O108" s="121"/>
      <c r="P108" s="121"/>
      <c r="Q108" s="65"/>
      <c r="S108" s="120" t="n">
        <v>0.2</v>
      </c>
      <c r="T108" s="72" t="s">
        <v>105</v>
      </c>
      <c r="U108" s="72"/>
      <c r="V108" s="72"/>
      <c r="W108" s="121" t="n">
        <f aca="false">T83</f>
        <v>0.131</v>
      </c>
      <c r="X108" s="121"/>
      <c r="Y108" s="121"/>
      <c r="Z108" s="65"/>
      <c r="AB108" s="120" t="n">
        <v>0.2</v>
      </c>
      <c r="AC108" s="72" t="s">
        <v>105</v>
      </c>
      <c r="AD108" s="72"/>
      <c r="AE108" s="72"/>
      <c r="AF108" s="122" t="n">
        <f aca="false">AC83</f>
        <v>0.131</v>
      </c>
      <c r="AG108" s="122"/>
      <c r="AH108" s="122"/>
      <c r="AI108" s="65"/>
      <c r="AP108" s="1" t="s">
        <v>106</v>
      </c>
    </row>
    <row r="109" customFormat="false" ht="17.35" hidden="false" customHeight="false" outlineLevel="0" collapsed="false">
      <c r="A109" s="55"/>
      <c r="B109" s="25"/>
      <c r="C109" s="25"/>
      <c r="D109" s="25"/>
      <c r="E109" s="25"/>
      <c r="F109" s="25"/>
      <c r="G109" s="25"/>
      <c r="H109" s="20"/>
      <c r="J109" s="55"/>
      <c r="K109" s="25"/>
      <c r="L109" s="25"/>
      <c r="M109" s="25"/>
      <c r="N109" s="25"/>
      <c r="O109" s="25"/>
      <c r="P109" s="25"/>
      <c r="Q109" s="20"/>
      <c r="S109" s="55"/>
      <c r="T109" s="25"/>
      <c r="U109" s="25"/>
      <c r="V109" s="25"/>
      <c r="W109" s="25"/>
      <c r="X109" s="25"/>
      <c r="Y109" s="25"/>
      <c r="Z109" s="20"/>
      <c r="AB109" s="55"/>
      <c r="AC109" s="25"/>
      <c r="AD109" s="25"/>
      <c r="AE109" s="25"/>
      <c r="AF109" s="25"/>
      <c r="AG109" s="25"/>
      <c r="AH109" s="25"/>
      <c r="AI109" s="20"/>
      <c r="AP109" s="1" t="s">
        <v>104</v>
      </c>
    </row>
    <row r="110" customFormat="false" ht="17.35" hidden="false" customHeight="false" outlineLevel="0" collapsed="false">
      <c r="A110" s="55" t="s">
        <v>107</v>
      </c>
      <c r="B110" s="25" t="s">
        <v>108</v>
      </c>
      <c r="C110" s="25"/>
      <c r="D110" s="25"/>
      <c r="E110" s="25" t="s">
        <v>109</v>
      </c>
      <c r="F110" s="25"/>
      <c r="G110" s="25"/>
      <c r="H110" s="20"/>
      <c r="J110" s="55" t="s">
        <v>107</v>
      </c>
      <c r="K110" s="25" t="s">
        <v>108</v>
      </c>
      <c r="L110" s="25"/>
      <c r="M110" s="25"/>
      <c r="N110" s="25" t="s">
        <v>109</v>
      </c>
      <c r="O110" s="25"/>
      <c r="P110" s="25"/>
      <c r="Q110" s="20"/>
      <c r="S110" s="55" t="s">
        <v>107</v>
      </c>
      <c r="T110" s="25" t="s">
        <v>108</v>
      </c>
      <c r="U110" s="25"/>
      <c r="V110" s="25"/>
      <c r="W110" s="25" t="s">
        <v>109</v>
      </c>
      <c r="X110" s="25"/>
      <c r="Y110" s="25"/>
      <c r="Z110" s="20"/>
      <c r="AB110" s="55" t="s">
        <v>107</v>
      </c>
      <c r="AC110" s="25" t="s">
        <v>108</v>
      </c>
      <c r="AD110" s="25"/>
      <c r="AE110" s="25"/>
      <c r="AF110" s="25" t="s">
        <v>109</v>
      </c>
      <c r="AG110" s="25"/>
      <c r="AH110" s="25"/>
      <c r="AI110" s="20"/>
    </row>
    <row r="111" customFormat="false" ht="17.35" hidden="false" customHeight="false" outlineLevel="0" collapsed="false">
      <c r="A111" s="52" t="s">
        <v>9</v>
      </c>
      <c r="B111" s="72" t="n">
        <v>1000</v>
      </c>
      <c r="C111" s="72"/>
      <c r="D111" s="72"/>
      <c r="E111" s="72" t="n">
        <v>1000</v>
      </c>
      <c r="F111" s="72"/>
      <c r="G111" s="72"/>
      <c r="H111" s="118"/>
      <c r="J111" s="52" t="s">
        <v>10</v>
      </c>
      <c r="K111" s="72" t="n">
        <v>1000</v>
      </c>
      <c r="L111" s="72"/>
      <c r="M111" s="72"/>
      <c r="N111" s="72" t="n">
        <v>0</v>
      </c>
      <c r="O111" s="72"/>
      <c r="P111" s="72"/>
      <c r="Q111" s="118"/>
      <c r="S111" s="52" t="s">
        <v>9</v>
      </c>
      <c r="T111" s="72" t="n">
        <v>1000</v>
      </c>
      <c r="U111" s="72"/>
      <c r="V111" s="72"/>
      <c r="W111" s="72" t="n">
        <v>0</v>
      </c>
      <c r="X111" s="72"/>
      <c r="Y111" s="72"/>
      <c r="Z111" s="118"/>
      <c r="AB111" s="52" t="s">
        <v>9</v>
      </c>
      <c r="AC111" s="72" t="n">
        <v>1000</v>
      </c>
      <c r="AD111" s="72"/>
      <c r="AE111" s="72"/>
      <c r="AF111" s="72" t="n">
        <v>0</v>
      </c>
      <c r="AG111" s="72"/>
      <c r="AH111" s="72"/>
      <c r="AI111" s="118"/>
    </row>
    <row r="112" customFormat="false" ht="17.35" hidden="false" customHeight="false" outlineLevel="0" collapsed="false">
      <c r="A112" s="55"/>
      <c r="B112" s="25"/>
      <c r="C112" s="25"/>
      <c r="D112" s="25"/>
      <c r="E112" s="25"/>
      <c r="F112" s="25"/>
      <c r="G112" s="94"/>
      <c r="H112" s="118"/>
      <c r="J112" s="55"/>
      <c r="K112" s="25"/>
      <c r="L112" s="25"/>
      <c r="M112" s="25"/>
      <c r="N112" s="25"/>
      <c r="O112" s="25"/>
      <c r="P112" s="94"/>
      <c r="Q112" s="118"/>
      <c r="S112" s="55"/>
      <c r="T112" s="25"/>
      <c r="U112" s="25"/>
      <c r="V112" s="25"/>
      <c r="W112" s="25"/>
      <c r="X112" s="25"/>
      <c r="Y112" s="94"/>
      <c r="Z112" s="118"/>
      <c r="AB112" s="55"/>
      <c r="AC112" s="25"/>
      <c r="AD112" s="25"/>
      <c r="AE112" s="25"/>
      <c r="AF112" s="25"/>
      <c r="AG112" s="25"/>
      <c r="AH112" s="94"/>
      <c r="AI112" s="118"/>
    </row>
    <row r="113" customFormat="false" ht="17.35" hidden="false" customHeight="false" outlineLevel="0" collapsed="false">
      <c r="A113" s="123" t="s">
        <v>110</v>
      </c>
      <c r="B113" s="25" t="s">
        <v>111</v>
      </c>
      <c r="C113" s="25"/>
      <c r="D113" s="25"/>
      <c r="E113" s="25" t="s">
        <v>112</v>
      </c>
      <c r="F113" s="25"/>
      <c r="G113" s="94"/>
      <c r="H113" s="118"/>
      <c r="J113" s="123" t="s">
        <v>110</v>
      </c>
      <c r="K113" s="25" t="s">
        <v>111</v>
      </c>
      <c r="L113" s="25"/>
      <c r="M113" s="25"/>
      <c r="N113" s="25" t="s">
        <v>112</v>
      </c>
      <c r="O113" s="25"/>
      <c r="P113" s="94"/>
      <c r="Q113" s="118"/>
      <c r="S113" s="123" t="s">
        <v>110</v>
      </c>
      <c r="T113" s="25" t="s">
        <v>111</v>
      </c>
      <c r="U113" s="25"/>
      <c r="V113" s="25"/>
      <c r="W113" s="25" t="s">
        <v>112</v>
      </c>
      <c r="X113" s="25"/>
      <c r="Y113" s="94"/>
      <c r="Z113" s="118"/>
      <c r="AB113" s="123" t="s">
        <v>110</v>
      </c>
      <c r="AC113" s="25" t="s">
        <v>111</v>
      </c>
      <c r="AD113" s="25"/>
      <c r="AE113" s="25"/>
      <c r="AF113" s="25" t="s">
        <v>112</v>
      </c>
      <c r="AG113" s="25"/>
      <c r="AH113" s="94"/>
      <c r="AI113" s="118"/>
    </row>
    <row r="114" customFormat="false" ht="17.35" hidden="false" customHeight="false" outlineLevel="0" collapsed="false">
      <c r="A114" s="70" t="n">
        <f aca="false">B111+E111</f>
        <v>2000</v>
      </c>
      <c r="B114" s="72" t="s">
        <v>206</v>
      </c>
      <c r="C114" s="72"/>
      <c r="D114" s="72"/>
      <c r="E114" s="72" t="n">
        <v>0</v>
      </c>
      <c r="F114" s="72"/>
      <c r="G114" s="72"/>
      <c r="H114" s="118"/>
      <c r="J114" s="70" t="n">
        <f aca="false">K111+N111</f>
        <v>1000</v>
      </c>
      <c r="K114" s="72" t="n">
        <v>239.99</v>
      </c>
      <c r="L114" s="72"/>
      <c r="M114" s="72"/>
      <c r="N114" s="72" t="n">
        <v>0</v>
      </c>
      <c r="O114" s="72"/>
      <c r="P114" s="72"/>
      <c r="Q114" s="118"/>
      <c r="S114" s="70" t="n">
        <f aca="false">T111+W111</f>
        <v>1000</v>
      </c>
      <c r="T114" s="72" t="n">
        <v>199.99</v>
      </c>
      <c r="U114" s="72"/>
      <c r="V114" s="72"/>
      <c r="W114" s="72" t="n">
        <v>0</v>
      </c>
      <c r="X114" s="72"/>
      <c r="Y114" s="72"/>
      <c r="Z114" s="118"/>
      <c r="AB114" s="70" t="n">
        <f aca="false">AC111+AF111</f>
        <v>1000</v>
      </c>
      <c r="AC114" s="72" t="n">
        <v>239.99</v>
      </c>
      <c r="AD114" s="72"/>
      <c r="AE114" s="72"/>
      <c r="AF114" s="72" t="n">
        <v>0</v>
      </c>
      <c r="AG114" s="72"/>
      <c r="AH114" s="72"/>
      <c r="AI114" s="118"/>
    </row>
    <row r="115" customFormat="false" ht="13.8" hidden="false" customHeight="false" outlineLevel="0" collapsed="false">
      <c r="A115" s="124"/>
      <c r="B115" s="94"/>
      <c r="C115" s="94"/>
      <c r="D115" s="94"/>
      <c r="E115" s="94"/>
      <c r="F115" s="94"/>
      <c r="G115" s="94"/>
      <c r="H115" s="118"/>
      <c r="J115" s="124"/>
      <c r="K115" s="94"/>
      <c r="L115" s="94"/>
      <c r="M115" s="94"/>
      <c r="N115" s="94"/>
      <c r="O115" s="94"/>
      <c r="P115" s="94"/>
      <c r="Q115" s="118"/>
      <c r="S115" s="124"/>
      <c r="T115" s="94"/>
      <c r="U115" s="94"/>
      <c r="V115" s="94"/>
      <c r="W115" s="94"/>
      <c r="X115" s="94"/>
      <c r="Y115" s="94"/>
      <c r="Z115" s="118"/>
      <c r="AB115" s="124"/>
      <c r="AC115" s="94"/>
      <c r="AD115" s="94"/>
      <c r="AE115" s="94"/>
      <c r="AF115" s="94"/>
      <c r="AG115" s="94"/>
      <c r="AH115" s="94"/>
      <c r="AI115" s="118"/>
    </row>
    <row r="116" customFormat="false" ht="13.8" hidden="false" customHeight="false" outlineLevel="0" collapsed="false">
      <c r="A116" s="124"/>
      <c r="B116" s="94"/>
      <c r="C116" s="94"/>
      <c r="D116" s="94"/>
      <c r="E116" s="94"/>
      <c r="F116" s="94"/>
      <c r="G116" s="94"/>
      <c r="H116" s="118"/>
      <c r="J116" s="124"/>
      <c r="K116" s="94"/>
      <c r="L116" s="94"/>
      <c r="M116" s="94"/>
      <c r="N116" s="94"/>
      <c r="O116" s="94"/>
      <c r="P116" s="94"/>
      <c r="Q116" s="118"/>
      <c r="S116" s="124"/>
      <c r="T116" s="94"/>
      <c r="U116" s="94"/>
      <c r="V116" s="94"/>
      <c r="W116" s="94"/>
      <c r="X116" s="94"/>
      <c r="Y116" s="94"/>
      <c r="Z116" s="118"/>
      <c r="AB116" s="124"/>
      <c r="AC116" s="94"/>
      <c r="AD116" s="94"/>
      <c r="AE116" s="94"/>
      <c r="AF116" s="94"/>
      <c r="AG116" s="94"/>
      <c r="AH116" s="94"/>
      <c r="AI116" s="118"/>
    </row>
    <row r="117" customFormat="false" ht="22.05" hidden="false" customHeight="false" outlineLevel="0" collapsed="false">
      <c r="A117" s="58" t="n">
        <v>0.3</v>
      </c>
      <c r="B117" s="58"/>
      <c r="C117" s="58"/>
      <c r="D117" s="58"/>
      <c r="E117" s="58"/>
      <c r="F117" s="58"/>
      <c r="G117" s="58"/>
      <c r="H117" s="58"/>
      <c r="J117" s="58" t="s">
        <v>114</v>
      </c>
      <c r="K117" s="58"/>
      <c r="L117" s="58"/>
      <c r="M117" s="58"/>
      <c r="N117" s="58"/>
      <c r="O117" s="58"/>
      <c r="P117" s="58"/>
      <c r="Q117" s="58"/>
      <c r="S117" s="58" t="s">
        <v>114</v>
      </c>
      <c r="T117" s="58"/>
      <c r="U117" s="58"/>
      <c r="V117" s="58"/>
      <c r="W117" s="58"/>
      <c r="X117" s="58"/>
      <c r="Y117" s="58"/>
      <c r="Z117" s="58"/>
      <c r="AB117" s="58" t="s">
        <v>114</v>
      </c>
      <c r="AC117" s="58"/>
      <c r="AD117" s="58"/>
      <c r="AE117" s="58"/>
      <c r="AF117" s="58"/>
      <c r="AG117" s="58"/>
      <c r="AH117" s="58"/>
      <c r="AI117" s="58"/>
    </row>
    <row r="118" customFormat="false" ht="13.8" hidden="false" customHeight="false" outlineLevel="0" collapsed="false">
      <c r="A118" s="124"/>
      <c r="B118" s="94"/>
      <c r="C118" s="94"/>
      <c r="D118" s="94"/>
      <c r="E118" s="94"/>
      <c r="F118" s="94"/>
      <c r="G118" s="94"/>
      <c r="H118" s="118"/>
      <c r="J118" s="124"/>
      <c r="K118" s="94"/>
      <c r="L118" s="94"/>
      <c r="M118" s="94"/>
      <c r="N118" s="94"/>
      <c r="O118" s="94"/>
      <c r="P118" s="94"/>
      <c r="Q118" s="118"/>
      <c r="S118" s="124"/>
      <c r="T118" s="94"/>
      <c r="U118" s="94"/>
      <c r="V118" s="94"/>
      <c r="W118" s="94"/>
      <c r="X118" s="94"/>
      <c r="Y118" s="94"/>
      <c r="Z118" s="118"/>
      <c r="AB118" s="124"/>
      <c r="AC118" s="94"/>
      <c r="AD118" s="94"/>
      <c r="AE118" s="94"/>
      <c r="AF118" s="94"/>
      <c r="AG118" s="94"/>
      <c r="AH118" s="94"/>
      <c r="AI118" s="118"/>
    </row>
    <row r="119" customFormat="false" ht="19.7" hidden="false" customHeight="false" outlineLevel="0" collapsed="false">
      <c r="A119" s="97"/>
      <c r="B119" s="125" t="s">
        <v>115</v>
      </c>
      <c r="C119" s="125"/>
      <c r="D119" s="125" t="s">
        <v>116</v>
      </c>
      <c r="E119" s="125"/>
      <c r="F119" s="125" t="s">
        <v>117</v>
      </c>
      <c r="G119" s="125"/>
      <c r="H119" s="126" t="s">
        <v>118</v>
      </c>
      <c r="J119" s="97"/>
      <c r="K119" s="125" t="s">
        <v>115</v>
      </c>
      <c r="L119" s="125"/>
      <c r="M119" s="125" t="s">
        <v>116</v>
      </c>
      <c r="N119" s="125"/>
      <c r="O119" s="125" t="s">
        <v>117</v>
      </c>
      <c r="P119" s="125"/>
      <c r="Q119" s="126" t="s">
        <v>118</v>
      </c>
      <c r="S119" s="97"/>
      <c r="T119" s="125" t="s">
        <v>115</v>
      </c>
      <c r="U119" s="125"/>
      <c r="V119" s="125" t="s">
        <v>116</v>
      </c>
      <c r="W119" s="125"/>
      <c r="X119" s="125" t="s">
        <v>117</v>
      </c>
      <c r="Y119" s="125"/>
      <c r="Z119" s="126" t="s">
        <v>118</v>
      </c>
      <c r="AB119" s="97"/>
      <c r="AC119" s="125" t="s">
        <v>115</v>
      </c>
      <c r="AD119" s="125"/>
      <c r="AE119" s="125" t="s">
        <v>116</v>
      </c>
      <c r="AF119" s="125"/>
      <c r="AG119" s="125" t="s">
        <v>117</v>
      </c>
      <c r="AH119" s="125"/>
      <c r="AI119" s="126" t="s">
        <v>118</v>
      </c>
    </row>
    <row r="120" customFormat="false" ht="19.7" hidden="false" customHeight="false" outlineLevel="0" collapsed="false">
      <c r="A120" s="99"/>
      <c r="B120" s="127" t="s">
        <v>119</v>
      </c>
      <c r="C120" s="128" t="s">
        <v>120</v>
      </c>
      <c r="D120" s="127" t="s">
        <v>119</v>
      </c>
      <c r="E120" s="129" t="s">
        <v>120</v>
      </c>
      <c r="F120" s="127" t="s">
        <v>119</v>
      </c>
      <c r="G120" s="129" t="s">
        <v>120</v>
      </c>
      <c r="H120" s="130"/>
      <c r="J120" s="99"/>
      <c r="K120" s="127" t="s">
        <v>119</v>
      </c>
      <c r="L120" s="128" t="s">
        <v>120</v>
      </c>
      <c r="M120" s="127" t="s">
        <v>119</v>
      </c>
      <c r="N120" s="129" t="s">
        <v>120</v>
      </c>
      <c r="O120" s="127" t="s">
        <v>119</v>
      </c>
      <c r="P120" s="129" t="s">
        <v>120</v>
      </c>
      <c r="Q120" s="130"/>
      <c r="S120" s="99"/>
      <c r="T120" s="127" t="s">
        <v>119</v>
      </c>
      <c r="U120" s="128" t="s">
        <v>120</v>
      </c>
      <c r="V120" s="127" t="s">
        <v>119</v>
      </c>
      <c r="W120" s="129" t="s">
        <v>120</v>
      </c>
      <c r="X120" s="127" t="s">
        <v>119</v>
      </c>
      <c r="Y120" s="129" t="s">
        <v>120</v>
      </c>
      <c r="Z120" s="130"/>
      <c r="AB120" s="99"/>
      <c r="AC120" s="127" t="s">
        <v>119</v>
      </c>
      <c r="AD120" s="128" t="s">
        <v>120</v>
      </c>
      <c r="AE120" s="127" t="s">
        <v>119</v>
      </c>
      <c r="AF120" s="129" t="s">
        <v>120</v>
      </c>
      <c r="AG120" s="127" t="s">
        <v>119</v>
      </c>
      <c r="AH120" s="129" t="s">
        <v>120</v>
      </c>
      <c r="AI120" s="130"/>
    </row>
    <row r="121" customFormat="false" ht="17.35" hidden="false" customHeight="false" outlineLevel="0" collapsed="false">
      <c r="A121" s="48" t="s">
        <v>121</v>
      </c>
      <c r="B121" s="131" t="n">
        <f aca="false">B3</f>
        <v>46854.17</v>
      </c>
      <c r="C121" s="132" t="n">
        <f aca="false">B121</f>
        <v>46854.17</v>
      </c>
      <c r="D121" s="131" t="n">
        <f aca="false">D3</f>
        <v>0</v>
      </c>
      <c r="E121" s="132" t="n">
        <f aca="false">D121</f>
        <v>0</v>
      </c>
      <c r="F121" s="131" t="n">
        <f aca="false">F3</f>
        <v>833.33</v>
      </c>
      <c r="G121" s="132" t="n">
        <f aca="false">F121</f>
        <v>833.33</v>
      </c>
      <c r="H121" s="133" t="n">
        <f aca="false">H3</f>
        <v>0</v>
      </c>
      <c r="J121" s="48" t="s">
        <v>121</v>
      </c>
      <c r="K121" s="131" t="n">
        <f aca="false">B3</f>
        <v>46854.17</v>
      </c>
      <c r="L121" s="132" t="n">
        <v>28629.17</v>
      </c>
      <c r="M121" s="131" t="n">
        <f aca="false">D3</f>
        <v>0</v>
      </c>
      <c r="N121" s="132" t="n">
        <f aca="false">M121</f>
        <v>0</v>
      </c>
      <c r="O121" s="131" t="n">
        <f aca="false">F3</f>
        <v>833.33</v>
      </c>
      <c r="P121" s="132" t="n">
        <f aca="false">O121</f>
        <v>833.33</v>
      </c>
      <c r="Q121" s="133" t="n">
        <f aca="false">H3</f>
        <v>0</v>
      </c>
      <c r="S121" s="48" t="s">
        <v>121</v>
      </c>
      <c r="T121" s="131" t="n">
        <f aca="false">B3</f>
        <v>46854.17</v>
      </c>
      <c r="U121" s="132" t="n">
        <f aca="false">T121</f>
        <v>46854.17</v>
      </c>
      <c r="V121" s="131" t="n">
        <f aca="false">D3</f>
        <v>0</v>
      </c>
      <c r="W121" s="132" t="n">
        <f aca="false">V121</f>
        <v>0</v>
      </c>
      <c r="X121" s="131" t="n">
        <f aca="false">F3</f>
        <v>833.33</v>
      </c>
      <c r="Y121" s="132" t="n">
        <f aca="false">X121</f>
        <v>833.33</v>
      </c>
      <c r="Z121" s="133" t="n">
        <f aca="false">H3</f>
        <v>0</v>
      </c>
      <c r="AB121" s="48" t="s">
        <v>121</v>
      </c>
      <c r="AC121" s="131" t="n">
        <f aca="false">B3</f>
        <v>46854.17</v>
      </c>
      <c r="AD121" s="132" t="n">
        <f aca="false">AC121</f>
        <v>46854.17</v>
      </c>
      <c r="AE121" s="131" t="n">
        <f aca="false">D3</f>
        <v>0</v>
      </c>
      <c r="AF121" s="132" t="n">
        <f aca="false">AE121</f>
        <v>0</v>
      </c>
      <c r="AG121" s="131" t="n">
        <f aca="false">F3</f>
        <v>833.33</v>
      </c>
      <c r="AH121" s="132" t="n">
        <f aca="false">AG121</f>
        <v>833.33</v>
      </c>
      <c r="AI121" s="133" t="n">
        <f aca="false">H3</f>
        <v>0</v>
      </c>
    </row>
    <row r="122" customFormat="false" ht="17.35" hidden="false" customHeight="false" outlineLevel="0" collapsed="false">
      <c r="A122" s="55" t="s">
        <v>122</v>
      </c>
      <c r="B122" s="134" t="n">
        <f aca="false">B4</f>
        <v>0</v>
      </c>
      <c r="C122" s="17" t="n">
        <v>0</v>
      </c>
      <c r="D122" s="134" t="n">
        <f aca="false">D4</f>
        <v>0</v>
      </c>
      <c r="E122" s="17" t="n">
        <v>0</v>
      </c>
      <c r="F122" s="134" t="n">
        <f aca="false">F4</f>
        <v>0</v>
      </c>
      <c r="G122" s="135" t="n">
        <v>0</v>
      </c>
      <c r="H122" s="18"/>
      <c r="J122" s="55" t="s">
        <v>122</v>
      </c>
      <c r="K122" s="134" t="n">
        <f aca="false">B4</f>
        <v>0</v>
      </c>
      <c r="L122" s="17" t="n">
        <v>0</v>
      </c>
      <c r="M122" s="134" t="n">
        <f aca="false">D4</f>
        <v>0</v>
      </c>
      <c r="N122" s="17" t="n">
        <f aca="false">M122</f>
        <v>0</v>
      </c>
      <c r="O122" s="134" t="n">
        <f aca="false">F4</f>
        <v>0</v>
      </c>
      <c r="P122" s="135" t="n">
        <f aca="false">O122</f>
        <v>0</v>
      </c>
      <c r="Q122" s="18"/>
      <c r="S122" s="55" t="s">
        <v>122</v>
      </c>
      <c r="T122" s="134" t="n">
        <f aca="false">B4</f>
        <v>0</v>
      </c>
      <c r="U122" s="17" t="n">
        <v>0.25</v>
      </c>
      <c r="V122" s="134" t="n">
        <f aca="false">D4</f>
        <v>0</v>
      </c>
      <c r="W122" s="17" t="n">
        <f aca="false">V122</f>
        <v>0</v>
      </c>
      <c r="X122" s="134" t="n">
        <f aca="false">F4</f>
        <v>0</v>
      </c>
      <c r="Y122" s="135" t="n">
        <f aca="false">X122</f>
        <v>0</v>
      </c>
      <c r="Z122" s="18"/>
      <c r="AB122" s="55" t="s">
        <v>122</v>
      </c>
      <c r="AC122" s="134" t="n">
        <f aca="false">B4</f>
        <v>0</v>
      </c>
      <c r="AD122" s="17" t="n">
        <v>0.25</v>
      </c>
      <c r="AE122" s="134" t="n">
        <f aca="false">D4</f>
        <v>0</v>
      </c>
      <c r="AF122" s="17" t="n">
        <f aca="false">AE122</f>
        <v>0</v>
      </c>
      <c r="AG122" s="134" t="n">
        <f aca="false">F4</f>
        <v>0</v>
      </c>
      <c r="AH122" s="135" t="n">
        <f aca="false">AG122</f>
        <v>0</v>
      </c>
      <c r="AI122" s="18"/>
    </row>
    <row r="123" customFormat="false" ht="17.35" hidden="false" customHeight="false" outlineLevel="0" collapsed="false">
      <c r="A123" s="55" t="s">
        <v>123</v>
      </c>
      <c r="B123" s="136" t="n">
        <f aca="false">B5</f>
        <v>0</v>
      </c>
      <c r="C123" s="132" t="n">
        <v>-9754.17</v>
      </c>
      <c r="D123" s="136" t="n">
        <f aca="false">D5</f>
        <v>0</v>
      </c>
      <c r="E123" s="132" t="n">
        <v>0</v>
      </c>
      <c r="F123" s="136" t="n">
        <f aca="false">F5</f>
        <v>0</v>
      </c>
      <c r="G123" s="132" t="n">
        <v>0</v>
      </c>
      <c r="H123" s="20"/>
      <c r="J123" s="55" t="s">
        <v>123</v>
      </c>
      <c r="K123" s="136" t="n">
        <f aca="false">B5</f>
        <v>0</v>
      </c>
      <c r="L123" s="132" t="n">
        <v>0</v>
      </c>
      <c r="M123" s="136" t="n">
        <f aca="false">D5</f>
        <v>0</v>
      </c>
      <c r="N123" s="132" t="n">
        <f aca="false">M123</f>
        <v>0</v>
      </c>
      <c r="O123" s="136" t="n">
        <f aca="false">F5</f>
        <v>0</v>
      </c>
      <c r="P123" s="132" t="n">
        <f aca="false">O123</f>
        <v>0</v>
      </c>
      <c r="Q123" s="20"/>
      <c r="S123" s="55" t="s">
        <v>123</v>
      </c>
      <c r="T123" s="136" t="n">
        <f aca="false">B5</f>
        <v>0</v>
      </c>
      <c r="U123" s="132" t="n">
        <v>0</v>
      </c>
      <c r="V123" s="136" t="n">
        <f aca="false">D5</f>
        <v>0</v>
      </c>
      <c r="W123" s="132" t="n">
        <f aca="false">V123</f>
        <v>0</v>
      </c>
      <c r="X123" s="136" t="n">
        <f aca="false">F5</f>
        <v>0</v>
      </c>
      <c r="Y123" s="132" t="n">
        <f aca="false">X123</f>
        <v>0</v>
      </c>
      <c r="Z123" s="20"/>
      <c r="AB123" s="55" t="s">
        <v>123</v>
      </c>
      <c r="AC123" s="136" t="n">
        <f aca="false">B5</f>
        <v>0</v>
      </c>
      <c r="AD123" s="132" t="n">
        <v>0</v>
      </c>
      <c r="AE123" s="136" t="n">
        <f aca="false">D5</f>
        <v>0</v>
      </c>
      <c r="AF123" s="132" t="n">
        <f aca="false">AE123</f>
        <v>0</v>
      </c>
      <c r="AG123" s="136" t="n">
        <f aca="false">F5</f>
        <v>0</v>
      </c>
      <c r="AH123" s="132" t="n">
        <f aca="false">AG123</f>
        <v>0</v>
      </c>
      <c r="AI123" s="20"/>
    </row>
    <row r="124" customFormat="false" ht="17.35" hidden="false" customHeight="false" outlineLevel="0" collapsed="false">
      <c r="A124" s="55" t="s">
        <v>124</v>
      </c>
      <c r="B124" s="136" t="n">
        <f aca="false">(B121*B122)+B123</f>
        <v>0</v>
      </c>
      <c r="C124" s="137" t="n">
        <f aca="false">(C121*C122/100)+C123</f>
        <v>-9754.17</v>
      </c>
      <c r="D124" s="136" t="n">
        <f aca="false">(D121*D122)+D123</f>
        <v>0</v>
      </c>
      <c r="E124" s="137" t="n">
        <f aca="false">(E121*E122/100)+E123</f>
        <v>0</v>
      </c>
      <c r="F124" s="136" t="n">
        <f aca="false">(F121*F122)+F123</f>
        <v>0</v>
      </c>
      <c r="G124" s="137" t="n">
        <f aca="false">(G121*G122/100)+G123</f>
        <v>0</v>
      </c>
      <c r="H124" s="20"/>
      <c r="J124" s="55" t="s">
        <v>124</v>
      </c>
      <c r="K124" s="136" t="n">
        <f aca="false">(K121*K122)+K123</f>
        <v>0</v>
      </c>
      <c r="L124" s="137" t="n">
        <f aca="false">(L121*L122)+L123</f>
        <v>0</v>
      </c>
      <c r="M124" s="136" t="n">
        <f aca="false">(M121*M122)+M123</f>
        <v>0</v>
      </c>
      <c r="N124" s="137" t="n">
        <f aca="false">(N121*N122)+N123</f>
        <v>0</v>
      </c>
      <c r="O124" s="136" t="n">
        <f aca="false">(O121*O122)+O123</f>
        <v>0</v>
      </c>
      <c r="P124" s="137" t="n">
        <f aca="false">(P121*P122)+P123</f>
        <v>0</v>
      </c>
      <c r="Q124" s="20"/>
      <c r="S124" s="55" t="s">
        <v>124</v>
      </c>
      <c r="T124" s="136" t="n">
        <f aca="false">(T121*T122)+T123</f>
        <v>0</v>
      </c>
      <c r="U124" s="137" t="n">
        <f aca="false">(U121*U122/100)+U123</f>
        <v>117.135425</v>
      </c>
      <c r="V124" s="136" t="n">
        <f aca="false">(V121*V122)+V123</f>
        <v>0</v>
      </c>
      <c r="W124" s="137" t="n">
        <f aca="false">(W121*W122/100)+W123</f>
        <v>0</v>
      </c>
      <c r="X124" s="136" t="n">
        <f aca="false">(X121*X122)+X123</f>
        <v>0</v>
      </c>
      <c r="Y124" s="137" t="n">
        <f aca="false">(Y121*Y122/100)+Y123</f>
        <v>0</v>
      </c>
      <c r="Z124" s="20"/>
      <c r="AB124" s="55" t="s">
        <v>124</v>
      </c>
      <c r="AC124" s="136" t="n">
        <f aca="false">(AC121*AC122)+AC123</f>
        <v>0</v>
      </c>
      <c r="AD124" s="137" t="n">
        <f aca="false">(AD121*AD122)+AD123</f>
        <v>11713.5425</v>
      </c>
      <c r="AE124" s="136" t="n">
        <f aca="false">(AE121*AE122)+AE123</f>
        <v>0</v>
      </c>
      <c r="AF124" s="137" t="n">
        <f aca="false">(AF121*AF122)+AF123</f>
        <v>0</v>
      </c>
      <c r="AG124" s="136" t="n">
        <f aca="false">(AG121*AG122)+AG123</f>
        <v>0</v>
      </c>
      <c r="AH124" s="137" t="n">
        <f aca="false">(AH121*AH122)+AH123</f>
        <v>0</v>
      </c>
      <c r="AI124" s="20"/>
    </row>
    <row r="125" customFormat="false" ht="17.35" hidden="false" customHeight="false" outlineLevel="0" collapsed="false">
      <c r="A125" s="74" t="s">
        <v>125</v>
      </c>
      <c r="B125" s="138" t="n">
        <f aca="false">B121-B124</f>
        <v>46854.17</v>
      </c>
      <c r="C125" s="139" t="n">
        <f aca="false">C121-C124</f>
        <v>56608.34</v>
      </c>
      <c r="D125" s="138" t="n">
        <f aca="false">D121-D124</f>
        <v>0</v>
      </c>
      <c r="E125" s="139" t="n">
        <f aca="false">E121-E124</f>
        <v>0</v>
      </c>
      <c r="F125" s="138" t="n">
        <f aca="false">F121-F124</f>
        <v>833.33</v>
      </c>
      <c r="G125" s="139" t="n">
        <f aca="false">G121-G124</f>
        <v>833.33</v>
      </c>
      <c r="H125" s="82"/>
      <c r="J125" s="74" t="s">
        <v>125</v>
      </c>
      <c r="K125" s="138" t="n">
        <f aca="false">K121-K124</f>
        <v>46854.17</v>
      </c>
      <c r="L125" s="139" t="n">
        <f aca="false">L121-L124</f>
        <v>28629.17</v>
      </c>
      <c r="M125" s="138" t="n">
        <f aca="false">M121-M124</f>
        <v>0</v>
      </c>
      <c r="N125" s="139" t="n">
        <f aca="false">N121-N124</f>
        <v>0</v>
      </c>
      <c r="O125" s="138" t="n">
        <f aca="false">O121-O124</f>
        <v>833.33</v>
      </c>
      <c r="P125" s="139" t="n">
        <f aca="false">P121-P124</f>
        <v>833.33</v>
      </c>
      <c r="Q125" s="82"/>
      <c r="S125" s="74" t="s">
        <v>125</v>
      </c>
      <c r="T125" s="138" t="n">
        <f aca="false">T121-T124</f>
        <v>46854.17</v>
      </c>
      <c r="U125" s="139" t="n">
        <f aca="false">U121-U124</f>
        <v>46737.034575</v>
      </c>
      <c r="V125" s="138" t="n">
        <f aca="false">V121-V124</f>
        <v>0</v>
      </c>
      <c r="W125" s="139" t="n">
        <f aca="false">W121-W124</f>
        <v>0</v>
      </c>
      <c r="X125" s="138" t="n">
        <f aca="false">X121-X124</f>
        <v>833.33</v>
      </c>
      <c r="Y125" s="139" t="n">
        <f aca="false">Y121-Y124</f>
        <v>833.33</v>
      </c>
      <c r="Z125" s="82"/>
      <c r="AB125" s="74" t="s">
        <v>125</v>
      </c>
      <c r="AC125" s="138" t="n">
        <f aca="false">AC121-AC124</f>
        <v>46854.17</v>
      </c>
      <c r="AD125" s="139" t="n">
        <f aca="false">AD121-AD124</f>
        <v>35140.6275</v>
      </c>
      <c r="AE125" s="138" t="n">
        <f aca="false">AE121-AE124</f>
        <v>0</v>
      </c>
      <c r="AF125" s="139" t="n">
        <f aca="false">AF121-AF124</f>
        <v>0</v>
      </c>
      <c r="AG125" s="138" t="n">
        <f aca="false">AG121-AG124</f>
        <v>833.33</v>
      </c>
      <c r="AH125" s="139" t="n">
        <f aca="false">AH121-AH124</f>
        <v>833.33</v>
      </c>
      <c r="AI125" s="82"/>
    </row>
    <row r="126" customFormat="false" ht="17.35" hidden="false" customHeight="false" outlineLevel="0" collapsed="false">
      <c r="A126" s="55"/>
      <c r="B126" s="25"/>
      <c r="C126" s="25"/>
      <c r="D126" s="25"/>
      <c r="E126" s="25"/>
      <c r="F126" s="25"/>
      <c r="G126" s="25"/>
      <c r="H126" s="20"/>
      <c r="J126" s="55"/>
      <c r="K126" s="25"/>
      <c r="L126" s="25"/>
      <c r="M126" s="25"/>
      <c r="N126" s="25"/>
      <c r="O126" s="25"/>
      <c r="P126" s="25"/>
      <c r="Q126" s="20"/>
      <c r="S126" s="55"/>
      <c r="T126" s="25"/>
      <c r="U126" s="25"/>
      <c r="V126" s="25"/>
      <c r="W126" s="25"/>
      <c r="X126" s="25"/>
      <c r="Y126" s="25"/>
      <c r="Z126" s="20"/>
      <c r="AB126" s="55"/>
      <c r="AC126" s="25"/>
      <c r="AD126" s="25"/>
      <c r="AE126" s="25"/>
      <c r="AF126" s="25"/>
      <c r="AG126" s="25"/>
      <c r="AH126" s="25"/>
      <c r="AI126" s="20"/>
    </row>
    <row r="127" customFormat="false" ht="19.7" hidden="false" customHeight="false" outlineLevel="0" collapsed="false">
      <c r="A127" s="140"/>
      <c r="B127" s="141"/>
      <c r="C127" s="141"/>
      <c r="D127" s="141"/>
      <c r="E127" s="141"/>
      <c r="F127" s="141"/>
      <c r="G127" s="29" t="s">
        <v>119</v>
      </c>
      <c r="H127" s="142" t="s">
        <v>120</v>
      </c>
      <c r="J127" s="140"/>
      <c r="K127" s="141"/>
      <c r="L127" s="141"/>
      <c r="M127" s="141"/>
      <c r="N127" s="141"/>
      <c r="O127" s="141"/>
      <c r="P127" s="29" t="s">
        <v>119</v>
      </c>
      <c r="Q127" s="142" t="s">
        <v>120</v>
      </c>
      <c r="S127" s="140"/>
      <c r="T127" s="141"/>
      <c r="U127" s="141"/>
      <c r="V127" s="141"/>
      <c r="W127" s="141"/>
      <c r="X127" s="141"/>
      <c r="Y127" s="29" t="s">
        <v>119</v>
      </c>
      <c r="Z127" s="142" t="s">
        <v>120</v>
      </c>
      <c r="AB127" s="140"/>
      <c r="AC127" s="141"/>
      <c r="AD127" s="141"/>
      <c r="AE127" s="141"/>
      <c r="AF127" s="141"/>
      <c r="AG127" s="141"/>
      <c r="AH127" s="29" t="s">
        <v>119</v>
      </c>
      <c r="AI127" s="142" t="s">
        <v>120</v>
      </c>
    </row>
    <row r="128" customFormat="false" ht="17.35" hidden="false" customHeight="false" outlineLevel="0" collapsed="false">
      <c r="A128" s="143" t="s">
        <v>126</v>
      </c>
      <c r="B128" s="144"/>
      <c r="C128" s="144"/>
      <c r="D128" s="144"/>
      <c r="E128" s="144"/>
      <c r="F128" s="144"/>
      <c r="G128" s="145" t="n">
        <f aca="false">H121</f>
        <v>0</v>
      </c>
      <c r="H128" s="146" t="n">
        <f aca="false">SUM(H131:H133)</f>
        <v>0</v>
      </c>
      <c r="J128" s="143" t="s">
        <v>126</v>
      </c>
      <c r="K128" s="144"/>
      <c r="L128" s="144"/>
      <c r="M128" s="144"/>
      <c r="N128" s="144"/>
      <c r="O128" s="144"/>
      <c r="P128" s="145" t="n">
        <f aca="false">Q121</f>
        <v>0</v>
      </c>
      <c r="Q128" s="146" t="n">
        <f aca="false">SUM(Q131:Q133)</f>
        <v>0</v>
      </c>
      <c r="S128" s="143" t="s">
        <v>126</v>
      </c>
      <c r="T128" s="144"/>
      <c r="U128" s="144"/>
      <c r="V128" s="144"/>
      <c r="W128" s="144"/>
      <c r="X128" s="144"/>
      <c r="Y128" s="145" t="n">
        <f aca="false">Z121</f>
        <v>0</v>
      </c>
      <c r="Z128" s="146" t="n">
        <f aca="false">SUM(Z131:Z133)</f>
        <v>0</v>
      </c>
      <c r="AB128" s="143" t="s">
        <v>126</v>
      </c>
      <c r="AC128" s="144"/>
      <c r="AD128" s="144"/>
      <c r="AE128" s="144"/>
      <c r="AF128" s="144"/>
      <c r="AG128" s="144"/>
      <c r="AH128" s="145" t="n">
        <f aca="false">AI121</f>
        <v>0</v>
      </c>
      <c r="AI128" s="146" t="n">
        <f aca="false">SUM(AI131:AI133)</f>
        <v>0</v>
      </c>
    </row>
    <row r="129" customFormat="false" ht="17.35" hidden="false" customHeight="false" outlineLevel="0" collapsed="false">
      <c r="A129" s="55"/>
      <c r="B129" s="25"/>
      <c r="C129" s="25"/>
      <c r="D129" s="25"/>
      <c r="E129" s="25"/>
      <c r="F129" s="25"/>
      <c r="G129" s="147"/>
      <c r="H129" s="148"/>
      <c r="J129" s="55"/>
      <c r="K129" s="25"/>
      <c r="L129" s="25"/>
      <c r="M129" s="25"/>
      <c r="N129" s="25"/>
      <c r="O129" s="25"/>
      <c r="P129" s="147"/>
      <c r="Q129" s="148"/>
      <c r="S129" s="55"/>
      <c r="T129" s="25"/>
      <c r="U129" s="25"/>
      <c r="V129" s="25"/>
      <c r="W129" s="25"/>
      <c r="X129" s="25"/>
      <c r="Y129" s="147"/>
      <c r="Z129" s="148"/>
      <c r="AB129" s="55"/>
      <c r="AC129" s="25"/>
      <c r="AD129" s="25"/>
      <c r="AE129" s="25"/>
      <c r="AF129" s="25"/>
      <c r="AG129" s="25"/>
      <c r="AH129" s="147"/>
      <c r="AI129" s="148"/>
    </row>
    <row r="130" customFormat="false" ht="17.35" hidden="false" customHeight="false" outlineLevel="0" collapsed="false">
      <c r="A130" s="149" t="s">
        <v>127</v>
      </c>
      <c r="B130" s="147" t="s">
        <v>128</v>
      </c>
      <c r="C130" s="147"/>
      <c r="D130" s="147" t="s">
        <v>129</v>
      </c>
      <c r="E130" s="147"/>
      <c r="F130" s="147" t="s">
        <v>123</v>
      </c>
      <c r="G130" s="147"/>
      <c r="H130" s="148" t="s">
        <v>120</v>
      </c>
      <c r="J130" s="149" t="s">
        <v>127</v>
      </c>
      <c r="K130" s="147" t="s">
        <v>128</v>
      </c>
      <c r="L130" s="147"/>
      <c r="M130" s="147" t="s">
        <v>129</v>
      </c>
      <c r="N130" s="147"/>
      <c r="O130" s="147" t="s">
        <v>123</v>
      </c>
      <c r="P130" s="147"/>
      <c r="Q130" s="148" t="s">
        <v>120</v>
      </c>
      <c r="S130" s="149" t="s">
        <v>127</v>
      </c>
      <c r="T130" s="147" t="s">
        <v>128</v>
      </c>
      <c r="U130" s="147"/>
      <c r="V130" s="147" t="s">
        <v>129</v>
      </c>
      <c r="W130" s="147"/>
      <c r="X130" s="147" t="s">
        <v>123</v>
      </c>
      <c r="Y130" s="147"/>
      <c r="Z130" s="148" t="s">
        <v>120</v>
      </c>
      <c r="AB130" s="149" t="s">
        <v>127</v>
      </c>
      <c r="AC130" s="147" t="s">
        <v>128</v>
      </c>
      <c r="AD130" s="147"/>
      <c r="AE130" s="147" t="s">
        <v>129</v>
      </c>
      <c r="AF130" s="147"/>
      <c r="AG130" s="147" t="s">
        <v>123</v>
      </c>
      <c r="AH130" s="147"/>
      <c r="AI130" s="148" t="s">
        <v>120</v>
      </c>
    </row>
    <row r="131" customFormat="false" ht="17.35" hidden="false" customHeight="false" outlineLevel="0" collapsed="false">
      <c r="A131" s="55" t="s">
        <v>130</v>
      </c>
      <c r="B131" s="150" t="n">
        <f aca="false">G128</f>
        <v>0</v>
      </c>
      <c r="C131" s="150"/>
      <c r="D131" s="151" t="n">
        <v>0</v>
      </c>
      <c r="E131" s="151"/>
      <c r="F131" s="150" t="n">
        <v>0</v>
      </c>
      <c r="G131" s="150"/>
      <c r="H131" s="152" t="n">
        <f aca="false">(B131-(B131*D131))-F131</f>
        <v>0</v>
      </c>
      <c r="J131" s="55" t="s">
        <v>130</v>
      </c>
      <c r="K131" s="150" t="n">
        <f aca="false">P128</f>
        <v>0</v>
      </c>
      <c r="L131" s="150"/>
      <c r="M131" s="151" t="n">
        <v>0</v>
      </c>
      <c r="N131" s="151"/>
      <c r="O131" s="150" t="n">
        <v>0</v>
      </c>
      <c r="P131" s="150"/>
      <c r="Q131" s="152" t="n">
        <f aca="false">(K131-(K131*M131))-O131</f>
        <v>0</v>
      </c>
      <c r="S131" s="55" t="s">
        <v>130</v>
      </c>
      <c r="T131" s="150" t="n">
        <f aca="false">Y128</f>
        <v>0</v>
      </c>
      <c r="U131" s="150"/>
      <c r="V131" s="151" t="n">
        <v>0</v>
      </c>
      <c r="W131" s="151"/>
      <c r="X131" s="150" t="n">
        <v>0</v>
      </c>
      <c r="Y131" s="150"/>
      <c r="Z131" s="152" t="n">
        <f aca="false">(T131-(T131*V131))-X131</f>
        <v>0</v>
      </c>
      <c r="AB131" s="55" t="s">
        <v>130</v>
      </c>
      <c r="AC131" s="150" t="n">
        <f aca="false">AH128</f>
        <v>0</v>
      </c>
      <c r="AD131" s="150"/>
      <c r="AE131" s="151" t="n">
        <v>0</v>
      </c>
      <c r="AF131" s="151"/>
      <c r="AG131" s="150" t="n">
        <v>0</v>
      </c>
      <c r="AH131" s="150"/>
      <c r="AI131" s="152" t="n">
        <f aca="false">(AC131-(AC131*AE131))-AG131</f>
        <v>0</v>
      </c>
    </row>
    <row r="132" customFormat="false" ht="17.35" hidden="false" customHeight="false" outlineLevel="0" collapsed="false">
      <c r="A132" s="55" t="s">
        <v>131</v>
      </c>
      <c r="B132" s="150" t="n">
        <v>0</v>
      </c>
      <c r="C132" s="150"/>
      <c r="D132" s="151" t="n">
        <v>0</v>
      </c>
      <c r="E132" s="151"/>
      <c r="F132" s="150" t="n">
        <v>0</v>
      </c>
      <c r="G132" s="150"/>
      <c r="H132" s="152" t="n">
        <f aca="false">(B132-(B132*D132))-F132</f>
        <v>0</v>
      </c>
      <c r="J132" s="55" t="s">
        <v>131</v>
      </c>
      <c r="K132" s="150" t="n">
        <v>0</v>
      </c>
      <c r="L132" s="150"/>
      <c r="M132" s="151" t="n">
        <v>0</v>
      </c>
      <c r="N132" s="151"/>
      <c r="O132" s="150" t="n">
        <v>0</v>
      </c>
      <c r="P132" s="150"/>
      <c r="Q132" s="152" t="n">
        <f aca="false">(K132-(K132*M132))-O132</f>
        <v>0</v>
      </c>
      <c r="S132" s="55" t="s">
        <v>131</v>
      </c>
      <c r="T132" s="150" t="n">
        <v>0</v>
      </c>
      <c r="U132" s="150"/>
      <c r="V132" s="151" t="n">
        <v>0</v>
      </c>
      <c r="W132" s="151"/>
      <c r="X132" s="150" t="n">
        <v>0</v>
      </c>
      <c r="Y132" s="150"/>
      <c r="Z132" s="152" t="n">
        <f aca="false">(T132-(T132*V132))-X132</f>
        <v>0</v>
      </c>
      <c r="AB132" s="55" t="s">
        <v>131</v>
      </c>
      <c r="AC132" s="150" t="n">
        <v>0</v>
      </c>
      <c r="AD132" s="150"/>
      <c r="AE132" s="151" t="n">
        <v>0</v>
      </c>
      <c r="AF132" s="151"/>
      <c r="AG132" s="150" t="n">
        <v>0</v>
      </c>
      <c r="AH132" s="150"/>
      <c r="AI132" s="152" t="n">
        <f aca="false">(AC132-(AC132*AE132))-AG132</f>
        <v>0</v>
      </c>
    </row>
    <row r="133" customFormat="false" ht="17.35" hidden="false" customHeight="false" outlineLevel="0" collapsed="false">
      <c r="A133" s="55" t="s">
        <v>132</v>
      </c>
      <c r="B133" s="150" t="n">
        <v>0</v>
      </c>
      <c r="C133" s="150"/>
      <c r="D133" s="151" t="n">
        <v>0</v>
      </c>
      <c r="E133" s="151"/>
      <c r="F133" s="150" t="n">
        <v>0</v>
      </c>
      <c r="G133" s="150"/>
      <c r="H133" s="152" t="n">
        <f aca="false">(B133-(B133*D133))-F133</f>
        <v>0</v>
      </c>
      <c r="J133" s="55" t="s">
        <v>132</v>
      </c>
      <c r="K133" s="150" t="n">
        <v>0</v>
      </c>
      <c r="L133" s="150"/>
      <c r="M133" s="151" t="n">
        <v>0</v>
      </c>
      <c r="N133" s="151"/>
      <c r="O133" s="150" t="n">
        <v>0</v>
      </c>
      <c r="P133" s="150"/>
      <c r="Q133" s="152" t="n">
        <f aca="false">(K133-(K133*M133))-O133</f>
        <v>0</v>
      </c>
      <c r="S133" s="55" t="s">
        <v>132</v>
      </c>
      <c r="T133" s="150" t="n">
        <v>0</v>
      </c>
      <c r="U133" s="150"/>
      <c r="V133" s="151" t="n">
        <v>0</v>
      </c>
      <c r="W133" s="151"/>
      <c r="X133" s="150" t="n">
        <v>0</v>
      </c>
      <c r="Y133" s="150"/>
      <c r="Z133" s="152" t="n">
        <f aca="false">(T133-(T133*V133))-X133</f>
        <v>0</v>
      </c>
      <c r="AB133" s="55" t="s">
        <v>132</v>
      </c>
      <c r="AC133" s="150" t="n">
        <v>0</v>
      </c>
      <c r="AD133" s="150"/>
      <c r="AE133" s="151" t="n">
        <v>0</v>
      </c>
      <c r="AF133" s="151"/>
      <c r="AG133" s="150" t="n">
        <v>0</v>
      </c>
      <c r="AH133" s="150"/>
      <c r="AI133" s="152" t="n">
        <f aca="false">(AC133-(AC133*AE133))-AG133</f>
        <v>0</v>
      </c>
    </row>
    <row r="134" customFormat="false" ht="17.35" hidden="false" customHeight="false" outlineLevel="0" collapsed="false">
      <c r="A134" s="55"/>
      <c r="B134" s="25"/>
      <c r="C134" s="25"/>
      <c r="D134" s="25"/>
      <c r="E134" s="25"/>
      <c r="F134" s="25"/>
      <c r="G134" s="147"/>
      <c r="H134" s="148"/>
      <c r="J134" s="55"/>
      <c r="K134" s="25"/>
      <c r="L134" s="25"/>
      <c r="M134" s="25"/>
      <c r="N134" s="25"/>
      <c r="O134" s="25"/>
      <c r="P134" s="147"/>
      <c r="Q134" s="148"/>
      <c r="S134" s="55"/>
      <c r="T134" s="25"/>
      <c r="U134" s="25"/>
      <c r="V134" s="25"/>
      <c r="W134" s="25"/>
      <c r="X134" s="25"/>
      <c r="Y134" s="147"/>
      <c r="Z134" s="148"/>
      <c r="AB134" s="55"/>
      <c r="AC134" s="25"/>
      <c r="AD134" s="25"/>
      <c r="AE134" s="25"/>
      <c r="AF134" s="25"/>
      <c r="AG134" s="25"/>
      <c r="AH134" s="147"/>
      <c r="AI134" s="148"/>
    </row>
    <row r="135" customFormat="false" ht="19.7" hidden="false" customHeight="false" outlineLevel="0" collapsed="false">
      <c r="A135" s="153" t="s">
        <v>133</v>
      </c>
      <c r="B135" s="153"/>
      <c r="C135" s="153"/>
      <c r="D135" s="153"/>
      <c r="E135" s="153"/>
      <c r="F135" s="153"/>
      <c r="G135" s="29" t="n">
        <f aca="false">H9</f>
        <v>47687.5</v>
      </c>
      <c r="H135" s="154" t="n">
        <f aca="false">C125+E125+G125+H128</f>
        <v>57441.67</v>
      </c>
      <c r="J135" s="153" t="s">
        <v>133</v>
      </c>
      <c r="K135" s="153"/>
      <c r="L135" s="153"/>
      <c r="M135" s="153"/>
      <c r="N135" s="153"/>
      <c r="O135" s="153"/>
      <c r="P135" s="29" t="n">
        <f aca="false">H9</f>
        <v>47687.5</v>
      </c>
      <c r="Q135" s="154" t="n">
        <f aca="false">L125+N125+P125+Q128</f>
        <v>29462.5</v>
      </c>
      <c r="S135" s="153" t="s">
        <v>133</v>
      </c>
      <c r="T135" s="153"/>
      <c r="U135" s="153"/>
      <c r="V135" s="153"/>
      <c r="W135" s="153"/>
      <c r="X135" s="153"/>
      <c r="Y135" s="29" t="n">
        <f aca="false">H9</f>
        <v>47687.5</v>
      </c>
      <c r="Z135" s="154" t="n">
        <f aca="false">U125+W125+Y125+Z128</f>
        <v>47570.364575</v>
      </c>
      <c r="AB135" s="153" t="s">
        <v>133</v>
      </c>
      <c r="AC135" s="153"/>
      <c r="AD135" s="153"/>
      <c r="AE135" s="153"/>
      <c r="AF135" s="153"/>
      <c r="AG135" s="153"/>
      <c r="AH135" s="29" t="n">
        <f aca="false">H9</f>
        <v>47687.5</v>
      </c>
      <c r="AI135" s="154" t="n">
        <f aca="false">AD125+AF125+AH125+AI128</f>
        <v>35973.9575</v>
      </c>
    </row>
    <row r="136" customFormat="false" ht="17.35" hidden="false" customHeight="false" outlineLevel="0" collapsed="false">
      <c r="A136" s="155" t="s">
        <v>134</v>
      </c>
      <c r="B136" s="155"/>
      <c r="C136" s="155"/>
      <c r="D136" s="155"/>
      <c r="E136" s="155"/>
      <c r="F136" s="155"/>
      <c r="G136" s="21" t="n">
        <f aca="false">H10</f>
        <v>550</v>
      </c>
      <c r="H136" s="20" t="n">
        <f aca="false">G136</f>
        <v>550</v>
      </c>
      <c r="J136" s="155" t="s">
        <v>134</v>
      </c>
      <c r="K136" s="155"/>
      <c r="L136" s="155"/>
      <c r="M136" s="155"/>
      <c r="N136" s="155"/>
      <c r="O136" s="155"/>
      <c r="P136" s="21" t="n">
        <f aca="false">H10</f>
        <v>550</v>
      </c>
      <c r="Q136" s="20" t="n">
        <f aca="false">P136</f>
        <v>550</v>
      </c>
      <c r="S136" s="155" t="s">
        <v>134</v>
      </c>
      <c r="T136" s="155"/>
      <c r="U136" s="155"/>
      <c r="V136" s="155"/>
      <c r="W136" s="155"/>
      <c r="X136" s="155"/>
      <c r="Y136" s="21" t="n">
        <f aca="false">H10</f>
        <v>550</v>
      </c>
      <c r="Z136" s="20" t="n">
        <f aca="false">Y136</f>
        <v>550</v>
      </c>
      <c r="AB136" s="155" t="s">
        <v>134</v>
      </c>
      <c r="AC136" s="155"/>
      <c r="AD136" s="155"/>
      <c r="AE136" s="155"/>
      <c r="AF136" s="155"/>
      <c r="AG136" s="155"/>
      <c r="AH136" s="21" t="n">
        <f aca="false">H10</f>
        <v>550</v>
      </c>
      <c r="AI136" s="20" t="n">
        <f aca="false">AH136</f>
        <v>550</v>
      </c>
    </row>
    <row r="137" customFormat="false" ht="17.35" hidden="false" customHeight="false" outlineLevel="0" collapsed="false">
      <c r="A137" s="155" t="s">
        <v>135</v>
      </c>
      <c r="B137" s="155"/>
      <c r="C137" s="155"/>
      <c r="D137" s="155"/>
      <c r="E137" s="155"/>
      <c r="F137" s="155"/>
      <c r="G137" s="21" t="n">
        <f aca="false">H11</f>
        <v>9647.5</v>
      </c>
      <c r="H137" s="20" t="n">
        <f aca="false">(H135+H136)*20%</f>
        <v>11598.334</v>
      </c>
      <c r="J137" s="155" t="s">
        <v>135</v>
      </c>
      <c r="K137" s="155"/>
      <c r="L137" s="155"/>
      <c r="M137" s="155"/>
      <c r="N137" s="155"/>
      <c r="O137" s="155"/>
      <c r="P137" s="21" t="n">
        <f aca="false">H11</f>
        <v>9647.5</v>
      </c>
      <c r="Q137" s="20" t="n">
        <f aca="false">(Q135+Q136)*20%</f>
        <v>6002.5</v>
      </c>
      <c r="S137" s="155" t="s">
        <v>135</v>
      </c>
      <c r="T137" s="155"/>
      <c r="U137" s="155"/>
      <c r="V137" s="155"/>
      <c r="W137" s="155"/>
      <c r="X137" s="155"/>
      <c r="Y137" s="21" t="n">
        <f aca="false">H11</f>
        <v>9647.5</v>
      </c>
      <c r="Z137" s="20" t="n">
        <f aca="false">(Z135+Z136)*20%</f>
        <v>9624.072915</v>
      </c>
      <c r="AB137" s="155" t="s">
        <v>135</v>
      </c>
      <c r="AC137" s="155"/>
      <c r="AD137" s="155"/>
      <c r="AE137" s="155"/>
      <c r="AF137" s="155"/>
      <c r="AG137" s="155"/>
      <c r="AH137" s="21" t="n">
        <f aca="false">H11</f>
        <v>9647.5</v>
      </c>
      <c r="AI137" s="20" t="n">
        <f aca="false">(AI135+AI136)*20%</f>
        <v>7304.7915</v>
      </c>
    </row>
    <row r="138" customFormat="false" ht="17.35" hidden="false" customHeight="false" outlineLevel="0" collapsed="false">
      <c r="A138" s="155" t="s">
        <v>136</v>
      </c>
      <c r="B138" s="155"/>
      <c r="C138" s="155"/>
      <c r="D138" s="155"/>
      <c r="E138" s="155"/>
      <c r="F138" s="155"/>
      <c r="G138" s="21" t="n">
        <f aca="false">H12</f>
        <v>0</v>
      </c>
      <c r="H138" s="20" t="n">
        <f aca="false">G138</f>
        <v>0</v>
      </c>
      <c r="J138" s="155" t="s">
        <v>136</v>
      </c>
      <c r="K138" s="155"/>
      <c r="L138" s="155"/>
      <c r="M138" s="155"/>
      <c r="N138" s="155"/>
      <c r="O138" s="155"/>
      <c r="P138" s="21" t="n">
        <f aca="false">H12</f>
        <v>0</v>
      </c>
      <c r="Q138" s="20" t="n">
        <f aca="false">P138</f>
        <v>0</v>
      </c>
      <c r="S138" s="155" t="s">
        <v>136</v>
      </c>
      <c r="T138" s="155"/>
      <c r="U138" s="155"/>
      <c r="V138" s="155"/>
      <c r="W138" s="155"/>
      <c r="X138" s="155"/>
      <c r="Y138" s="21" t="n">
        <f aca="false">H12</f>
        <v>0</v>
      </c>
      <c r="Z138" s="20" t="n">
        <f aca="false">Y138</f>
        <v>0</v>
      </c>
      <c r="AB138" s="155" t="s">
        <v>136</v>
      </c>
      <c r="AC138" s="155"/>
      <c r="AD138" s="155"/>
      <c r="AE138" s="155"/>
      <c r="AF138" s="155"/>
      <c r="AG138" s="155"/>
      <c r="AH138" s="21" t="n">
        <f aca="false">H12</f>
        <v>0</v>
      </c>
      <c r="AI138" s="20" t="n">
        <f aca="false">AH138</f>
        <v>0</v>
      </c>
    </row>
    <row r="139" customFormat="false" ht="17.35" hidden="false" customHeight="false" outlineLevel="0" collapsed="false">
      <c r="A139" s="155" t="s">
        <v>137</v>
      </c>
      <c r="B139" s="155"/>
      <c r="C139" s="155"/>
      <c r="D139" s="155"/>
      <c r="E139" s="155"/>
      <c r="F139" s="155"/>
      <c r="G139" s="21" t="n">
        <f aca="false">H13</f>
        <v>585</v>
      </c>
      <c r="H139" s="20" t="n">
        <f aca="false">G139</f>
        <v>585</v>
      </c>
      <c r="J139" s="155" t="s">
        <v>137</v>
      </c>
      <c r="K139" s="155"/>
      <c r="L139" s="155"/>
      <c r="M139" s="155"/>
      <c r="N139" s="155"/>
      <c r="O139" s="155"/>
      <c r="P139" s="21" t="n">
        <f aca="false">H13</f>
        <v>585</v>
      </c>
      <c r="Q139" s="20" t="n">
        <f aca="false">P139</f>
        <v>585</v>
      </c>
      <c r="S139" s="155" t="s">
        <v>137</v>
      </c>
      <c r="T139" s="155"/>
      <c r="U139" s="155"/>
      <c r="V139" s="155"/>
      <c r="W139" s="155"/>
      <c r="X139" s="155"/>
      <c r="Y139" s="21" t="n">
        <f aca="false">H13</f>
        <v>585</v>
      </c>
      <c r="Z139" s="20" t="n">
        <f aca="false">Y139</f>
        <v>585</v>
      </c>
      <c r="AB139" s="155" t="s">
        <v>137</v>
      </c>
      <c r="AC139" s="155"/>
      <c r="AD139" s="155"/>
      <c r="AE139" s="155"/>
      <c r="AF139" s="155"/>
      <c r="AG139" s="155"/>
      <c r="AH139" s="21" t="n">
        <f aca="false">H13</f>
        <v>585</v>
      </c>
      <c r="AI139" s="20" t="n">
        <f aca="false">AH139</f>
        <v>585</v>
      </c>
    </row>
    <row r="140" customFormat="false" ht="17.35" hidden="false" customHeight="false" outlineLevel="0" collapsed="false">
      <c r="A140" s="155" t="s">
        <v>138</v>
      </c>
      <c r="B140" s="155"/>
      <c r="C140" s="155"/>
      <c r="D140" s="155"/>
      <c r="E140" s="155"/>
      <c r="F140" s="155"/>
      <c r="G140" s="21" t="n">
        <f aca="false">H14</f>
        <v>55</v>
      </c>
      <c r="H140" s="20" t="n">
        <v>55</v>
      </c>
      <c r="J140" s="155" t="s">
        <v>138</v>
      </c>
      <c r="K140" s="155"/>
      <c r="L140" s="155"/>
      <c r="M140" s="155"/>
      <c r="N140" s="155"/>
      <c r="O140" s="155"/>
      <c r="P140" s="21" t="n">
        <f aca="false">H14</f>
        <v>55</v>
      </c>
      <c r="Q140" s="20" t="n">
        <v>55</v>
      </c>
      <c r="S140" s="155" t="s">
        <v>138</v>
      </c>
      <c r="T140" s="155"/>
      <c r="U140" s="155"/>
      <c r="V140" s="155"/>
      <c r="W140" s="155"/>
      <c r="X140" s="155"/>
      <c r="Y140" s="21" t="n">
        <f aca="false">H14</f>
        <v>55</v>
      </c>
      <c r="Z140" s="20" t="n">
        <v>55</v>
      </c>
      <c r="AB140" s="155" t="s">
        <v>138</v>
      </c>
      <c r="AC140" s="155"/>
      <c r="AD140" s="155"/>
      <c r="AE140" s="155"/>
      <c r="AF140" s="155"/>
      <c r="AG140" s="155"/>
      <c r="AH140" s="21" t="n">
        <f aca="false">H14</f>
        <v>55</v>
      </c>
      <c r="AI140" s="20" t="n">
        <v>55</v>
      </c>
    </row>
    <row r="141" customFormat="false" ht="19.7" hidden="false" customHeight="false" outlineLevel="0" collapsed="false">
      <c r="A141" s="155" t="s">
        <v>139</v>
      </c>
      <c r="B141" s="155"/>
      <c r="C141" s="155"/>
      <c r="D141" s="155"/>
      <c r="E141" s="155"/>
      <c r="F141" s="155"/>
      <c r="G141" s="157" t="n">
        <f aca="false">H15</f>
        <v>58525</v>
      </c>
      <c r="H141" s="156" t="n">
        <f aca="false">(H135+H136+H139+H140+H137)-H138</f>
        <v>70230.004</v>
      </c>
      <c r="J141" s="155" t="s">
        <v>139</v>
      </c>
      <c r="K141" s="155"/>
      <c r="L141" s="155"/>
      <c r="M141" s="155"/>
      <c r="N141" s="155"/>
      <c r="O141" s="155"/>
      <c r="P141" s="157" t="n">
        <f aca="false">H15</f>
        <v>58525</v>
      </c>
      <c r="Q141" s="156" t="n">
        <f aca="false">(Q135+Q136+Q139+Q140+Q137)-Q138</f>
        <v>36655</v>
      </c>
      <c r="S141" s="155" t="s">
        <v>139</v>
      </c>
      <c r="T141" s="155"/>
      <c r="U141" s="155"/>
      <c r="V141" s="155"/>
      <c r="W141" s="155"/>
      <c r="X141" s="155"/>
      <c r="Y141" s="157" t="n">
        <f aca="false">H15</f>
        <v>58525</v>
      </c>
      <c r="Z141" s="156" t="n">
        <f aca="false">(Z135+Z136+Z139+Z140+Z137)-Z138</f>
        <v>58384.43749</v>
      </c>
      <c r="AB141" s="155" t="s">
        <v>139</v>
      </c>
      <c r="AC141" s="155"/>
      <c r="AD141" s="155"/>
      <c r="AE141" s="155"/>
      <c r="AF141" s="155"/>
      <c r="AG141" s="155"/>
      <c r="AH141" s="157" t="n">
        <f aca="false">H15</f>
        <v>58525</v>
      </c>
      <c r="AI141" s="156" t="n">
        <f aca="false">(AI135+AI136+AI139+AI140+AI137)-AI138</f>
        <v>44468.749</v>
      </c>
    </row>
    <row r="142" customFormat="false" ht="17.35" hidden="false" customHeight="false" outlineLevel="0" collapsed="false">
      <c r="A142" s="155" t="s">
        <v>140</v>
      </c>
      <c r="B142" s="155"/>
      <c r="C142" s="155"/>
      <c r="D142" s="155"/>
      <c r="E142" s="155"/>
      <c r="F142" s="155"/>
      <c r="G142" s="21" t="n">
        <f aca="false">H16</f>
        <v>0</v>
      </c>
      <c r="H142" s="52" t="n">
        <f aca="false">G142</f>
        <v>0</v>
      </c>
      <c r="J142" s="155" t="s">
        <v>140</v>
      </c>
      <c r="K142" s="155"/>
      <c r="L142" s="155"/>
      <c r="M142" s="155"/>
      <c r="N142" s="155"/>
      <c r="O142" s="155"/>
      <c r="P142" s="21" t="n">
        <f aca="false">H16</f>
        <v>0</v>
      </c>
      <c r="Q142" s="52" t="n">
        <f aca="false">P142</f>
        <v>0</v>
      </c>
      <c r="S142" s="155" t="s">
        <v>140</v>
      </c>
      <c r="T142" s="155"/>
      <c r="U142" s="155"/>
      <c r="V142" s="155"/>
      <c r="W142" s="155"/>
      <c r="X142" s="155"/>
      <c r="Y142" s="21" t="n">
        <f aca="false">H16</f>
        <v>0</v>
      </c>
      <c r="Z142" s="52" t="n">
        <f aca="false">Y142</f>
        <v>0</v>
      </c>
      <c r="AB142" s="155" t="s">
        <v>140</v>
      </c>
      <c r="AC142" s="155"/>
      <c r="AD142" s="155"/>
      <c r="AE142" s="155"/>
      <c r="AF142" s="155"/>
      <c r="AG142" s="155"/>
      <c r="AH142" s="21" t="n">
        <f aca="false">H16</f>
        <v>0</v>
      </c>
      <c r="AI142" s="52" t="n">
        <f aca="false">AH142</f>
        <v>0</v>
      </c>
    </row>
    <row r="143" customFormat="false" ht="17.35" hidden="false" customHeight="false" outlineLevel="0" collapsed="false">
      <c r="A143" s="70" t="s">
        <v>141</v>
      </c>
      <c r="B143" s="70"/>
      <c r="C143" s="70"/>
      <c r="D143" s="70"/>
      <c r="E143" s="70"/>
      <c r="F143" s="70"/>
      <c r="G143" s="37"/>
      <c r="H143" s="20"/>
      <c r="J143" s="70" t="s">
        <v>141</v>
      </c>
      <c r="K143" s="70"/>
      <c r="L143" s="70"/>
      <c r="M143" s="70"/>
      <c r="N143" s="70"/>
      <c r="O143" s="70"/>
      <c r="P143" s="37"/>
      <c r="Q143" s="20"/>
      <c r="S143" s="70" t="s">
        <v>141</v>
      </c>
      <c r="T143" s="70"/>
      <c r="U143" s="70"/>
      <c r="V143" s="70"/>
      <c r="W143" s="70"/>
      <c r="X143" s="70"/>
      <c r="Y143" s="37"/>
      <c r="Z143" s="20"/>
      <c r="AB143" s="70" t="s">
        <v>141</v>
      </c>
      <c r="AC143" s="70"/>
      <c r="AD143" s="70"/>
      <c r="AE143" s="70"/>
      <c r="AF143" s="70"/>
      <c r="AG143" s="70"/>
      <c r="AH143" s="37"/>
      <c r="AI143" s="20"/>
    </row>
    <row r="144" customFormat="false" ht="17.35" hidden="false" customHeight="false" outlineLevel="0" collapsed="false">
      <c r="A144" s="158" t="s">
        <v>15</v>
      </c>
      <c r="B144" s="159" t="s">
        <v>142</v>
      </c>
      <c r="C144" s="159"/>
      <c r="D144" s="159"/>
      <c r="E144" s="159"/>
      <c r="F144" s="159"/>
      <c r="G144" s="21" t="n">
        <f aca="false">H18</f>
        <v>0</v>
      </c>
      <c r="H144" s="52" t="n">
        <f aca="false">G144</f>
        <v>0</v>
      </c>
      <c r="J144" s="158" t="s">
        <v>15</v>
      </c>
      <c r="K144" s="159" t="s">
        <v>142</v>
      </c>
      <c r="L144" s="159"/>
      <c r="M144" s="159"/>
      <c r="N144" s="159"/>
      <c r="O144" s="159"/>
      <c r="P144" s="21" t="n">
        <f aca="false">H18</f>
        <v>0</v>
      </c>
      <c r="Q144" s="52" t="n">
        <f aca="false">P144</f>
        <v>0</v>
      </c>
      <c r="S144" s="158" t="s">
        <v>15</v>
      </c>
      <c r="T144" s="159" t="s">
        <v>142</v>
      </c>
      <c r="U144" s="159"/>
      <c r="V144" s="159"/>
      <c r="W144" s="159"/>
      <c r="X144" s="159"/>
      <c r="Y144" s="21" t="n">
        <f aca="false">H18</f>
        <v>0</v>
      </c>
      <c r="Z144" s="52" t="n">
        <f aca="false">Y144</f>
        <v>0</v>
      </c>
      <c r="AB144" s="158" t="s">
        <v>15</v>
      </c>
      <c r="AC144" s="159" t="s">
        <v>142</v>
      </c>
      <c r="AD144" s="159"/>
      <c r="AE144" s="159"/>
      <c r="AF144" s="159"/>
      <c r="AG144" s="159"/>
      <c r="AH144" s="21" t="n">
        <f aca="false">H18</f>
        <v>0</v>
      </c>
      <c r="AI144" s="52" t="n">
        <f aca="false">AH144</f>
        <v>0</v>
      </c>
    </row>
    <row r="145" customFormat="false" ht="17.35" hidden="false" customHeight="false" outlineLevel="0" collapsed="false">
      <c r="A145" s="158" t="s">
        <v>17</v>
      </c>
      <c r="B145" s="159" t="s">
        <v>142</v>
      </c>
      <c r="C145" s="159"/>
      <c r="D145" s="159"/>
      <c r="E145" s="159"/>
      <c r="F145" s="159"/>
      <c r="G145" s="21" t="n">
        <f aca="false">H19</f>
        <v>0</v>
      </c>
      <c r="H145" s="52" t="n">
        <f aca="false">G145</f>
        <v>0</v>
      </c>
      <c r="I145" s="1" t="n">
        <f aca="false">(G142+G145+G146+G144)</f>
        <v>0</v>
      </c>
      <c r="J145" s="158" t="s">
        <v>17</v>
      </c>
      <c r="K145" s="159" t="s">
        <v>142</v>
      </c>
      <c r="L145" s="159"/>
      <c r="M145" s="159"/>
      <c r="N145" s="159"/>
      <c r="O145" s="159"/>
      <c r="P145" s="21" t="n">
        <f aca="false">H19</f>
        <v>0</v>
      </c>
      <c r="Q145" s="52" t="n">
        <f aca="false">P145</f>
        <v>0</v>
      </c>
      <c r="S145" s="158" t="s">
        <v>17</v>
      </c>
      <c r="T145" s="159" t="s">
        <v>142</v>
      </c>
      <c r="U145" s="159"/>
      <c r="V145" s="159"/>
      <c r="W145" s="159"/>
      <c r="X145" s="159"/>
      <c r="Y145" s="21" t="n">
        <f aca="false">H19</f>
        <v>0</v>
      </c>
      <c r="Z145" s="52" t="n">
        <f aca="false">Y145</f>
        <v>0</v>
      </c>
      <c r="AB145" s="158" t="s">
        <v>17</v>
      </c>
      <c r="AC145" s="159" t="s">
        <v>142</v>
      </c>
      <c r="AD145" s="159"/>
      <c r="AE145" s="159"/>
      <c r="AF145" s="159"/>
      <c r="AG145" s="159"/>
      <c r="AH145" s="21" t="n">
        <f aca="false">H19</f>
        <v>0</v>
      </c>
      <c r="AI145" s="52" t="n">
        <f aca="false">AH145</f>
        <v>0</v>
      </c>
    </row>
    <row r="146" customFormat="false" ht="17.35" hidden="false" customHeight="false" outlineLevel="0" collapsed="false">
      <c r="A146" s="160" t="s">
        <v>18</v>
      </c>
      <c r="B146" s="161" t="s">
        <v>142</v>
      </c>
      <c r="C146" s="161"/>
      <c r="D146" s="161"/>
      <c r="E146" s="161"/>
      <c r="F146" s="161"/>
      <c r="G146" s="21" t="n">
        <f aca="false">H20</f>
        <v>0</v>
      </c>
      <c r="H146" s="52" t="n">
        <f aca="false">G146</f>
        <v>0</v>
      </c>
      <c r="I146" s="1" t="n">
        <f aca="false">(H142+H144+H145+H146)</f>
        <v>0</v>
      </c>
      <c r="J146" s="160" t="s">
        <v>18</v>
      </c>
      <c r="K146" s="161" t="s">
        <v>142</v>
      </c>
      <c r="L146" s="161"/>
      <c r="M146" s="161"/>
      <c r="N146" s="161"/>
      <c r="O146" s="161"/>
      <c r="P146" s="21" t="n">
        <f aca="false">H20</f>
        <v>0</v>
      </c>
      <c r="Q146" s="52" t="n">
        <f aca="false">P146</f>
        <v>0</v>
      </c>
      <c r="S146" s="160" t="s">
        <v>18</v>
      </c>
      <c r="T146" s="161" t="s">
        <v>142</v>
      </c>
      <c r="U146" s="161"/>
      <c r="V146" s="161"/>
      <c r="W146" s="161"/>
      <c r="X146" s="161"/>
      <c r="Y146" s="21" t="n">
        <f aca="false">H20</f>
        <v>0</v>
      </c>
      <c r="Z146" s="52" t="n">
        <f aca="false">Y146</f>
        <v>0</v>
      </c>
      <c r="AB146" s="160" t="s">
        <v>18</v>
      </c>
      <c r="AC146" s="161" t="s">
        <v>142</v>
      </c>
      <c r="AD146" s="161"/>
      <c r="AE146" s="161"/>
      <c r="AF146" s="161"/>
      <c r="AG146" s="161"/>
      <c r="AH146" s="21" t="n">
        <f aca="false">H20</f>
        <v>0</v>
      </c>
      <c r="AI146" s="52" t="n">
        <f aca="false">AH146</f>
        <v>0</v>
      </c>
    </row>
    <row r="147" customFormat="false" ht="19.7" hidden="false" customHeight="false" outlineLevel="0" collapsed="false">
      <c r="A147" s="155" t="s">
        <v>143</v>
      </c>
      <c r="B147" s="155"/>
      <c r="C147" s="155"/>
      <c r="D147" s="155"/>
      <c r="E147" s="155"/>
      <c r="F147" s="155"/>
      <c r="G147" s="157" t="n">
        <f aca="false">G141-((G144*1.2)+(G145*1.2)+(G146*1.2)+(G142*1.2))</f>
        <v>58525</v>
      </c>
      <c r="H147" s="162" t="n">
        <f aca="false">H141-((H144*1.2)+(H145*1.2)+(H146*1.2)+(H142*1.2))</f>
        <v>70230.004</v>
      </c>
      <c r="J147" s="155" t="s">
        <v>143</v>
      </c>
      <c r="K147" s="155"/>
      <c r="L147" s="155"/>
      <c r="M147" s="155"/>
      <c r="N147" s="155"/>
      <c r="O147" s="155"/>
      <c r="P147" s="157" t="n">
        <f aca="false">P141-((P144*1.2)+(P145*1.2)+(P146*1.2)+(P142*1.2))</f>
        <v>58525</v>
      </c>
      <c r="Q147" s="162" t="n">
        <f aca="false">Q141-((Q144*1.2)+(Q145*1.2)+(Q146*1.2)+(Q142*1.2))</f>
        <v>36655</v>
      </c>
      <c r="S147" s="155" t="s">
        <v>143</v>
      </c>
      <c r="T147" s="155"/>
      <c r="U147" s="155"/>
      <c r="V147" s="155"/>
      <c r="W147" s="155"/>
      <c r="X147" s="155"/>
      <c r="Y147" s="157" t="n">
        <f aca="false">Y141-((Y144*1.2)+(Y145*1.2)+(Y146*1.2)+(Y142*1.2))</f>
        <v>58525</v>
      </c>
      <c r="Z147" s="162" t="n">
        <f aca="false">Z141-((Z144*1.2)+(Z145*1.2)+(Z146*1.2)+(Z142*1.2))</f>
        <v>58384.43749</v>
      </c>
      <c r="AB147" s="155" t="s">
        <v>143</v>
      </c>
      <c r="AC147" s="155"/>
      <c r="AD147" s="155"/>
      <c r="AE147" s="155"/>
      <c r="AF147" s="155"/>
      <c r="AG147" s="155"/>
      <c r="AH147" s="157" t="n">
        <f aca="false">AH141-((AH144*1.2)+(AH145*1.2)+(AH146*1.2)+(AH142*1.2))</f>
        <v>58525</v>
      </c>
      <c r="AI147" s="162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55" t="s">
        <v>144</v>
      </c>
      <c r="B148" s="155"/>
      <c r="C148" s="155"/>
      <c r="D148" s="155"/>
      <c r="E148" s="155"/>
      <c r="F148" s="155"/>
      <c r="G148" s="21"/>
      <c r="H148" s="52" t="n">
        <f aca="false">((H147-G147)-(H137-G137))+((I146-I145)*0.2)</f>
        <v>9754.17</v>
      </c>
      <c r="I148" s="1" t="n">
        <f aca="false">(H148-G81)/1.2</f>
        <v>8128.475</v>
      </c>
      <c r="J148" s="155" t="s">
        <v>144</v>
      </c>
      <c r="K148" s="155"/>
      <c r="L148" s="155"/>
      <c r="M148" s="155"/>
      <c r="N148" s="155"/>
      <c r="O148" s="155"/>
      <c r="P148" s="21"/>
      <c r="Q148" s="52" t="n">
        <f aca="false">Q147-P147</f>
        <v>-21870</v>
      </c>
      <c r="S148" s="155" t="s">
        <v>144</v>
      </c>
      <c r="T148" s="155"/>
      <c r="U148" s="155"/>
      <c r="V148" s="155"/>
      <c r="W148" s="155"/>
      <c r="X148" s="155"/>
      <c r="Y148" s="21"/>
      <c r="Z148" s="52" t="n">
        <f aca="false">Z147-Y147</f>
        <v>-140.562510000003</v>
      </c>
      <c r="AB148" s="155" t="s">
        <v>144</v>
      </c>
      <c r="AC148" s="155"/>
      <c r="AD148" s="155"/>
      <c r="AE148" s="155"/>
      <c r="AF148" s="155"/>
      <c r="AG148" s="155"/>
      <c r="AH148" s="21"/>
      <c r="AI148" s="52" t="n">
        <f aca="false">AI147-AH147</f>
        <v>-14056.251</v>
      </c>
    </row>
    <row r="149" customFormat="false" ht="17.35" hidden="false" customHeight="false" outlineLevel="0" collapsed="false">
      <c r="A149" s="55"/>
      <c r="B149" s="25"/>
      <c r="C149" s="25"/>
      <c r="D149" s="25"/>
      <c r="E149" s="45"/>
      <c r="F149" s="45"/>
      <c r="G149" s="45"/>
      <c r="H149" s="20"/>
      <c r="J149" s="55"/>
      <c r="K149" s="25"/>
      <c r="L149" s="25"/>
      <c r="M149" s="25"/>
      <c r="N149" s="45"/>
      <c r="O149" s="45"/>
      <c r="P149" s="45"/>
      <c r="Q149" s="20"/>
      <c r="S149" s="55"/>
      <c r="T149" s="25"/>
      <c r="U149" s="25"/>
      <c r="V149" s="25"/>
      <c r="W149" s="45"/>
      <c r="X149" s="45"/>
      <c r="Y149" s="45"/>
      <c r="Z149" s="20"/>
      <c r="AB149" s="55"/>
      <c r="AC149" s="25"/>
      <c r="AD149" s="25"/>
      <c r="AE149" s="25"/>
      <c r="AF149" s="45"/>
      <c r="AG149" s="45"/>
      <c r="AH149" s="45"/>
      <c r="AI149" s="20"/>
    </row>
    <row r="150" customFormat="false" ht="22.05" hidden="false" customHeight="false" outlineLevel="0" collapsed="false">
      <c r="A150" s="58" t="s">
        <v>145</v>
      </c>
      <c r="B150" s="58"/>
      <c r="C150" s="58"/>
      <c r="D150" s="58"/>
      <c r="E150" s="58"/>
      <c r="F150" s="58"/>
      <c r="G150" s="58"/>
      <c r="H150" s="58"/>
      <c r="J150" s="58" t="s">
        <v>145</v>
      </c>
      <c r="K150" s="58"/>
      <c r="L150" s="58"/>
      <c r="M150" s="58"/>
      <c r="N150" s="58"/>
      <c r="O150" s="58"/>
      <c r="P150" s="58"/>
      <c r="Q150" s="58"/>
      <c r="S150" s="58" t="s">
        <v>145</v>
      </c>
      <c r="T150" s="58"/>
      <c r="U150" s="58"/>
      <c r="V150" s="58"/>
      <c r="W150" s="58"/>
      <c r="X150" s="58"/>
      <c r="Y150" s="58"/>
      <c r="Z150" s="58"/>
      <c r="AB150" s="58" t="s">
        <v>145</v>
      </c>
      <c r="AC150" s="58"/>
      <c r="AD150" s="58"/>
      <c r="AE150" s="58"/>
      <c r="AF150" s="58"/>
      <c r="AG150" s="58"/>
      <c r="AH150" s="58"/>
      <c r="AI150" s="58"/>
    </row>
    <row r="151" customFormat="false" ht="17.35" hidden="false" customHeight="false" outlineLevel="0" collapsed="false">
      <c r="A151" s="55"/>
      <c r="B151" s="25"/>
      <c r="C151" s="25"/>
      <c r="D151" s="25"/>
      <c r="E151" s="45"/>
      <c r="F151" s="45"/>
      <c r="G151" s="45"/>
      <c r="H151" s="20"/>
      <c r="J151" s="55"/>
      <c r="K151" s="25"/>
      <c r="L151" s="25"/>
      <c r="M151" s="25"/>
      <c r="N151" s="45"/>
      <c r="O151" s="45"/>
      <c r="P151" s="45"/>
      <c r="Q151" s="20"/>
      <c r="S151" s="55"/>
      <c r="T151" s="25"/>
      <c r="U151" s="25"/>
      <c r="V151" s="25"/>
      <c r="W151" s="45"/>
      <c r="X151" s="45"/>
      <c r="Y151" s="45"/>
      <c r="Z151" s="20"/>
      <c r="AB151" s="55"/>
      <c r="AC151" s="25"/>
      <c r="AD151" s="25"/>
      <c r="AE151" s="25"/>
      <c r="AF151" s="45"/>
      <c r="AG151" s="45"/>
      <c r="AH151" s="45"/>
      <c r="AI151" s="20"/>
    </row>
    <row r="152" customFormat="false" ht="17.35" hidden="false" customHeight="false" outlineLevel="0" collapsed="false">
      <c r="A152" s="55" t="s">
        <v>146</v>
      </c>
      <c r="B152" s="25"/>
      <c r="C152" s="25"/>
      <c r="D152" s="45"/>
      <c r="E152" s="72" t="n">
        <v>2000</v>
      </c>
      <c r="F152" s="72"/>
      <c r="G152" s="72" t="n">
        <v>1000</v>
      </c>
      <c r="H152" s="72"/>
      <c r="J152" s="55" t="s">
        <v>146</v>
      </c>
      <c r="K152" s="25"/>
      <c r="L152" s="25"/>
      <c r="M152" s="45"/>
      <c r="N152" s="72" t="n">
        <v>10000</v>
      </c>
      <c r="O152" s="72"/>
      <c r="P152" s="72" t="n">
        <v>5000</v>
      </c>
      <c r="Q152" s="72"/>
      <c r="S152" s="55" t="s">
        <v>146</v>
      </c>
      <c r="T152" s="25"/>
      <c r="U152" s="25"/>
      <c r="V152" s="45"/>
      <c r="W152" s="72" t="n">
        <v>10000</v>
      </c>
      <c r="X152" s="72"/>
      <c r="Y152" s="72" t="n">
        <v>5000</v>
      </c>
      <c r="Z152" s="72"/>
      <c r="AB152" s="55" t="s">
        <v>146</v>
      </c>
      <c r="AC152" s="25"/>
      <c r="AD152" s="25"/>
      <c r="AE152" s="45"/>
      <c r="AF152" s="72" t="n">
        <v>10000</v>
      </c>
      <c r="AG152" s="72"/>
      <c r="AH152" s="72" t="n">
        <v>5000</v>
      </c>
      <c r="AI152" s="72"/>
    </row>
    <row r="153" customFormat="false" ht="17.35" hidden="false" customHeight="false" outlineLevel="0" collapsed="false">
      <c r="A153" s="55" t="s">
        <v>147</v>
      </c>
      <c r="B153" s="25"/>
      <c r="C153" s="25"/>
      <c r="D153" s="45"/>
      <c r="E153" s="38" t="n">
        <f aca="false">G153</f>
        <v>500</v>
      </c>
      <c r="F153" s="38"/>
      <c r="G153" s="72" t="n">
        <v>500</v>
      </c>
      <c r="H153" s="72"/>
      <c r="J153" s="55" t="s">
        <v>147</v>
      </c>
      <c r="K153" s="25"/>
      <c r="L153" s="25"/>
      <c r="M153" s="45"/>
      <c r="N153" s="38" t="n">
        <f aca="false">P153</f>
        <v>7000</v>
      </c>
      <c r="O153" s="38"/>
      <c r="P153" s="72" t="n">
        <v>7000</v>
      </c>
      <c r="Q153" s="72"/>
      <c r="S153" s="55" t="s">
        <v>147</v>
      </c>
      <c r="T153" s="25"/>
      <c r="U153" s="25"/>
      <c r="V153" s="45"/>
      <c r="W153" s="38" t="n">
        <f aca="false">Y153</f>
        <v>7000</v>
      </c>
      <c r="X153" s="38"/>
      <c r="Y153" s="72" t="n">
        <v>7000</v>
      </c>
      <c r="Z153" s="72"/>
      <c r="AB153" s="55" t="s">
        <v>147</v>
      </c>
      <c r="AC153" s="25"/>
      <c r="AD153" s="25"/>
      <c r="AE153" s="45"/>
      <c r="AF153" s="38" t="n">
        <f aca="false">AH153</f>
        <v>7000</v>
      </c>
      <c r="AG153" s="38"/>
      <c r="AH153" s="72" t="n">
        <v>7000</v>
      </c>
      <c r="AI153" s="72"/>
    </row>
    <row r="154" customFormat="false" ht="17.35" hidden="false" customHeight="false" outlineLevel="0" collapsed="false">
      <c r="A154" s="55" t="s">
        <v>148</v>
      </c>
      <c r="B154" s="25"/>
      <c r="C154" s="25"/>
      <c r="D154" s="45"/>
      <c r="E154" s="38" t="n">
        <f aca="false">E152-E153</f>
        <v>1500</v>
      </c>
      <c r="F154" s="38"/>
      <c r="G154" s="163" t="n">
        <f aca="false">G152-G153</f>
        <v>500</v>
      </c>
      <c r="H154" s="163"/>
      <c r="J154" s="55" t="s">
        <v>148</v>
      </c>
      <c r="K154" s="25"/>
      <c r="L154" s="25"/>
      <c r="M154" s="45"/>
      <c r="N154" s="38" t="n">
        <f aca="false">N152-N153</f>
        <v>3000</v>
      </c>
      <c r="O154" s="38"/>
      <c r="P154" s="163" t="n">
        <f aca="false">P152-P153</f>
        <v>-2000</v>
      </c>
      <c r="Q154" s="163"/>
      <c r="S154" s="55" t="s">
        <v>148</v>
      </c>
      <c r="T154" s="25"/>
      <c r="U154" s="25"/>
      <c r="V154" s="45"/>
      <c r="W154" s="38" t="n">
        <f aca="false">W152-W153</f>
        <v>3000</v>
      </c>
      <c r="X154" s="38"/>
      <c r="Y154" s="163" t="n">
        <f aca="false">Y152-Y153</f>
        <v>-2000</v>
      </c>
      <c r="Z154" s="163"/>
      <c r="AB154" s="55" t="s">
        <v>148</v>
      </c>
      <c r="AC154" s="25"/>
      <c r="AD154" s="25"/>
      <c r="AE154" s="45"/>
      <c r="AF154" s="38" t="n">
        <f aca="false">AF152-AF153</f>
        <v>3000</v>
      </c>
      <c r="AG154" s="38"/>
      <c r="AH154" s="163" t="n">
        <f aca="false">AH152-AH153</f>
        <v>-2000</v>
      </c>
      <c r="AI154" s="163"/>
    </row>
    <row r="155" customFormat="false" ht="17.35" hidden="false" customHeight="false" outlineLevel="0" collapsed="false">
      <c r="A155" s="55" t="s">
        <v>149</v>
      </c>
      <c r="B155" s="25"/>
      <c r="C155" s="25"/>
      <c r="D155" s="45"/>
      <c r="E155" s="38" t="n">
        <f aca="false">E154-G154</f>
        <v>1000</v>
      </c>
      <c r="F155" s="38"/>
      <c r="G155" s="45"/>
      <c r="H155" s="20"/>
      <c r="J155" s="55" t="s">
        <v>149</v>
      </c>
      <c r="K155" s="25"/>
      <c r="L155" s="25"/>
      <c r="M155" s="45"/>
      <c r="N155" s="38" t="n">
        <f aca="false">N154-P154</f>
        <v>5000</v>
      </c>
      <c r="O155" s="38"/>
      <c r="P155" s="45"/>
      <c r="Q155" s="20"/>
      <c r="S155" s="55" t="s">
        <v>149</v>
      </c>
      <c r="T155" s="25"/>
      <c r="U155" s="25"/>
      <c r="V155" s="45"/>
      <c r="W155" s="38" t="n">
        <f aca="false">W154-Y154</f>
        <v>5000</v>
      </c>
      <c r="X155" s="38"/>
      <c r="Y155" s="45"/>
      <c r="Z155" s="20"/>
      <c r="AB155" s="55" t="s">
        <v>149</v>
      </c>
      <c r="AC155" s="25"/>
      <c r="AD155" s="25"/>
      <c r="AE155" s="45"/>
      <c r="AF155" s="38" t="n">
        <f aca="false">AF154-AH154</f>
        <v>5000</v>
      </c>
      <c r="AG155" s="38"/>
      <c r="AH155" s="45"/>
      <c r="AI155" s="20"/>
    </row>
    <row r="156" customFormat="false" ht="17.35" hidden="false" customHeight="false" outlineLevel="0" collapsed="false">
      <c r="A156" s="55"/>
      <c r="B156" s="25"/>
      <c r="C156" s="25"/>
      <c r="D156" s="45"/>
      <c r="E156" s="25"/>
      <c r="F156" s="45"/>
      <c r="G156" s="45"/>
      <c r="H156" s="20"/>
      <c r="J156" s="55"/>
      <c r="K156" s="25"/>
      <c r="L156" s="25"/>
      <c r="M156" s="45"/>
      <c r="N156" s="25"/>
      <c r="O156" s="45"/>
      <c r="P156" s="45"/>
      <c r="Q156" s="20"/>
      <c r="S156" s="55"/>
      <c r="T156" s="25"/>
      <c r="U156" s="25"/>
      <c r="V156" s="45"/>
      <c r="W156" s="25"/>
      <c r="X156" s="45"/>
      <c r="Y156" s="45"/>
      <c r="Z156" s="20"/>
      <c r="AB156" s="55"/>
      <c r="AC156" s="25"/>
      <c r="AD156" s="25"/>
      <c r="AE156" s="45"/>
      <c r="AF156" s="25"/>
      <c r="AG156" s="45"/>
      <c r="AH156" s="45"/>
      <c r="AI156" s="20"/>
    </row>
    <row r="157" customFormat="false" ht="17.35" hidden="false" customHeight="false" outlineLevel="0" collapsed="false">
      <c r="A157" s="48" t="s">
        <v>150</v>
      </c>
      <c r="B157" s="49"/>
      <c r="C157" s="49"/>
      <c r="D157" s="93"/>
      <c r="E157" s="49"/>
      <c r="F157" s="93"/>
      <c r="G157" s="164" t="n">
        <f aca="false">A114</f>
        <v>2000</v>
      </c>
      <c r="H157" s="164"/>
      <c r="J157" s="48" t="s">
        <v>150</v>
      </c>
      <c r="K157" s="49"/>
      <c r="L157" s="49"/>
      <c r="M157" s="93"/>
      <c r="N157" s="49"/>
      <c r="O157" s="93"/>
      <c r="P157" s="164" t="n">
        <f aca="false">J114</f>
        <v>1000</v>
      </c>
      <c r="Q157" s="164"/>
      <c r="S157" s="48" t="s">
        <v>150</v>
      </c>
      <c r="T157" s="49"/>
      <c r="U157" s="49"/>
      <c r="V157" s="93"/>
      <c r="W157" s="49"/>
      <c r="X157" s="93"/>
      <c r="Y157" s="164" t="n">
        <f aca="false">S114</f>
        <v>1000</v>
      </c>
      <c r="Z157" s="164"/>
      <c r="AB157" s="48" t="s">
        <v>150</v>
      </c>
      <c r="AC157" s="49"/>
      <c r="AD157" s="49"/>
      <c r="AE157" s="93"/>
      <c r="AF157" s="49"/>
      <c r="AG157" s="93"/>
      <c r="AH157" s="164" t="n">
        <f aca="false">AB114</f>
        <v>1000</v>
      </c>
      <c r="AI157" s="164"/>
    </row>
    <row r="158" customFormat="false" ht="19.7" hidden="false" customHeight="false" outlineLevel="0" collapsed="false">
      <c r="A158" s="165" t="s">
        <v>151</v>
      </c>
      <c r="B158" s="25"/>
      <c r="C158" s="25"/>
      <c r="D158" s="94"/>
      <c r="E158" s="25"/>
      <c r="F158" s="94"/>
      <c r="G158" s="166" t="n">
        <f aca="false">H147-G154-G157</f>
        <v>67730.004</v>
      </c>
      <c r="H158" s="166"/>
      <c r="J158" s="165" t="s">
        <v>151</v>
      </c>
      <c r="K158" s="25"/>
      <c r="L158" s="25"/>
      <c r="M158" s="94"/>
      <c r="N158" s="25"/>
      <c r="O158" s="94"/>
      <c r="P158" s="166" t="n">
        <f aca="false">Q147-P154-P157</f>
        <v>37655</v>
      </c>
      <c r="Q158" s="166"/>
      <c r="S158" s="165" t="s">
        <v>151</v>
      </c>
      <c r="T158" s="25"/>
      <c r="U158" s="25"/>
      <c r="V158" s="94"/>
      <c r="W158" s="25"/>
      <c r="X158" s="94"/>
      <c r="Y158" s="166" t="n">
        <f aca="false">Z147-Y154-Y157</f>
        <v>59384.43749</v>
      </c>
      <c r="Z158" s="166"/>
      <c r="AB158" s="165" t="s">
        <v>151</v>
      </c>
      <c r="AC158" s="25"/>
      <c r="AD158" s="25"/>
      <c r="AE158" s="94"/>
      <c r="AF158" s="25"/>
      <c r="AG158" s="94"/>
      <c r="AH158" s="166" t="n">
        <f aca="false">AI147-AH154-AH157</f>
        <v>45468.749</v>
      </c>
      <c r="AI158" s="166"/>
    </row>
    <row r="159" customFormat="false" ht="17.35" hidden="false" customHeight="false" outlineLevel="0" collapsed="false">
      <c r="A159" s="74" t="s">
        <v>152</v>
      </c>
      <c r="B159" s="75"/>
      <c r="C159" s="75"/>
      <c r="D159" s="116"/>
      <c r="E159" s="75"/>
      <c r="F159" s="116"/>
      <c r="G159" s="167" t="str">
        <f aca="false">B114</f>
        <v>199.99</v>
      </c>
      <c r="H159" s="167"/>
      <c r="J159" s="74" t="s">
        <v>152</v>
      </c>
      <c r="K159" s="75"/>
      <c r="L159" s="75"/>
      <c r="M159" s="116"/>
      <c r="N159" s="75"/>
      <c r="O159" s="116"/>
      <c r="P159" s="167" t="n">
        <f aca="false">K114</f>
        <v>239.99</v>
      </c>
      <c r="Q159" s="167"/>
      <c r="S159" s="74" t="s">
        <v>152</v>
      </c>
      <c r="T159" s="75"/>
      <c r="U159" s="75"/>
      <c r="V159" s="116"/>
      <c r="W159" s="75"/>
      <c r="X159" s="116"/>
      <c r="Y159" s="167" t="n">
        <f aca="false">T114</f>
        <v>199.99</v>
      </c>
      <c r="Z159" s="167"/>
      <c r="AB159" s="74" t="s">
        <v>152</v>
      </c>
      <c r="AC159" s="75"/>
      <c r="AD159" s="75"/>
      <c r="AE159" s="116"/>
      <c r="AF159" s="75"/>
      <c r="AG159" s="116"/>
      <c r="AH159" s="167" t="n">
        <f aca="false">AC114</f>
        <v>239.99</v>
      </c>
      <c r="AI159" s="167"/>
    </row>
    <row r="160" customFormat="false" ht="17.35" hidden="false" customHeight="false" outlineLevel="0" collapsed="false">
      <c r="A160" s="55"/>
      <c r="B160" s="25"/>
      <c r="C160" s="25"/>
      <c r="D160" s="25"/>
      <c r="E160" s="45"/>
      <c r="F160" s="45"/>
      <c r="G160" s="45"/>
      <c r="H160" s="20"/>
      <c r="J160" s="55"/>
      <c r="K160" s="25"/>
      <c r="L160" s="25"/>
      <c r="M160" s="25"/>
      <c r="N160" s="45"/>
      <c r="O160" s="45"/>
      <c r="P160" s="45"/>
      <c r="Q160" s="20"/>
      <c r="S160" s="55"/>
      <c r="T160" s="25"/>
      <c r="U160" s="25"/>
      <c r="V160" s="25"/>
      <c r="W160" s="45"/>
      <c r="X160" s="45"/>
      <c r="Y160" s="45"/>
      <c r="Z160" s="20"/>
      <c r="AB160" s="55"/>
      <c r="AC160" s="25"/>
      <c r="AD160" s="25"/>
      <c r="AE160" s="25"/>
      <c r="AF160" s="45"/>
      <c r="AG160" s="45"/>
      <c r="AH160" s="45"/>
      <c r="AI160" s="20"/>
    </row>
    <row r="161" customFormat="false" ht="17.35" hidden="false" customHeight="false" outlineLevel="0" collapsed="false">
      <c r="A161" s="55"/>
      <c r="B161" s="25"/>
      <c r="C161" s="25"/>
      <c r="D161" s="25"/>
      <c r="E161" s="45"/>
      <c r="F161" s="45"/>
      <c r="G161" s="45"/>
      <c r="H161" s="20"/>
      <c r="J161" s="55"/>
      <c r="K161" s="25"/>
      <c r="L161" s="25"/>
      <c r="M161" s="25"/>
      <c r="N161" s="45"/>
      <c r="O161" s="45"/>
      <c r="P161" s="45"/>
      <c r="Q161" s="20"/>
      <c r="S161" s="55"/>
      <c r="T161" s="25"/>
      <c r="U161" s="25"/>
      <c r="V161" s="25"/>
      <c r="W161" s="45"/>
      <c r="X161" s="45"/>
      <c r="Y161" s="45"/>
      <c r="Z161" s="20"/>
      <c r="AB161" s="55"/>
      <c r="AC161" s="25"/>
      <c r="AD161" s="25"/>
      <c r="AE161" s="25"/>
      <c r="AF161" s="45"/>
      <c r="AG161" s="45"/>
      <c r="AH161" s="45"/>
      <c r="AI161" s="20"/>
    </row>
    <row r="162" customFormat="false" ht="22.05" hidden="false" customHeight="false" outlineLevel="0" collapsed="false">
      <c r="A162" s="58" t="s">
        <v>153</v>
      </c>
      <c r="B162" s="58"/>
      <c r="C162" s="58"/>
      <c r="D162" s="58"/>
      <c r="E162" s="58"/>
      <c r="F162" s="58"/>
      <c r="G162" s="58"/>
      <c r="H162" s="58"/>
      <c r="J162" s="58" t="s">
        <v>153</v>
      </c>
      <c r="K162" s="58"/>
      <c r="L162" s="58"/>
      <c r="M162" s="58"/>
      <c r="N162" s="58"/>
      <c r="O162" s="58"/>
      <c r="P162" s="58"/>
      <c r="Q162" s="58"/>
      <c r="S162" s="58" t="s">
        <v>153</v>
      </c>
      <c r="T162" s="58"/>
      <c r="U162" s="58"/>
      <c r="V162" s="58"/>
      <c r="W162" s="58"/>
      <c r="X162" s="58"/>
      <c r="Y162" s="58"/>
      <c r="Z162" s="58"/>
      <c r="AB162" s="58" t="s">
        <v>153</v>
      </c>
      <c r="AC162" s="58"/>
      <c r="AD162" s="58"/>
      <c r="AE162" s="58"/>
      <c r="AF162" s="58"/>
      <c r="AG162" s="58"/>
      <c r="AH162" s="58"/>
      <c r="AI162" s="58"/>
    </row>
    <row r="163" customFormat="false" ht="17.35" hidden="false" customHeight="false" outlineLevel="0" collapsed="false">
      <c r="A163" s="55"/>
      <c r="B163" s="25"/>
      <c r="C163" s="25"/>
      <c r="D163" s="25"/>
      <c r="E163" s="45"/>
      <c r="F163" s="45"/>
      <c r="G163" s="45"/>
      <c r="H163" s="20"/>
      <c r="J163" s="55"/>
      <c r="K163" s="25"/>
      <c r="L163" s="25"/>
      <c r="M163" s="25"/>
      <c r="N163" s="45"/>
      <c r="O163" s="45"/>
      <c r="P163" s="45"/>
      <c r="Q163" s="20"/>
      <c r="S163" s="55"/>
      <c r="T163" s="25"/>
      <c r="U163" s="25"/>
      <c r="V163" s="25"/>
      <c r="W163" s="45"/>
      <c r="X163" s="45"/>
      <c r="Y163" s="45"/>
      <c r="Z163" s="20"/>
      <c r="AB163" s="55"/>
      <c r="AC163" s="25"/>
      <c r="AD163" s="25"/>
      <c r="AE163" s="25"/>
      <c r="AF163" s="45"/>
      <c r="AG163" s="45"/>
      <c r="AH163" s="45"/>
      <c r="AI163" s="20"/>
    </row>
    <row r="164" customFormat="false" ht="17.35" hidden="false" customHeight="false" outlineLevel="0" collapsed="false">
      <c r="A164" s="55" t="s">
        <v>29</v>
      </c>
      <c r="B164" s="168" t="n">
        <v>0</v>
      </c>
      <c r="C164" s="168"/>
      <c r="D164" s="25"/>
      <c r="E164" s="45"/>
      <c r="F164" s="45"/>
      <c r="G164" s="45"/>
      <c r="H164" s="20"/>
      <c r="J164" s="55" t="s">
        <v>29</v>
      </c>
      <c r="K164" s="168" t="n">
        <v>0</v>
      </c>
      <c r="L164" s="168"/>
      <c r="M164" s="25"/>
      <c r="N164" s="45"/>
      <c r="O164" s="45"/>
      <c r="P164" s="45"/>
      <c r="Q164" s="20"/>
      <c r="S164" s="55" t="s">
        <v>29</v>
      </c>
      <c r="T164" s="168" t="n">
        <v>0</v>
      </c>
      <c r="U164" s="168"/>
      <c r="V164" s="25"/>
      <c r="W164" s="45"/>
      <c r="X164" s="45"/>
      <c r="Y164" s="45"/>
      <c r="Z164" s="20"/>
      <c r="AB164" s="55" t="s">
        <v>29</v>
      </c>
      <c r="AC164" s="168" t="n">
        <v>0</v>
      </c>
      <c r="AD164" s="168"/>
      <c r="AE164" s="25"/>
      <c r="AF164" s="45"/>
      <c r="AG164" s="45"/>
      <c r="AH164" s="45"/>
      <c r="AI164" s="20"/>
    </row>
    <row r="165" customFormat="false" ht="17.35" hidden="false" customHeight="false" outlineLevel="0" collapsed="false">
      <c r="A165" s="55"/>
      <c r="B165" s="25"/>
      <c r="C165" s="25"/>
      <c r="D165" s="25"/>
      <c r="E165" s="45"/>
      <c r="F165" s="45"/>
      <c r="G165" s="45"/>
      <c r="H165" s="20"/>
      <c r="J165" s="55"/>
      <c r="K165" s="25"/>
      <c r="L165" s="25"/>
      <c r="M165" s="25"/>
      <c r="N165" s="45"/>
      <c r="O165" s="45"/>
      <c r="P165" s="45"/>
      <c r="Q165" s="20"/>
      <c r="S165" s="55"/>
      <c r="T165" s="25"/>
      <c r="U165" s="25"/>
      <c r="V165" s="25"/>
      <c r="W165" s="45"/>
      <c r="X165" s="45"/>
      <c r="Y165" s="45"/>
      <c r="Z165" s="20"/>
      <c r="AB165" s="55"/>
      <c r="AC165" s="25"/>
      <c r="AD165" s="25"/>
      <c r="AE165" s="25"/>
      <c r="AF165" s="45"/>
      <c r="AG165" s="45"/>
      <c r="AH165" s="45"/>
      <c r="AI165" s="20"/>
    </row>
    <row r="166" customFormat="false" ht="17.35" hidden="false" customHeight="false" outlineLevel="0" collapsed="false">
      <c r="A166" s="169" t="s">
        <v>154</v>
      </c>
      <c r="B166" s="170" t="s">
        <v>155</v>
      </c>
      <c r="C166" s="170"/>
      <c r="D166" s="170"/>
      <c r="E166" s="170" t="s">
        <v>156</v>
      </c>
      <c r="F166" s="45"/>
      <c r="G166" s="45"/>
      <c r="H166" s="20"/>
      <c r="J166" s="169" t="s">
        <v>154</v>
      </c>
      <c r="K166" s="170" t="s">
        <v>155</v>
      </c>
      <c r="L166" s="170"/>
      <c r="M166" s="170"/>
      <c r="N166" s="170" t="s">
        <v>156</v>
      </c>
      <c r="O166" s="45"/>
      <c r="P166" s="45"/>
      <c r="Q166" s="20"/>
      <c r="S166" s="169" t="s">
        <v>154</v>
      </c>
      <c r="T166" s="170" t="s">
        <v>155</v>
      </c>
      <c r="U166" s="170"/>
      <c r="V166" s="170"/>
      <c r="W166" s="170" t="s">
        <v>156</v>
      </c>
      <c r="X166" s="45"/>
      <c r="Y166" s="45"/>
      <c r="Z166" s="20"/>
      <c r="AB166" s="169" t="s">
        <v>154</v>
      </c>
      <c r="AC166" s="170" t="s">
        <v>155</v>
      </c>
      <c r="AD166" s="170"/>
      <c r="AE166" s="170"/>
      <c r="AF166" s="170" t="s">
        <v>156</v>
      </c>
      <c r="AG166" s="45"/>
      <c r="AH166" s="45"/>
      <c r="AI166" s="20"/>
    </row>
    <row r="167" customFormat="false" ht="17.35" hidden="false" customHeight="false" outlineLevel="0" collapsed="false">
      <c r="A167" s="173" t="n">
        <f aca="false">B95</f>
        <v>2075.99455650317</v>
      </c>
      <c r="B167" s="172" t="str">
        <f aca="false">B94</f>
        <v>0</v>
      </c>
      <c r="C167" s="170"/>
      <c r="D167" s="170"/>
      <c r="E167" s="172" t="n">
        <f aca="false">B96</f>
        <v>2075.99455650317</v>
      </c>
      <c r="F167" s="45"/>
      <c r="G167" s="45"/>
      <c r="H167" s="20"/>
      <c r="J167" s="173" t="n">
        <f aca="false">K95</f>
        <v>1506.2831870777</v>
      </c>
      <c r="K167" s="172" t="n">
        <f aca="false">K94</f>
        <v>0</v>
      </c>
      <c r="L167" s="170"/>
      <c r="M167" s="170"/>
      <c r="N167" s="172" t="n">
        <f aca="false">K96</f>
        <v>1506.2831870777</v>
      </c>
      <c r="O167" s="45"/>
      <c r="P167" s="45"/>
      <c r="Q167" s="20"/>
      <c r="S167" s="173" t="n">
        <f aca="false">T95</f>
        <v>1838.96018758182</v>
      </c>
      <c r="T167" s="172" t="n">
        <f aca="false">T94</f>
        <v>0</v>
      </c>
      <c r="U167" s="170"/>
      <c r="V167" s="170"/>
      <c r="W167" s="172" t="n">
        <f aca="false">T96</f>
        <v>1838.96018758182</v>
      </c>
      <c r="X167" s="45"/>
      <c r="Y167" s="45"/>
      <c r="Z167" s="20"/>
      <c r="AB167" s="173" t="n">
        <f aca="false">AC95</f>
        <v>1346.8260853101</v>
      </c>
      <c r="AC167" s="172" t="n">
        <f aca="false">AC94</f>
        <v>0</v>
      </c>
      <c r="AD167" s="170"/>
      <c r="AE167" s="170"/>
      <c r="AF167" s="172" t="n">
        <f aca="false">AC96</f>
        <v>1346.8260853101</v>
      </c>
      <c r="AG167" s="45"/>
      <c r="AH167" s="45"/>
      <c r="AI167" s="20"/>
    </row>
    <row r="168" customFormat="false" ht="17.35" hidden="false" customHeight="false" outlineLevel="0" collapsed="false">
      <c r="A168" s="55"/>
      <c r="B168" s="25"/>
      <c r="C168" s="25"/>
      <c r="D168" s="25"/>
      <c r="E168" s="45"/>
      <c r="F168" s="45"/>
      <c r="G168" s="45"/>
      <c r="H168" s="20"/>
      <c r="J168" s="55"/>
      <c r="K168" s="25"/>
      <c r="L168" s="25"/>
      <c r="M168" s="25"/>
      <c r="N168" s="45"/>
      <c r="O168" s="45"/>
      <c r="P168" s="45"/>
      <c r="Q168" s="20"/>
      <c r="S168" s="55"/>
      <c r="T168" s="25"/>
      <c r="U168" s="25"/>
      <c r="V168" s="25"/>
      <c r="W168" s="45"/>
      <c r="X168" s="45"/>
      <c r="Y168" s="45"/>
      <c r="Z168" s="20"/>
      <c r="AB168" s="55"/>
      <c r="AC168" s="25"/>
      <c r="AD168" s="25"/>
      <c r="AE168" s="25"/>
      <c r="AF168" s="45"/>
      <c r="AG168" s="45"/>
      <c r="AH168" s="45"/>
      <c r="AI168" s="20"/>
    </row>
    <row r="169" customFormat="false" ht="17.35" hidden="false" customHeight="false" outlineLevel="0" collapsed="false">
      <c r="A169" s="55" t="s">
        <v>28</v>
      </c>
      <c r="B169" s="25" t="s">
        <v>33</v>
      </c>
      <c r="C169" s="25"/>
      <c r="D169" s="45"/>
      <c r="E169" s="25" t="s">
        <v>157</v>
      </c>
      <c r="F169" s="45"/>
      <c r="G169" s="45"/>
      <c r="H169" s="20"/>
      <c r="J169" s="55" t="s">
        <v>28</v>
      </c>
      <c r="K169" s="25" t="s">
        <v>33</v>
      </c>
      <c r="L169" s="25"/>
      <c r="M169" s="45"/>
      <c r="N169" s="25" t="s">
        <v>157</v>
      </c>
      <c r="O169" s="45"/>
      <c r="P169" s="45"/>
      <c r="Q169" s="20"/>
      <c r="S169" s="55" t="s">
        <v>28</v>
      </c>
      <c r="T169" s="25" t="s">
        <v>33</v>
      </c>
      <c r="U169" s="25"/>
      <c r="V169" s="45"/>
      <c r="W169" s="25" t="s">
        <v>157</v>
      </c>
      <c r="X169" s="45"/>
      <c r="Y169" s="45"/>
      <c r="Z169" s="20"/>
      <c r="AB169" s="55" t="s">
        <v>28</v>
      </c>
      <c r="AC169" s="25" t="s">
        <v>33</v>
      </c>
      <c r="AD169" s="25"/>
      <c r="AE169" s="45"/>
      <c r="AF169" s="25" t="s">
        <v>157</v>
      </c>
      <c r="AG169" s="45"/>
      <c r="AH169" s="45"/>
      <c r="AI169" s="20"/>
    </row>
    <row r="170" customFormat="false" ht="17.35" hidden="false" customHeight="false" outlineLevel="0" collapsed="false">
      <c r="A170" s="63" t="n">
        <f aca="false">K29</f>
        <v>35</v>
      </c>
      <c r="B170" s="176" t="n">
        <f aca="false">K30</f>
        <v>35000</v>
      </c>
      <c r="C170" s="175"/>
      <c r="D170" s="45"/>
      <c r="E170" s="73" t="n">
        <f aca="false">IF(A111="YES",A40, 0)</f>
        <v>10800</v>
      </c>
      <c r="F170" s="45"/>
      <c r="G170" s="45"/>
      <c r="H170" s="20"/>
      <c r="J170" s="63" t="n">
        <f aca="false">K29</f>
        <v>35</v>
      </c>
      <c r="K170" s="176" t="n">
        <f aca="false">K30</f>
        <v>35000</v>
      </c>
      <c r="L170" s="175"/>
      <c r="M170" s="45"/>
      <c r="N170" s="73" t="n">
        <f aca="false">IF(A111="YES", A40, 0)</f>
        <v>10800</v>
      </c>
      <c r="O170" s="45"/>
      <c r="P170" s="45"/>
      <c r="Q170" s="20"/>
      <c r="S170" s="63" t="n">
        <f aca="false">K29</f>
        <v>35</v>
      </c>
      <c r="T170" s="176" t="n">
        <f aca="false">K30</f>
        <v>35000</v>
      </c>
      <c r="U170" s="175"/>
      <c r="V170" s="45"/>
      <c r="W170" s="73" t="n">
        <f aca="false">IF(A111="YES", A40, 0)</f>
        <v>10800</v>
      </c>
      <c r="X170" s="45"/>
      <c r="Y170" s="45"/>
      <c r="Z170" s="20"/>
      <c r="AB170" s="63" t="n">
        <f aca="false">K29</f>
        <v>35</v>
      </c>
      <c r="AC170" s="176" t="n">
        <f aca="false">K30</f>
        <v>35000</v>
      </c>
      <c r="AD170" s="175"/>
      <c r="AE170" s="45"/>
      <c r="AF170" s="73" t="n">
        <f aca="false">IF(A111="YES", A40, 0)</f>
        <v>10800</v>
      </c>
      <c r="AG170" s="45"/>
      <c r="AH170" s="45"/>
      <c r="AI170" s="20"/>
    </row>
    <row r="171" customFormat="false" ht="17.35" hidden="false" customHeight="false" outlineLevel="0" collapsed="false">
      <c r="A171" s="55"/>
      <c r="B171" s="25"/>
      <c r="C171" s="25"/>
      <c r="D171" s="45"/>
      <c r="E171" s="25"/>
      <c r="F171" s="45"/>
      <c r="G171" s="45"/>
      <c r="H171" s="20"/>
      <c r="J171" s="55"/>
      <c r="K171" s="25"/>
      <c r="L171" s="25"/>
      <c r="M171" s="45"/>
      <c r="N171" s="25"/>
      <c r="O171" s="45"/>
      <c r="P171" s="45"/>
      <c r="Q171" s="20"/>
      <c r="S171" s="55"/>
      <c r="T171" s="25"/>
      <c r="U171" s="25"/>
      <c r="V171" s="45"/>
      <c r="W171" s="25"/>
      <c r="X171" s="45"/>
      <c r="Y171" s="45"/>
      <c r="Z171" s="20"/>
      <c r="AB171" s="55"/>
      <c r="AC171" s="25"/>
      <c r="AD171" s="25"/>
      <c r="AE171" s="45"/>
      <c r="AF171" s="25"/>
      <c r="AG171" s="45"/>
      <c r="AH171" s="45"/>
      <c r="AI171" s="20"/>
    </row>
    <row r="172" customFormat="false" ht="17.35" hidden="false" customHeight="false" outlineLevel="0" collapsed="false">
      <c r="A172" s="55" t="s">
        <v>158</v>
      </c>
      <c r="B172" s="25" t="s">
        <v>159</v>
      </c>
      <c r="C172" s="25"/>
      <c r="D172" s="45"/>
      <c r="E172" s="25" t="s">
        <v>160</v>
      </c>
      <c r="F172" s="45"/>
      <c r="G172" s="45"/>
      <c r="H172" s="20"/>
      <c r="J172" s="55" t="s">
        <v>158</v>
      </c>
      <c r="K172" s="25" t="s">
        <v>159</v>
      </c>
      <c r="L172" s="25"/>
      <c r="M172" s="45"/>
      <c r="N172" s="25" t="s">
        <v>160</v>
      </c>
      <c r="O172" s="45"/>
      <c r="P172" s="45"/>
      <c r="Q172" s="20"/>
      <c r="S172" s="55" t="s">
        <v>158</v>
      </c>
      <c r="T172" s="25" t="s">
        <v>159</v>
      </c>
      <c r="U172" s="25"/>
      <c r="V172" s="45"/>
      <c r="W172" s="25" t="s">
        <v>160</v>
      </c>
      <c r="X172" s="45"/>
      <c r="Y172" s="45"/>
      <c r="Z172" s="20"/>
      <c r="AB172" s="55" t="s">
        <v>158</v>
      </c>
      <c r="AC172" s="25" t="s">
        <v>159</v>
      </c>
      <c r="AD172" s="25"/>
      <c r="AE172" s="45"/>
      <c r="AF172" s="25" t="s">
        <v>160</v>
      </c>
      <c r="AG172" s="45"/>
      <c r="AH172" s="45"/>
      <c r="AI172" s="20"/>
    </row>
    <row r="173" customFormat="false" ht="17.35" hidden="false" customHeight="false" outlineLevel="0" collapsed="false">
      <c r="A173" s="69" t="n">
        <f aca="false">H141-H137-H139-H140</f>
        <v>57991.67</v>
      </c>
      <c r="B173" s="37" t="n">
        <f aca="false">H137</f>
        <v>11598.334</v>
      </c>
      <c r="C173" s="67"/>
      <c r="D173" s="45"/>
      <c r="E173" s="73" t="n">
        <f aca="false">H139+H140</f>
        <v>640</v>
      </c>
      <c r="F173" s="45"/>
      <c r="G173" s="45"/>
      <c r="H173" s="20"/>
      <c r="J173" s="69" t="n">
        <f aca="false">Q141-Q137-Q139-Q140</f>
        <v>30012.5</v>
      </c>
      <c r="K173" s="37" t="n">
        <f aca="false">Q137</f>
        <v>6002.5</v>
      </c>
      <c r="L173" s="67"/>
      <c r="M173" s="45"/>
      <c r="N173" s="73" t="n">
        <f aca="false">Q139+Q140</f>
        <v>640</v>
      </c>
      <c r="O173" s="45"/>
      <c r="P173" s="45"/>
      <c r="Q173" s="20"/>
      <c r="S173" s="69" t="n">
        <f aca="false">Z141-Z137-Z139-Z140</f>
        <v>48120.364575</v>
      </c>
      <c r="T173" s="37" t="n">
        <f aca="false">Z137</f>
        <v>9624.072915</v>
      </c>
      <c r="U173" s="67"/>
      <c r="V173" s="45"/>
      <c r="W173" s="73" t="n">
        <f aca="false">Z139+Z140</f>
        <v>640</v>
      </c>
      <c r="X173" s="45"/>
      <c r="Y173" s="45"/>
      <c r="Z173" s="20"/>
      <c r="AB173" s="69" t="n">
        <f aca="false">AI141-AI137-AI139-AI140</f>
        <v>36523.9575</v>
      </c>
      <c r="AC173" s="37" t="n">
        <f aca="false">AI137</f>
        <v>7304.7915</v>
      </c>
      <c r="AD173" s="67"/>
      <c r="AE173" s="45"/>
      <c r="AF173" s="73" t="n">
        <f aca="false">AI139+AI140</f>
        <v>640</v>
      </c>
      <c r="AG173" s="45"/>
      <c r="AH173" s="45"/>
      <c r="AI173" s="20"/>
    </row>
    <row r="174" customFormat="false" ht="17.35" hidden="false" customHeight="false" outlineLevel="0" collapsed="false">
      <c r="A174" s="55"/>
      <c r="B174" s="25"/>
      <c r="C174" s="25"/>
      <c r="D174" s="45"/>
      <c r="E174" s="25"/>
      <c r="F174" s="45"/>
      <c r="G174" s="45"/>
      <c r="H174" s="20"/>
      <c r="J174" s="55"/>
      <c r="K174" s="25"/>
      <c r="L174" s="25"/>
      <c r="M174" s="45"/>
      <c r="N174" s="25"/>
      <c r="O174" s="45"/>
      <c r="P174" s="45"/>
      <c r="Q174" s="20"/>
      <c r="S174" s="55"/>
      <c r="T174" s="25"/>
      <c r="U174" s="25"/>
      <c r="V174" s="45"/>
      <c r="W174" s="25"/>
      <c r="X174" s="45"/>
      <c r="Y174" s="45"/>
      <c r="Z174" s="20"/>
      <c r="AB174" s="55"/>
      <c r="AC174" s="25"/>
      <c r="AD174" s="25"/>
      <c r="AE174" s="45"/>
      <c r="AF174" s="25"/>
      <c r="AG174" s="45"/>
      <c r="AH174" s="45"/>
      <c r="AI174" s="20"/>
    </row>
    <row r="175" customFormat="false" ht="17.35" hidden="false" customHeight="false" outlineLevel="0" collapsed="false">
      <c r="A175" s="55" t="s">
        <v>161</v>
      </c>
      <c r="B175" s="25" t="s">
        <v>108</v>
      </c>
      <c r="C175" s="25"/>
      <c r="D175" s="45"/>
      <c r="E175" s="25" t="s">
        <v>109</v>
      </c>
      <c r="F175" s="45"/>
      <c r="G175" s="45"/>
      <c r="H175" s="20"/>
      <c r="J175" s="55" t="s">
        <v>161</v>
      </c>
      <c r="K175" s="25" t="s">
        <v>108</v>
      </c>
      <c r="L175" s="25"/>
      <c r="M175" s="45"/>
      <c r="N175" s="25" t="s">
        <v>109</v>
      </c>
      <c r="O175" s="45"/>
      <c r="P175" s="45"/>
      <c r="Q175" s="20"/>
      <c r="S175" s="55" t="s">
        <v>161</v>
      </c>
      <c r="T175" s="25" t="s">
        <v>108</v>
      </c>
      <c r="U175" s="25"/>
      <c r="V175" s="45"/>
      <c r="W175" s="25" t="s">
        <v>109</v>
      </c>
      <c r="X175" s="45"/>
      <c r="Y175" s="45"/>
      <c r="Z175" s="20"/>
      <c r="AB175" s="55" t="s">
        <v>161</v>
      </c>
      <c r="AC175" s="25" t="s">
        <v>108</v>
      </c>
      <c r="AD175" s="25"/>
      <c r="AE175" s="45"/>
      <c r="AF175" s="25" t="s">
        <v>109</v>
      </c>
      <c r="AG175" s="45"/>
      <c r="AH175" s="45"/>
      <c r="AI175" s="20"/>
    </row>
    <row r="176" customFormat="false" ht="17.35" hidden="false" customHeight="false" outlineLevel="0" collapsed="false">
      <c r="A176" s="69" t="n">
        <f aca="false">H141</f>
        <v>70230.004</v>
      </c>
      <c r="B176" s="37" t="n">
        <f aca="false">B111</f>
        <v>1000</v>
      </c>
      <c r="C176" s="37"/>
      <c r="D176" s="45"/>
      <c r="E176" s="37" t="n">
        <f aca="false">E111</f>
        <v>1000</v>
      </c>
      <c r="F176" s="45"/>
      <c r="G176" s="45"/>
      <c r="H176" s="177"/>
      <c r="J176" s="69" t="n">
        <f aca="false">Q141</f>
        <v>36655</v>
      </c>
      <c r="K176" s="37" t="n">
        <f aca="false">K111</f>
        <v>1000</v>
      </c>
      <c r="L176" s="37"/>
      <c r="M176" s="45"/>
      <c r="N176" s="37" t="n">
        <f aca="false">N111</f>
        <v>0</v>
      </c>
      <c r="O176" s="45"/>
      <c r="P176" s="45"/>
      <c r="Q176" s="177"/>
      <c r="S176" s="69" t="n">
        <f aca="false">Z141</f>
        <v>58384.43749</v>
      </c>
      <c r="T176" s="37" t="n">
        <f aca="false">T111</f>
        <v>1000</v>
      </c>
      <c r="U176" s="37"/>
      <c r="V176" s="45"/>
      <c r="W176" s="37" t="n">
        <f aca="false">W111</f>
        <v>0</v>
      </c>
      <c r="X176" s="45"/>
      <c r="Y176" s="45"/>
      <c r="Z176" s="177"/>
      <c r="AB176" s="69" t="n">
        <f aca="false">AI141</f>
        <v>44468.749</v>
      </c>
      <c r="AC176" s="37" t="n">
        <f aca="false">AC111</f>
        <v>1000</v>
      </c>
      <c r="AD176" s="37"/>
      <c r="AE176" s="45"/>
      <c r="AF176" s="37" t="n">
        <f aca="false">AF111</f>
        <v>0</v>
      </c>
      <c r="AG176" s="45"/>
      <c r="AH176" s="45"/>
      <c r="AI176" s="177"/>
    </row>
    <row r="177" customFormat="false" ht="17.35" hidden="false" customHeight="false" outlineLevel="0" collapsed="false">
      <c r="A177" s="55"/>
      <c r="B177" s="25"/>
      <c r="C177" s="25"/>
      <c r="D177" s="45"/>
      <c r="E177" s="25"/>
      <c r="F177" s="45"/>
      <c r="G177" s="45"/>
      <c r="H177" s="20"/>
      <c r="J177" s="55"/>
      <c r="K177" s="25"/>
      <c r="L177" s="25"/>
      <c r="M177" s="45"/>
      <c r="N177" s="25"/>
      <c r="O177" s="45"/>
      <c r="P177" s="45"/>
      <c r="Q177" s="20"/>
      <c r="S177" s="55"/>
      <c r="T177" s="25"/>
      <c r="U177" s="25"/>
      <c r="V177" s="45"/>
      <c r="W177" s="25"/>
      <c r="X177" s="45"/>
      <c r="Y177" s="45"/>
      <c r="Z177" s="20"/>
      <c r="AB177" s="55"/>
      <c r="AC177" s="25"/>
      <c r="AD177" s="25"/>
      <c r="AE177" s="45"/>
      <c r="AF177" s="25"/>
      <c r="AG177" s="45"/>
      <c r="AH177" s="45"/>
      <c r="AI177" s="20"/>
    </row>
    <row r="178" customFormat="false" ht="17.35" hidden="false" customHeight="false" outlineLevel="0" collapsed="false">
      <c r="A178" s="55" t="s">
        <v>110</v>
      </c>
      <c r="B178" s="25" t="s">
        <v>146</v>
      </c>
      <c r="C178" s="25"/>
      <c r="D178" s="45"/>
      <c r="E178" s="25" t="s">
        <v>151</v>
      </c>
      <c r="F178" s="45"/>
      <c r="G178" s="45"/>
      <c r="H178" s="20"/>
      <c r="J178" s="55" t="s">
        <v>110</v>
      </c>
      <c r="K178" s="25" t="s">
        <v>146</v>
      </c>
      <c r="L178" s="25"/>
      <c r="M178" s="45"/>
      <c r="N178" s="25" t="s">
        <v>151</v>
      </c>
      <c r="O178" s="45"/>
      <c r="P178" s="45"/>
      <c r="Q178" s="20"/>
      <c r="S178" s="55" t="s">
        <v>110</v>
      </c>
      <c r="T178" s="25" t="s">
        <v>146</v>
      </c>
      <c r="U178" s="25"/>
      <c r="V178" s="45"/>
      <c r="W178" s="25" t="s">
        <v>151</v>
      </c>
      <c r="X178" s="45"/>
      <c r="Y178" s="45"/>
      <c r="Z178" s="20"/>
      <c r="AB178" s="55" t="s">
        <v>110</v>
      </c>
      <c r="AC178" s="25" t="s">
        <v>146</v>
      </c>
      <c r="AD178" s="25"/>
      <c r="AE178" s="45"/>
      <c r="AF178" s="25" t="s">
        <v>151</v>
      </c>
      <c r="AG178" s="45"/>
      <c r="AH178" s="45"/>
      <c r="AI178" s="20"/>
    </row>
    <row r="179" customFormat="false" ht="17.35" hidden="false" customHeight="false" outlineLevel="0" collapsed="false">
      <c r="A179" s="70" t="n">
        <f aca="false">B176+E176</f>
        <v>2000</v>
      </c>
      <c r="B179" s="37" t="n">
        <f aca="false">G154</f>
        <v>500</v>
      </c>
      <c r="C179" s="37"/>
      <c r="D179" s="45"/>
      <c r="E179" s="37" t="n">
        <f aca="false">A176-A179-B179</f>
        <v>67730.004</v>
      </c>
      <c r="F179" s="45"/>
      <c r="G179" s="45"/>
      <c r="H179" s="177"/>
      <c r="J179" s="70" t="n">
        <f aca="false">K176+N176</f>
        <v>1000</v>
      </c>
      <c r="K179" s="37" t="n">
        <f aca="false">P154</f>
        <v>-2000</v>
      </c>
      <c r="L179" s="37"/>
      <c r="M179" s="45"/>
      <c r="N179" s="37" t="n">
        <f aca="false">J176-J179-K179</f>
        <v>37655</v>
      </c>
      <c r="O179" s="45"/>
      <c r="P179" s="45"/>
      <c r="Q179" s="177"/>
      <c r="S179" s="70" t="n">
        <f aca="false">T176+W176</f>
        <v>1000</v>
      </c>
      <c r="T179" s="37" t="n">
        <f aca="false">Y154</f>
        <v>-2000</v>
      </c>
      <c r="U179" s="37"/>
      <c r="V179" s="45"/>
      <c r="W179" s="37" t="n">
        <f aca="false">S176-S179-T179</f>
        <v>59384.43749</v>
      </c>
      <c r="X179" s="45"/>
      <c r="Y179" s="45"/>
      <c r="Z179" s="177"/>
      <c r="AB179" s="70" t="n">
        <f aca="false">AC176+AF176</f>
        <v>1000</v>
      </c>
      <c r="AC179" s="37" t="n">
        <f aca="false">AH154</f>
        <v>-2000</v>
      </c>
      <c r="AD179" s="37"/>
      <c r="AE179" s="45"/>
      <c r="AF179" s="37" t="n">
        <f aca="false">AB176-AB179-AC179</f>
        <v>45468.749</v>
      </c>
      <c r="AG179" s="45"/>
      <c r="AH179" s="45"/>
      <c r="AI179" s="177"/>
    </row>
    <row r="180" customFormat="false" ht="17.35" hidden="false" customHeight="false" outlineLevel="0" collapsed="false">
      <c r="A180" s="55"/>
      <c r="B180" s="25"/>
      <c r="C180" s="25"/>
      <c r="D180" s="45"/>
      <c r="E180" s="25"/>
      <c r="F180" s="45"/>
      <c r="G180" s="45"/>
      <c r="H180" s="20"/>
      <c r="J180" s="55"/>
      <c r="K180" s="25"/>
      <c r="L180" s="25"/>
      <c r="M180" s="45"/>
      <c r="N180" s="25"/>
      <c r="O180" s="45"/>
      <c r="P180" s="45"/>
      <c r="Q180" s="20"/>
      <c r="S180" s="55"/>
      <c r="T180" s="25"/>
      <c r="U180" s="25"/>
      <c r="V180" s="45"/>
      <c r="W180" s="25"/>
      <c r="X180" s="45"/>
      <c r="Y180" s="45"/>
      <c r="Z180" s="20"/>
      <c r="AB180" s="55"/>
      <c r="AC180" s="25"/>
      <c r="AD180" s="25"/>
      <c r="AE180" s="45"/>
      <c r="AF180" s="25"/>
      <c r="AG180" s="45"/>
      <c r="AH180" s="45"/>
      <c r="AI180" s="20"/>
    </row>
    <row r="181" customFormat="false" ht="17.35" hidden="false" customHeight="false" outlineLevel="0" collapsed="false">
      <c r="A181" s="55" t="s">
        <v>162</v>
      </c>
      <c r="B181" s="25" t="s">
        <v>152</v>
      </c>
      <c r="C181" s="25"/>
      <c r="D181" s="45"/>
      <c r="E181" s="25" t="s">
        <v>163</v>
      </c>
      <c r="F181" s="45"/>
      <c r="G181" s="45"/>
      <c r="H181" s="20"/>
      <c r="J181" s="55" t="s">
        <v>162</v>
      </c>
      <c r="K181" s="25" t="s">
        <v>152</v>
      </c>
      <c r="L181" s="25"/>
      <c r="M181" s="45"/>
      <c r="N181" s="25" t="s">
        <v>163</v>
      </c>
      <c r="O181" s="45"/>
      <c r="P181" s="45"/>
      <c r="Q181" s="20"/>
      <c r="S181" s="55" t="s">
        <v>162</v>
      </c>
      <c r="T181" s="25" t="s">
        <v>152</v>
      </c>
      <c r="U181" s="25"/>
      <c r="V181" s="45"/>
      <c r="W181" s="25" t="s">
        <v>163</v>
      </c>
      <c r="X181" s="45"/>
      <c r="Y181" s="45"/>
      <c r="Z181" s="20"/>
      <c r="AB181" s="55" t="s">
        <v>162</v>
      </c>
      <c r="AC181" s="25" t="s">
        <v>152</v>
      </c>
      <c r="AD181" s="25"/>
      <c r="AE181" s="45"/>
      <c r="AF181" s="25" t="s">
        <v>163</v>
      </c>
      <c r="AG181" s="45"/>
      <c r="AH181" s="45"/>
      <c r="AI181" s="20"/>
    </row>
    <row r="182" customFormat="false" ht="17.35" hidden="false" customHeight="false" outlineLevel="0" collapsed="false">
      <c r="A182" s="70" t="n">
        <f aca="false">(A167*B59)+E185-E179-A185</f>
        <v>13653.8109211077</v>
      </c>
      <c r="B182" s="37" t="str">
        <f aca="false">B114</f>
        <v>199.99</v>
      </c>
      <c r="C182" s="37"/>
      <c r="D182" s="45"/>
      <c r="E182" s="37" t="n">
        <f aca="false">E179+A182+B182+A185</f>
        <v>81593.8049211077</v>
      </c>
      <c r="F182" s="45"/>
      <c r="G182" s="45"/>
      <c r="H182" s="177"/>
      <c r="J182" s="70" t="n">
        <f aca="false">(J167*K59)+N185-N179-J185</f>
        <v>24358.6283606416</v>
      </c>
      <c r="K182" s="37" t="n">
        <f aca="false">K114</f>
        <v>239.99</v>
      </c>
      <c r="L182" s="37"/>
      <c r="M182" s="45"/>
      <c r="N182" s="37" t="n">
        <f aca="false">N179+J182+K182+J185</f>
        <v>62273.6183606416</v>
      </c>
      <c r="O182" s="45"/>
      <c r="P182" s="45"/>
      <c r="Q182" s="177"/>
      <c r="S182" s="70" t="n">
        <f aca="false">(S167*T59)+W185-W179-S185</f>
        <v>13940.2088877818</v>
      </c>
      <c r="T182" s="37" t="n">
        <f aca="false">T114</f>
        <v>199.99</v>
      </c>
      <c r="U182" s="37"/>
      <c r="V182" s="45"/>
      <c r="W182" s="37" t="n">
        <f aca="false">W179+S182+T182+S185</f>
        <v>73534.6363777818</v>
      </c>
      <c r="X182" s="45"/>
      <c r="Y182" s="45"/>
      <c r="Z182" s="177"/>
      <c r="AB182" s="70" t="n">
        <f aca="false">(AB167*AC59)+AF185-AF179-AB185</f>
        <v>11123.3379005435</v>
      </c>
      <c r="AC182" s="37" t="n">
        <f aca="false">AC114</f>
        <v>239.99</v>
      </c>
      <c r="AD182" s="37"/>
      <c r="AE182" s="45"/>
      <c r="AF182" s="37" t="n">
        <f aca="false">AF179+AB182+AC182+AB185</f>
        <v>56842.0769005436</v>
      </c>
      <c r="AG182" s="45"/>
      <c r="AH182" s="45"/>
      <c r="AI182" s="177"/>
    </row>
    <row r="183" customFormat="false" ht="17.35" hidden="false" customHeight="false" outlineLevel="0" collapsed="false">
      <c r="A183" s="55"/>
      <c r="B183" s="25"/>
      <c r="C183" s="25"/>
      <c r="D183" s="45"/>
      <c r="E183" s="25"/>
      <c r="F183" s="45"/>
      <c r="G183" s="45"/>
      <c r="H183" s="20"/>
      <c r="J183" s="55"/>
      <c r="K183" s="25"/>
      <c r="L183" s="25"/>
      <c r="M183" s="45"/>
      <c r="N183" s="25"/>
      <c r="O183" s="45"/>
      <c r="P183" s="45"/>
      <c r="Q183" s="20"/>
      <c r="S183" s="55"/>
      <c r="T183" s="25"/>
      <c r="U183" s="25"/>
      <c r="V183" s="45"/>
      <c r="W183" s="25"/>
      <c r="X183" s="45"/>
      <c r="Y183" s="45"/>
      <c r="Z183" s="20"/>
      <c r="AB183" s="55"/>
      <c r="AC183" s="25"/>
      <c r="AD183" s="25"/>
      <c r="AE183" s="45"/>
      <c r="AF183" s="25"/>
      <c r="AG183" s="45"/>
      <c r="AH183" s="45"/>
      <c r="AI183" s="20"/>
    </row>
    <row r="184" customFormat="false" ht="17.35" hidden="false" customHeight="false" outlineLevel="0" collapsed="false">
      <c r="A184" s="55" t="s">
        <v>164</v>
      </c>
      <c r="B184" s="25" t="s">
        <v>165</v>
      </c>
      <c r="C184" s="25"/>
      <c r="D184" s="45"/>
      <c r="E184" s="25" t="s">
        <v>166</v>
      </c>
      <c r="F184" s="45"/>
      <c r="G184" s="45"/>
      <c r="H184" s="20"/>
      <c r="J184" s="55" t="s">
        <v>164</v>
      </c>
      <c r="K184" s="25" t="s">
        <v>165</v>
      </c>
      <c r="L184" s="25"/>
      <c r="M184" s="45"/>
      <c r="N184" s="25" t="s">
        <v>166</v>
      </c>
      <c r="O184" s="45"/>
      <c r="P184" s="45"/>
      <c r="Q184" s="20"/>
      <c r="S184" s="55" t="s">
        <v>164</v>
      </c>
      <c r="T184" s="25" t="s">
        <v>165</v>
      </c>
      <c r="U184" s="25"/>
      <c r="V184" s="45"/>
      <c r="W184" s="25" t="s">
        <v>166</v>
      </c>
      <c r="X184" s="45"/>
      <c r="Y184" s="45"/>
      <c r="Z184" s="20"/>
      <c r="AB184" s="55" t="s">
        <v>164</v>
      </c>
      <c r="AC184" s="25" t="s">
        <v>165</v>
      </c>
      <c r="AD184" s="25"/>
      <c r="AE184" s="45"/>
      <c r="AF184" s="25" t="s">
        <v>166</v>
      </c>
      <c r="AG184" s="45"/>
      <c r="AH184" s="45"/>
      <c r="AI184" s="20"/>
    </row>
    <row r="185" customFormat="false" ht="17.35" hidden="false" customHeight="false" outlineLevel="0" collapsed="false">
      <c r="A185" s="70" t="n">
        <f aca="false">B60</f>
        <v>10</v>
      </c>
      <c r="B185" s="37" t="n">
        <f aca="false">A179+B182*1.2</f>
        <v>2239.988</v>
      </c>
      <c r="C185" s="37"/>
      <c r="D185" s="45"/>
      <c r="E185" s="37" t="n">
        <f aca="false">E170+A185</f>
        <v>10810</v>
      </c>
      <c r="F185" s="45"/>
      <c r="G185" s="45"/>
      <c r="H185" s="177"/>
      <c r="J185" s="70" t="n">
        <f aca="false">K60</f>
        <v>20</v>
      </c>
      <c r="K185" s="37" t="n">
        <f aca="false">J179+K182</f>
        <v>1239.99</v>
      </c>
      <c r="L185" s="37"/>
      <c r="M185" s="45"/>
      <c r="N185" s="37" t="n">
        <f aca="false">N170+J185</f>
        <v>10820</v>
      </c>
      <c r="O185" s="45"/>
      <c r="P185" s="45"/>
      <c r="Q185" s="177"/>
      <c r="S185" s="70" t="n">
        <f aca="false">T60</f>
        <v>10</v>
      </c>
      <c r="T185" s="37" t="n">
        <f aca="false">S179+T182</f>
        <v>1199.99</v>
      </c>
      <c r="U185" s="37"/>
      <c r="V185" s="45"/>
      <c r="W185" s="37" t="n">
        <f aca="false">W170+S185</f>
        <v>10810</v>
      </c>
      <c r="X185" s="45"/>
      <c r="Y185" s="45"/>
      <c r="Z185" s="177"/>
      <c r="AB185" s="70" t="n">
        <f aca="false">AC60</f>
        <v>10</v>
      </c>
      <c r="AC185" s="37" t="n">
        <f aca="false">AB179+AC182</f>
        <v>1239.99</v>
      </c>
      <c r="AD185" s="37"/>
      <c r="AE185" s="45"/>
      <c r="AF185" s="37" t="n">
        <f aca="false">AF170+AB185</f>
        <v>10810</v>
      </c>
      <c r="AG185" s="45"/>
      <c r="AH185" s="45"/>
      <c r="AI185" s="177"/>
    </row>
    <row r="186" customFormat="false" ht="17.35" hidden="false" customHeight="false" outlineLevel="0" collapsed="false">
      <c r="A186" s="55"/>
      <c r="B186" s="25"/>
      <c r="C186" s="25"/>
      <c r="D186" s="25"/>
      <c r="E186" s="45"/>
      <c r="F186" s="45"/>
      <c r="G186" s="45"/>
      <c r="H186" s="20"/>
      <c r="J186" s="55"/>
      <c r="K186" s="25"/>
      <c r="L186" s="25"/>
      <c r="M186" s="25"/>
      <c r="N186" s="45"/>
      <c r="O186" s="45"/>
      <c r="P186" s="45"/>
      <c r="Q186" s="20"/>
      <c r="S186" s="55"/>
      <c r="T186" s="25"/>
      <c r="U186" s="25"/>
      <c r="V186" s="25"/>
      <c r="W186" s="45"/>
      <c r="X186" s="178"/>
      <c r="Y186" s="178"/>
      <c r="Z186" s="20"/>
      <c r="AB186" s="55"/>
      <c r="AC186" s="25"/>
      <c r="AD186" s="25"/>
      <c r="AE186" s="25"/>
      <c r="AF186" s="45"/>
      <c r="AG186" s="45"/>
      <c r="AH186" s="45"/>
      <c r="AI186" s="20"/>
    </row>
    <row r="187" customFormat="false" ht="17.35" hidden="false" customHeight="false" outlineLevel="0" collapsed="false">
      <c r="A187" s="55" t="s">
        <v>167</v>
      </c>
      <c r="B187" s="25" t="s">
        <v>168</v>
      </c>
      <c r="C187" s="25"/>
      <c r="D187" s="25"/>
      <c r="E187" s="38" t="s">
        <v>169</v>
      </c>
      <c r="F187" s="45"/>
      <c r="G187" s="45"/>
      <c r="H187" s="20"/>
      <c r="J187" s="55" t="s">
        <v>167</v>
      </c>
      <c r="K187" s="25" t="s">
        <v>168</v>
      </c>
      <c r="L187" s="25"/>
      <c r="M187" s="25"/>
      <c r="N187" s="38" t="s">
        <v>169</v>
      </c>
      <c r="O187" s="45"/>
      <c r="P187" s="45"/>
      <c r="Q187" s="20"/>
      <c r="S187" s="55" t="s">
        <v>167</v>
      </c>
      <c r="T187" s="25" t="s">
        <v>168</v>
      </c>
      <c r="U187" s="25"/>
      <c r="V187" s="25"/>
      <c r="W187" s="38" t="s">
        <v>169</v>
      </c>
      <c r="X187" s="178"/>
      <c r="Y187" s="178"/>
      <c r="Z187" s="20"/>
      <c r="AB187" s="55" t="s">
        <v>167</v>
      </c>
      <c r="AC187" s="25" t="s">
        <v>168</v>
      </c>
      <c r="AD187" s="25"/>
      <c r="AE187" s="25"/>
      <c r="AF187" s="38" t="s">
        <v>169</v>
      </c>
      <c r="AG187" s="178"/>
      <c r="AH187" s="178"/>
      <c r="AI187" s="20"/>
    </row>
    <row r="188" customFormat="false" ht="17.35" hidden="false" customHeight="false" outlineLevel="0" collapsed="false">
      <c r="A188" s="70" t="n">
        <f aca="false">IF(E105="YES", J18*0.000002, 0)*100</f>
        <v>0</v>
      </c>
      <c r="B188" s="37" t="n">
        <f aca="false">(G158*B67)/1.2</f>
        <v>552.65801875</v>
      </c>
      <c r="C188" s="25"/>
      <c r="D188" s="25"/>
      <c r="E188" s="37" t="n">
        <f aca="false">(E40*A108)*0.1</f>
        <v>0</v>
      </c>
      <c r="F188" s="45"/>
      <c r="G188" s="45"/>
      <c r="H188" s="20"/>
      <c r="J188" s="70" t="n">
        <f aca="false">IF(N105="YES", H15*0.000002, 0)</f>
        <v>0.11705</v>
      </c>
      <c r="K188" s="37" t="n">
        <f aca="false">(P158*K67)/1.2</f>
        <v>2320.75086805556</v>
      </c>
      <c r="L188" s="25"/>
      <c r="M188" s="25"/>
      <c r="N188" s="37" t="n">
        <f aca="false">(E40*J108)*0.1</f>
        <v>0</v>
      </c>
      <c r="O188" s="45"/>
      <c r="P188" s="45"/>
      <c r="Q188" s="20"/>
      <c r="S188" s="70" t="n">
        <f aca="false">IF(W105="YES", Z15*0.000002, 0)</f>
        <v>0</v>
      </c>
      <c r="T188" s="37" t="n">
        <f aca="false">(Y158*T67)/1.2</f>
        <v>484.560514241319</v>
      </c>
      <c r="U188" s="25"/>
      <c r="V188" s="25"/>
      <c r="W188" s="37" t="n">
        <f aca="false">(E40*S108)*0.1</f>
        <v>0</v>
      </c>
      <c r="X188" s="178"/>
      <c r="Y188" s="178"/>
      <c r="Z188" s="20"/>
      <c r="AB188" s="70" t="n">
        <f aca="false">IF(AF105="YES", AI15*0.000002, 0)</f>
        <v>0</v>
      </c>
      <c r="AC188" s="37" t="n">
        <f aca="false">(AH158*AC67)/1.2</f>
        <v>371.012361631944</v>
      </c>
      <c r="AD188" s="25"/>
      <c r="AE188" s="25"/>
      <c r="AF188" s="37" t="n">
        <f aca="false">(E40*AB108)*0.1</f>
        <v>0</v>
      </c>
      <c r="AG188" s="178"/>
      <c r="AH188" s="178"/>
      <c r="AI188" s="20"/>
    </row>
    <row r="189" customFormat="false" ht="17.35" hidden="false" customHeight="false" outlineLevel="0" collapsed="false">
      <c r="A189" s="70"/>
      <c r="B189" s="37"/>
      <c r="C189" s="25"/>
      <c r="D189" s="25"/>
      <c r="E189" s="45"/>
      <c r="F189" s="45"/>
      <c r="G189" s="45"/>
      <c r="H189" s="20"/>
      <c r="J189" s="70"/>
      <c r="K189" s="37"/>
      <c r="L189" s="25"/>
      <c r="M189" s="25"/>
      <c r="N189" s="45"/>
      <c r="O189" s="45"/>
      <c r="P189" s="45"/>
      <c r="Q189" s="20"/>
      <c r="S189" s="70"/>
      <c r="T189" s="37"/>
      <c r="U189" s="25"/>
      <c r="V189" s="25"/>
      <c r="W189" s="45"/>
      <c r="X189" s="178"/>
      <c r="Y189" s="178"/>
      <c r="Z189" s="20"/>
      <c r="AB189" s="70"/>
      <c r="AC189" s="37"/>
      <c r="AD189" s="25"/>
      <c r="AE189" s="25"/>
      <c r="AF189" s="45"/>
      <c r="AG189" s="178"/>
      <c r="AH189" s="178"/>
      <c r="AI189" s="20"/>
    </row>
    <row r="190" customFormat="false" ht="17.35" hidden="false" customHeight="false" outlineLevel="0" collapsed="false">
      <c r="A190" s="78" t="s">
        <v>170</v>
      </c>
      <c r="B190" s="38" t="s">
        <v>171</v>
      </c>
      <c r="C190" s="25"/>
      <c r="D190" s="25"/>
      <c r="E190" s="38" t="s">
        <v>172</v>
      </c>
      <c r="F190" s="45"/>
      <c r="G190" s="45"/>
      <c r="H190" s="20"/>
      <c r="J190" s="78" t="s">
        <v>170</v>
      </c>
      <c r="K190" s="38" t="s">
        <v>171</v>
      </c>
      <c r="L190" s="25"/>
      <c r="M190" s="25"/>
      <c r="N190" s="38" t="s">
        <v>172</v>
      </c>
      <c r="O190" s="45"/>
      <c r="P190" s="45"/>
      <c r="Q190" s="20"/>
      <c r="S190" s="78" t="s">
        <v>170</v>
      </c>
      <c r="T190" s="38" t="s">
        <v>171</v>
      </c>
      <c r="U190" s="25"/>
      <c r="V190" s="25"/>
      <c r="W190" s="38" t="s">
        <v>172</v>
      </c>
      <c r="X190" s="178"/>
      <c r="Y190" s="178"/>
      <c r="Z190" s="20"/>
      <c r="AB190" s="78" t="s">
        <v>170</v>
      </c>
      <c r="AC190" s="38" t="s">
        <v>171</v>
      </c>
      <c r="AD190" s="25"/>
      <c r="AE190" s="25"/>
      <c r="AF190" s="38" t="s">
        <v>172</v>
      </c>
      <c r="AG190" s="178"/>
      <c r="AH190" s="178"/>
      <c r="AI190" s="20"/>
    </row>
    <row r="191" customFormat="false" ht="17.35" hidden="false" customHeight="false" outlineLevel="0" collapsed="false">
      <c r="A191" s="70" t="n">
        <f aca="false">B182-100</f>
        <v>99.99</v>
      </c>
      <c r="B191" s="37" t="n">
        <f aca="false">B188+E188+A191</f>
        <v>652.64801875</v>
      </c>
      <c r="C191" s="25"/>
      <c r="D191" s="25"/>
      <c r="E191" s="37" t="n">
        <f aca="false">H148</f>
        <v>9754.17</v>
      </c>
      <c r="F191" s="45"/>
      <c r="G191" s="45"/>
      <c r="H191" s="20"/>
      <c r="J191" s="70" t="n">
        <f aca="false">K185-100</f>
        <v>1139.99</v>
      </c>
      <c r="K191" s="37" t="n">
        <f aca="false">K188+N188+J191</f>
        <v>3460.74086805556</v>
      </c>
      <c r="L191" s="25"/>
      <c r="M191" s="25"/>
      <c r="N191" s="37" t="n">
        <f aca="false">Q148</f>
        <v>-21870</v>
      </c>
      <c r="O191" s="45"/>
      <c r="P191" s="45"/>
      <c r="Q191" s="20"/>
      <c r="S191" s="70" t="n">
        <f aca="false">T185-100</f>
        <v>1099.99</v>
      </c>
      <c r="T191" s="37" t="n">
        <f aca="false">T188+W188+S191</f>
        <v>1584.55051424132</v>
      </c>
      <c r="U191" s="25"/>
      <c r="V191" s="25"/>
      <c r="W191" s="37" t="n">
        <f aca="false">Z148</f>
        <v>-140.562510000003</v>
      </c>
      <c r="X191" s="178"/>
      <c r="Y191" s="178"/>
      <c r="Z191" s="20"/>
      <c r="AB191" s="70" t="n">
        <f aca="false">AC185-100</f>
        <v>1139.99</v>
      </c>
      <c r="AC191" s="37" t="n">
        <f aca="false">AC188+AF188+AB191</f>
        <v>1511.00236163194</v>
      </c>
      <c r="AD191" s="25"/>
      <c r="AE191" s="25"/>
      <c r="AF191" s="37" t="n">
        <f aca="false">AI148</f>
        <v>-14056.251</v>
      </c>
      <c r="AG191" s="178"/>
      <c r="AH191" s="178"/>
      <c r="AI191" s="20"/>
    </row>
    <row r="192" customFormat="false" ht="17.35" hidden="false" customHeight="false" outlineLevel="0" collapsed="false">
      <c r="A192" s="55"/>
      <c r="B192" s="25"/>
      <c r="C192" s="25"/>
      <c r="D192" s="25"/>
      <c r="E192" s="45"/>
      <c r="F192" s="45"/>
      <c r="G192" s="45"/>
      <c r="H192" s="20"/>
      <c r="J192" s="55"/>
      <c r="K192" s="25"/>
      <c r="L192" s="25"/>
      <c r="M192" s="25"/>
      <c r="N192" s="45"/>
      <c r="O192" s="45"/>
      <c r="P192" s="45"/>
      <c r="Q192" s="20"/>
      <c r="S192" s="55"/>
      <c r="T192" s="25"/>
      <c r="U192" s="25"/>
      <c r="V192" s="25"/>
      <c r="W192" s="45"/>
      <c r="X192" s="45"/>
      <c r="Y192" s="45"/>
      <c r="Z192" s="20"/>
      <c r="AB192" s="55"/>
      <c r="AC192" s="25"/>
      <c r="AD192" s="25"/>
      <c r="AE192" s="25"/>
      <c r="AF192" s="45"/>
      <c r="AG192" s="45"/>
      <c r="AH192" s="45"/>
      <c r="AI192" s="20"/>
    </row>
    <row r="193" customFormat="false" ht="17.35" hidden="false" customHeight="false" outlineLevel="0" collapsed="false">
      <c r="A193" s="83" t="s">
        <v>173</v>
      </c>
      <c r="B193" s="25"/>
      <c r="C193" s="25"/>
      <c r="D193" s="84"/>
      <c r="E193" s="84"/>
      <c r="F193" s="84"/>
      <c r="G193" s="84"/>
      <c r="H193" s="85"/>
      <c r="J193" s="83" t="s">
        <v>173</v>
      </c>
      <c r="K193" s="25"/>
      <c r="L193" s="25"/>
      <c r="M193" s="84"/>
      <c r="N193" s="84"/>
      <c r="O193" s="84"/>
      <c r="P193" s="84"/>
      <c r="Q193" s="85"/>
      <c r="S193" s="83" t="s">
        <v>173</v>
      </c>
      <c r="T193" s="25"/>
      <c r="U193" s="25"/>
      <c r="V193" s="84"/>
      <c r="W193" s="84"/>
      <c r="X193" s="84"/>
      <c r="Y193" s="84"/>
      <c r="Z193" s="85"/>
      <c r="AB193" s="83" t="s">
        <v>173</v>
      </c>
      <c r="AC193" s="25"/>
      <c r="AD193" s="25"/>
      <c r="AE193" s="84"/>
      <c r="AF193" s="84"/>
      <c r="AG193" s="84"/>
      <c r="AH193" s="84"/>
      <c r="AI193" s="85"/>
    </row>
    <row r="194" customFormat="false" ht="17.35" hidden="false" customHeight="false" outlineLevel="0" collapsed="false">
      <c r="A194" s="55"/>
      <c r="B194" s="87"/>
      <c r="C194" s="87"/>
      <c r="D194" s="25"/>
      <c r="E194" s="45"/>
      <c r="F194" s="45"/>
      <c r="G194" s="45"/>
      <c r="H194" s="20"/>
      <c r="J194" s="55"/>
      <c r="K194" s="87"/>
      <c r="L194" s="87"/>
      <c r="M194" s="25"/>
      <c r="N194" s="45"/>
      <c r="O194" s="45"/>
      <c r="P194" s="45"/>
      <c r="Q194" s="20"/>
      <c r="S194" s="55"/>
      <c r="T194" s="87"/>
      <c r="U194" s="87"/>
      <c r="V194" s="25"/>
      <c r="W194" s="45"/>
      <c r="X194" s="45"/>
      <c r="Y194" s="45"/>
      <c r="Z194" s="20"/>
      <c r="AB194" s="55"/>
      <c r="AC194" s="87"/>
      <c r="AD194" s="87"/>
      <c r="AE194" s="25"/>
      <c r="AF194" s="45"/>
      <c r="AG194" s="45"/>
      <c r="AH194" s="45"/>
      <c r="AI194" s="20"/>
    </row>
    <row r="195" customFormat="false" ht="19.7" hidden="false" customHeight="false" outlineLevel="0" collapsed="false">
      <c r="A195" s="88" t="s">
        <v>28</v>
      </c>
      <c r="B195" s="89" t="s">
        <v>33</v>
      </c>
      <c r="C195" s="89"/>
      <c r="D195" s="89"/>
      <c r="E195" s="45"/>
      <c r="F195" s="45"/>
      <c r="G195" s="45"/>
      <c r="H195" s="20"/>
      <c r="J195" s="88" t="s">
        <v>28</v>
      </c>
      <c r="K195" s="89" t="s">
        <v>33</v>
      </c>
      <c r="L195" s="89"/>
      <c r="M195" s="89"/>
      <c r="N195" s="45"/>
      <c r="O195" s="45"/>
      <c r="P195" s="45"/>
      <c r="Q195" s="20"/>
      <c r="S195" s="88" t="s">
        <v>28</v>
      </c>
      <c r="T195" s="89" t="s">
        <v>33</v>
      </c>
      <c r="U195" s="89"/>
      <c r="V195" s="89"/>
      <c r="W195" s="45"/>
      <c r="X195" s="45"/>
      <c r="Y195" s="45"/>
      <c r="Z195" s="20"/>
      <c r="AB195" s="88" t="s">
        <v>28</v>
      </c>
      <c r="AC195" s="89" t="s">
        <v>33</v>
      </c>
      <c r="AD195" s="89"/>
      <c r="AE195" s="89"/>
      <c r="AF195" s="45"/>
      <c r="AG195" s="45"/>
      <c r="AH195" s="45"/>
      <c r="AI195" s="20"/>
    </row>
    <row r="196" customFormat="false" ht="19.5" hidden="false" customHeight="true" outlineLevel="0" collapsed="false">
      <c r="A196" s="88"/>
      <c r="B196" s="90" t="n">
        <f aca="false">K30</f>
        <v>35000</v>
      </c>
      <c r="C196" s="90"/>
      <c r="D196" s="90"/>
      <c r="E196" s="45"/>
      <c r="F196" s="45"/>
      <c r="G196" s="45"/>
      <c r="H196" s="20"/>
      <c r="J196" s="88"/>
      <c r="K196" s="90" t="n">
        <f aca="false">K30</f>
        <v>35000</v>
      </c>
      <c r="L196" s="90"/>
      <c r="M196" s="90"/>
      <c r="N196" s="45"/>
      <c r="O196" s="45"/>
      <c r="P196" s="45"/>
      <c r="Q196" s="20"/>
      <c r="S196" s="88"/>
      <c r="T196" s="90" t="n">
        <f aca="false">K30</f>
        <v>35000</v>
      </c>
      <c r="U196" s="90"/>
      <c r="V196" s="90"/>
      <c r="W196" s="45"/>
      <c r="X196" s="45"/>
      <c r="Y196" s="45"/>
      <c r="Z196" s="20"/>
      <c r="AB196" s="88"/>
      <c r="AC196" s="90" t="n">
        <f aca="false">K30</f>
        <v>35000</v>
      </c>
      <c r="AD196" s="90"/>
      <c r="AE196" s="90"/>
      <c r="AF196" s="45"/>
      <c r="AG196" s="45"/>
      <c r="AH196" s="45"/>
      <c r="AI196" s="20"/>
    </row>
    <row r="197" customFormat="false" ht="17.35" hidden="false" customHeight="false" outlineLevel="0" collapsed="false">
      <c r="A197" s="91" t="n">
        <f aca="false">K29</f>
        <v>35</v>
      </c>
      <c r="B197" s="92" t="n">
        <f aca="false">B96</f>
        <v>2075.99455650317</v>
      </c>
      <c r="C197" s="92"/>
      <c r="D197" s="92"/>
      <c r="E197" s="45"/>
      <c r="F197" s="45"/>
      <c r="G197" s="45"/>
      <c r="H197" s="20"/>
      <c r="J197" s="91" t="n">
        <f aca="false">K29</f>
        <v>35</v>
      </c>
      <c r="K197" s="92" t="n">
        <f aca="false">K96</f>
        <v>1506.2831870777</v>
      </c>
      <c r="L197" s="92"/>
      <c r="M197" s="92"/>
      <c r="N197" s="45"/>
      <c r="O197" s="45"/>
      <c r="P197" s="45"/>
      <c r="Q197" s="20"/>
      <c r="S197" s="91" t="n">
        <f aca="false">K29</f>
        <v>35</v>
      </c>
      <c r="T197" s="92" t="n">
        <f aca="false">T96</f>
        <v>1838.96018758182</v>
      </c>
      <c r="U197" s="92"/>
      <c r="V197" s="92"/>
      <c r="W197" s="45"/>
      <c r="X197" s="45"/>
      <c r="Y197" s="45"/>
      <c r="Z197" s="20"/>
      <c r="AB197" s="91" t="n">
        <f aca="false">K29</f>
        <v>35</v>
      </c>
      <c r="AC197" s="92" t="n">
        <f aca="false">AC96</f>
        <v>1346.8260853101</v>
      </c>
      <c r="AD197" s="92"/>
      <c r="AE197" s="92"/>
      <c r="AF197" s="45"/>
      <c r="AG197" s="45"/>
      <c r="AH197" s="45"/>
      <c r="AI197" s="20"/>
    </row>
    <row r="198" customFormat="false" ht="17.35" hidden="false" customHeight="false" outlineLevel="0" collapsed="false">
      <c r="A198" s="55"/>
      <c r="B198" s="25"/>
      <c r="C198" s="25"/>
      <c r="D198" s="25"/>
      <c r="E198" s="45"/>
      <c r="F198" s="45"/>
      <c r="G198" s="45"/>
      <c r="H198" s="20"/>
      <c r="J198" s="55"/>
      <c r="K198" s="25"/>
      <c r="L198" s="25"/>
      <c r="M198" s="25"/>
      <c r="N198" s="45"/>
      <c r="O198" s="45"/>
      <c r="P198" s="45"/>
      <c r="Q198" s="20"/>
      <c r="S198" s="55"/>
      <c r="T198" s="25"/>
      <c r="U198" s="25"/>
      <c r="V198" s="25"/>
      <c r="W198" s="45"/>
      <c r="X198" s="45"/>
      <c r="Y198" s="45"/>
      <c r="Z198" s="20"/>
      <c r="AB198" s="55"/>
      <c r="AC198" s="25"/>
      <c r="AD198" s="25"/>
      <c r="AE198" s="25"/>
      <c r="AF198" s="45"/>
      <c r="AG198" s="45"/>
      <c r="AH198" s="45"/>
      <c r="AI198" s="20"/>
    </row>
    <row r="199" customFormat="false" ht="17.35" hidden="false" customHeight="false" outlineLevel="0" collapsed="false">
      <c r="A199" s="55"/>
      <c r="B199" s="25"/>
      <c r="C199" s="25"/>
      <c r="D199" s="25"/>
      <c r="E199" s="45"/>
      <c r="F199" s="45"/>
      <c r="G199" s="45"/>
      <c r="H199" s="20"/>
      <c r="J199" s="55"/>
      <c r="K199" s="25"/>
      <c r="L199" s="25"/>
      <c r="M199" s="25"/>
      <c r="N199" s="45"/>
      <c r="O199" s="45"/>
      <c r="P199" s="45"/>
      <c r="Q199" s="20"/>
      <c r="S199" s="55"/>
      <c r="T199" s="25"/>
      <c r="U199" s="25"/>
      <c r="V199" s="25"/>
      <c r="W199" s="45"/>
      <c r="X199" s="45"/>
      <c r="Y199" s="45"/>
      <c r="Z199" s="20"/>
      <c r="AB199" s="55"/>
      <c r="AC199" s="25"/>
      <c r="AD199" s="25"/>
      <c r="AE199" s="25"/>
      <c r="AF199" s="45"/>
      <c r="AG199" s="45"/>
      <c r="AH199" s="45"/>
      <c r="AI199" s="20"/>
    </row>
    <row r="200" customFormat="false" ht="17.35" hidden="false" customHeight="false" outlineLevel="0" collapsed="false">
      <c r="A200" s="55"/>
      <c r="B200" s="25"/>
      <c r="C200" s="25"/>
      <c r="D200" s="25"/>
      <c r="E200" s="45"/>
      <c r="F200" s="45"/>
      <c r="G200" s="45"/>
      <c r="H200" s="20"/>
      <c r="J200" s="55"/>
      <c r="K200" s="25"/>
      <c r="L200" s="25"/>
      <c r="M200" s="25"/>
      <c r="N200" s="45"/>
      <c r="O200" s="45"/>
      <c r="P200" s="45"/>
      <c r="Q200" s="20"/>
      <c r="S200" s="55"/>
      <c r="T200" s="25"/>
      <c r="U200" s="25"/>
      <c r="V200" s="25"/>
      <c r="W200" s="45"/>
      <c r="X200" s="45"/>
      <c r="Y200" s="45"/>
      <c r="Z200" s="20"/>
      <c r="AB200" s="55"/>
      <c r="AC200" s="25"/>
      <c r="AD200" s="25"/>
      <c r="AE200" s="25"/>
      <c r="AF200" s="45"/>
      <c r="AG200" s="45"/>
      <c r="AH200" s="45"/>
      <c r="AI200" s="20"/>
    </row>
    <row r="201" customFormat="false" ht="17.35" hidden="false" customHeight="false" outlineLevel="0" collapsed="false">
      <c r="A201" s="55"/>
      <c r="B201" s="25"/>
      <c r="C201" s="25"/>
      <c r="D201" s="25"/>
      <c r="E201" s="45"/>
      <c r="F201" s="45"/>
      <c r="G201" s="45"/>
      <c r="H201" s="20"/>
      <c r="J201" s="55"/>
      <c r="K201" s="25"/>
      <c r="L201" s="25"/>
      <c r="M201" s="25"/>
      <c r="N201" s="45"/>
      <c r="O201" s="45"/>
      <c r="P201" s="45"/>
      <c r="Q201" s="20"/>
      <c r="S201" s="55"/>
      <c r="T201" s="25"/>
      <c r="U201" s="25"/>
      <c r="V201" s="25"/>
      <c r="W201" s="45"/>
      <c r="X201" s="45"/>
      <c r="Y201" s="45"/>
      <c r="Z201" s="20"/>
      <c r="AB201" s="55"/>
      <c r="AC201" s="25"/>
      <c r="AD201" s="25"/>
      <c r="AE201" s="25"/>
      <c r="AF201" s="45"/>
      <c r="AG201" s="45"/>
      <c r="AH201" s="45"/>
      <c r="AI201" s="20"/>
    </row>
    <row r="202" customFormat="false" ht="17.35" hidden="false" customHeight="false" outlineLevel="0" collapsed="false">
      <c r="A202" s="74"/>
      <c r="B202" s="75"/>
      <c r="C202" s="75"/>
      <c r="D202" s="75"/>
      <c r="E202" s="75"/>
      <c r="F202" s="75"/>
      <c r="G202" s="75"/>
      <c r="H202" s="82"/>
      <c r="J202" s="74"/>
      <c r="K202" s="75"/>
      <c r="L202" s="75"/>
      <c r="M202" s="75"/>
      <c r="N202" s="75"/>
      <c r="O202" s="75"/>
      <c r="P202" s="75"/>
      <c r="Q202" s="82"/>
      <c r="S202" s="74"/>
      <c r="T202" s="75"/>
      <c r="U202" s="75"/>
      <c r="V202" s="75"/>
      <c r="W202" s="75"/>
      <c r="X202" s="75"/>
      <c r="Y202" s="75"/>
      <c r="Z202" s="82"/>
      <c r="AB202" s="74"/>
      <c r="AC202" s="75"/>
      <c r="AD202" s="75"/>
      <c r="AE202" s="75"/>
      <c r="AF202" s="75"/>
      <c r="AG202" s="75"/>
      <c r="AH202" s="75"/>
      <c r="AI202" s="82"/>
    </row>
    <row r="206" customFormat="false" ht="22.05" hidden="false" customHeight="false" outlineLevel="0" collapsed="false">
      <c r="A206" s="179" t="s">
        <v>153</v>
      </c>
      <c r="B206" s="179"/>
      <c r="C206" s="179"/>
      <c r="D206" s="179"/>
      <c r="E206" s="179"/>
      <c r="F206" s="179"/>
      <c r="G206" s="179"/>
      <c r="H206" s="179"/>
    </row>
    <row r="207" customFormat="false" ht="17.35" hidden="false" customHeight="false" outlineLevel="0" collapsed="false">
      <c r="A207" s="55"/>
      <c r="B207" s="25"/>
      <c r="C207" s="25"/>
      <c r="D207" s="25"/>
      <c r="E207" s="94"/>
      <c r="F207" s="94"/>
      <c r="G207" s="94"/>
      <c r="H207" s="20"/>
    </row>
    <row r="208" customFormat="false" ht="17.35" hidden="false" customHeight="false" outlineLevel="0" collapsed="false">
      <c r="A208" s="180" t="s">
        <v>98</v>
      </c>
      <c r="B208" s="181" t="s">
        <v>174</v>
      </c>
      <c r="C208" s="181"/>
      <c r="D208" s="181"/>
      <c r="E208" s="181" t="s">
        <v>175</v>
      </c>
      <c r="F208" s="182"/>
      <c r="G208" s="94"/>
      <c r="H208" s="20"/>
    </row>
    <row r="209" customFormat="false" ht="17.35" hidden="false" customHeight="false" outlineLevel="0" collapsed="false">
      <c r="A209" s="183" t="s">
        <v>176</v>
      </c>
      <c r="B209" s="170" t="n">
        <f aca="false">A197</f>
        <v>35</v>
      </c>
      <c r="C209" s="170"/>
      <c r="D209" s="170"/>
      <c r="E209" s="170" t="n">
        <f aca="false">B196</f>
        <v>35000</v>
      </c>
      <c r="F209" s="182"/>
      <c r="G209" s="94"/>
      <c r="H209" s="20"/>
    </row>
    <row r="210" customFormat="false" ht="17.35" hidden="false" customHeight="false" outlineLevel="0" collapsed="false">
      <c r="A210" s="55"/>
      <c r="B210" s="25"/>
      <c r="C210" s="25"/>
      <c r="D210" s="25"/>
      <c r="E210" s="94"/>
      <c r="F210" s="94"/>
      <c r="G210" s="94"/>
      <c r="H210" s="20"/>
    </row>
    <row r="211" customFormat="false" ht="17.35" hidden="false" customHeight="false" outlineLevel="0" collapsed="false">
      <c r="A211" s="180" t="s">
        <v>154</v>
      </c>
      <c r="B211" s="181" t="s">
        <v>155</v>
      </c>
      <c r="C211" s="181"/>
      <c r="D211" s="181"/>
      <c r="E211" s="181" t="s">
        <v>156</v>
      </c>
      <c r="F211" s="94"/>
      <c r="G211" s="94"/>
      <c r="H211" s="20"/>
    </row>
    <row r="212" customFormat="false" ht="17.35" hidden="false" customHeight="false" outlineLevel="0" collapsed="false">
      <c r="A212" s="173" t="n">
        <f aca="false">A167</f>
        <v>2075.99455650317</v>
      </c>
      <c r="B212" s="172" t="str">
        <f aca="false">B167</f>
        <v>0</v>
      </c>
      <c r="C212" s="170"/>
      <c r="D212" s="170"/>
      <c r="E212" s="172" t="n">
        <f aca="false">E167</f>
        <v>2075.99455650317</v>
      </c>
      <c r="F212" s="94"/>
      <c r="G212" s="94"/>
      <c r="H212" s="20"/>
    </row>
    <row r="213" customFormat="false" ht="17.35" hidden="false" customHeight="false" outlineLevel="0" collapsed="false">
      <c r="A213" s="55"/>
      <c r="B213" s="25"/>
      <c r="C213" s="25"/>
      <c r="D213" s="25"/>
      <c r="E213" s="94"/>
      <c r="F213" s="94"/>
      <c r="G213" s="94"/>
      <c r="H213" s="20"/>
    </row>
    <row r="214" customFormat="false" ht="17.35" hidden="false" customHeight="false" outlineLevel="0" collapsed="false">
      <c r="A214" s="55" t="s">
        <v>158</v>
      </c>
      <c r="B214" s="25" t="s">
        <v>159</v>
      </c>
      <c r="C214" s="25"/>
      <c r="D214" s="94"/>
      <c r="E214" s="25" t="s">
        <v>160</v>
      </c>
      <c r="F214" s="94"/>
      <c r="G214" s="94"/>
      <c r="H214" s="20"/>
    </row>
    <row r="215" customFormat="false" ht="17.35" hidden="false" customHeight="false" outlineLevel="0" collapsed="false">
      <c r="A215" s="69" t="n">
        <f aca="false">A173</f>
        <v>57991.67</v>
      </c>
      <c r="B215" s="37" t="n">
        <f aca="false">B173</f>
        <v>11598.334</v>
      </c>
      <c r="C215" s="67"/>
      <c r="D215" s="94"/>
      <c r="E215" s="73" t="n">
        <f aca="false">E173</f>
        <v>640</v>
      </c>
      <c r="F215" s="94"/>
      <c r="G215" s="94"/>
      <c r="H215" s="20"/>
    </row>
    <row r="216" customFormat="false" ht="17.35" hidden="false" customHeight="false" outlineLevel="0" collapsed="false">
      <c r="A216" s="55"/>
      <c r="B216" s="25"/>
      <c r="C216" s="25"/>
      <c r="D216" s="94"/>
      <c r="E216" s="25"/>
      <c r="F216" s="94"/>
      <c r="G216" s="94"/>
      <c r="H216" s="20"/>
    </row>
    <row r="217" customFormat="false" ht="17.35" hidden="false" customHeight="false" outlineLevel="0" collapsed="false">
      <c r="A217" s="55" t="s">
        <v>161</v>
      </c>
      <c r="B217" s="25" t="s">
        <v>108</v>
      </c>
      <c r="C217" s="25"/>
      <c r="D217" s="94"/>
      <c r="E217" s="25" t="s">
        <v>109</v>
      </c>
      <c r="F217" s="94"/>
      <c r="G217" s="94"/>
      <c r="H217" s="20"/>
    </row>
    <row r="218" customFormat="false" ht="17.35" hidden="false" customHeight="false" outlineLevel="0" collapsed="false">
      <c r="A218" s="69" t="n">
        <f aca="false">A176</f>
        <v>70230.004</v>
      </c>
      <c r="B218" s="37" t="n">
        <f aca="false">B176</f>
        <v>1000</v>
      </c>
      <c r="C218" s="37"/>
      <c r="D218" s="94"/>
      <c r="E218" s="37" t="n">
        <f aca="false">E176</f>
        <v>1000</v>
      </c>
      <c r="F218" s="94"/>
      <c r="G218" s="94"/>
      <c r="H218" s="177"/>
    </row>
    <row r="219" customFormat="false" ht="17.35" hidden="false" customHeight="false" outlineLevel="0" collapsed="false">
      <c r="A219" s="55"/>
      <c r="B219" s="25"/>
      <c r="C219" s="25"/>
      <c r="D219" s="94"/>
      <c r="E219" s="25"/>
      <c r="F219" s="94"/>
      <c r="G219" s="94"/>
      <c r="H219" s="20"/>
    </row>
    <row r="220" customFormat="false" ht="17.35" hidden="false" customHeight="false" outlineLevel="0" collapsed="false">
      <c r="A220" s="55" t="s">
        <v>110</v>
      </c>
      <c r="B220" s="25" t="s">
        <v>146</v>
      </c>
      <c r="C220" s="25"/>
      <c r="D220" s="94"/>
      <c r="E220" s="25" t="s">
        <v>151</v>
      </c>
      <c r="F220" s="94"/>
      <c r="G220" s="94"/>
      <c r="H220" s="20"/>
    </row>
    <row r="221" customFormat="false" ht="17.35" hidden="false" customHeight="false" outlineLevel="0" collapsed="false">
      <c r="A221" s="70" t="n">
        <f aca="false">A179</f>
        <v>2000</v>
      </c>
      <c r="B221" s="37" t="n">
        <f aca="false">B179</f>
        <v>500</v>
      </c>
      <c r="C221" s="37"/>
      <c r="D221" s="94"/>
      <c r="E221" s="37" t="n">
        <f aca="false">E179</f>
        <v>67730.004</v>
      </c>
      <c r="F221" s="94"/>
      <c r="G221" s="94"/>
      <c r="H221" s="177"/>
    </row>
    <row r="222" customFormat="false" ht="17.35" hidden="false" customHeight="false" outlineLevel="0" collapsed="false">
      <c r="A222" s="55"/>
      <c r="B222" s="25"/>
      <c r="C222" s="25"/>
      <c r="D222" s="94"/>
      <c r="E222" s="25"/>
      <c r="F222" s="94"/>
      <c r="G222" s="94"/>
      <c r="H222" s="20"/>
    </row>
    <row r="223" customFormat="false" ht="17.35" hidden="false" customHeight="false" outlineLevel="0" collapsed="false">
      <c r="A223" s="55" t="s">
        <v>162</v>
      </c>
      <c r="B223" s="25" t="s">
        <v>152</v>
      </c>
      <c r="C223" s="25"/>
      <c r="D223" s="94"/>
      <c r="E223" s="25" t="s">
        <v>163</v>
      </c>
      <c r="F223" s="94"/>
      <c r="G223" s="94"/>
      <c r="H223" s="20"/>
    </row>
    <row r="224" customFormat="false" ht="17.35" hidden="false" customHeight="false" outlineLevel="0" collapsed="false">
      <c r="A224" s="70" t="n">
        <f aca="false">A182</f>
        <v>13653.8109211077</v>
      </c>
      <c r="B224" s="37" t="str">
        <f aca="false">B182</f>
        <v>199.99</v>
      </c>
      <c r="C224" s="37"/>
      <c r="D224" s="94"/>
      <c r="E224" s="37" t="n">
        <f aca="false">E182</f>
        <v>81593.8049211077</v>
      </c>
      <c r="F224" s="94"/>
      <c r="G224" s="94"/>
      <c r="H224" s="177"/>
    </row>
    <row r="225" customFormat="false" ht="17.35" hidden="false" customHeight="false" outlineLevel="0" collapsed="false">
      <c r="A225" s="55"/>
      <c r="B225" s="25"/>
      <c r="C225" s="25"/>
      <c r="D225" s="94"/>
      <c r="E225" s="25"/>
      <c r="F225" s="94"/>
      <c r="G225" s="94"/>
      <c r="H225" s="20"/>
    </row>
    <row r="226" customFormat="false" ht="17.35" hidden="false" customHeight="false" outlineLevel="0" collapsed="false">
      <c r="A226" s="55" t="s">
        <v>164</v>
      </c>
      <c r="B226" s="25" t="s">
        <v>165</v>
      </c>
      <c r="C226" s="25"/>
      <c r="D226" s="94"/>
      <c r="E226" s="25" t="s">
        <v>177</v>
      </c>
      <c r="F226" s="94"/>
      <c r="G226" s="94"/>
      <c r="H226" s="20"/>
    </row>
    <row r="227" customFormat="false" ht="17.35" hidden="false" customHeight="false" outlineLevel="0" collapsed="false">
      <c r="A227" s="70" t="n">
        <f aca="false">A185</f>
        <v>10</v>
      </c>
      <c r="B227" s="37" t="n">
        <f aca="false">B185</f>
        <v>2239.988</v>
      </c>
      <c r="C227" s="37"/>
      <c r="D227" s="94"/>
      <c r="E227" s="37" t="n">
        <f aca="false">B59</f>
        <v>34</v>
      </c>
      <c r="F227" s="94"/>
      <c r="G227" s="94"/>
      <c r="H227" s="177"/>
    </row>
    <row r="228" customFormat="false" ht="17.35" hidden="false" customHeight="false" outlineLevel="0" collapsed="false">
      <c r="A228" s="55"/>
      <c r="B228" s="25"/>
      <c r="C228" s="25"/>
      <c r="D228" s="25"/>
      <c r="E228" s="94"/>
      <c r="F228" s="94"/>
      <c r="G228" s="94"/>
      <c r="H228" s="20"/>
    </row>
    <row r="229" customFormat="false" ht="17.35" hidden="false" customHeight="false" outlineLevel="0" collapsed="false">
      <c r="A229" s="55" t="s">
        <v>154</v>
      </c>
      <c r="B229" s="25" t="s">
        <v>155</v>
      </c>
      <c r="C229" s="25"/>
      <c r="D229" s="25"/>
      <c r="E229" s="25" t="s">
        <v>156</v>
      </c>
      <c r="F229" s="94"/>
      <c r="G229" s="94"/>
      <c r="H229" s="20"/>
    </row>
    <row r="230" customFormat="false" ht="17.35" hidden="false" customHeight="false" outlineLevel="0" collapsed="false">
      <c r="A230" s="70" t="n">
        <f aca="false">A167</f>
        <v>2075.99455650317</v>
      </c>
      <c r="B230" s="37" t="str">
        <f aca="false">B167</f>
        <v>0</v>
      </c>
      <c r="C230" s="67"/>
      <c r="D230" s="67"/>
      <c r="E230" s="37" t="n">
        <f aca="false">E167</f>
        <v>2075.99455650317</v>
      </c>
      <c r="F230" s="94"/>
      <c r="G230" s="94"/>
      <c r="H230" s="20"/>
    </row>
    <row r="231" customFormat="false" ht="17.35" hidden="false" customHeight="false" outlineLevel="0" collapsed="false">
      <c r="A231" s="55"/>
      <c r="B231" s="25"/>
      <c r="C231" s="25"/>
      <c r="D231" s="25"/>
      <c r="E231" s="94"/>
      <c r="F231" s="94"/>
      <c r="G231" s="94"/>
      <c r="H231" s="20"/>
    </row>
    <row r="232" customFormat="false" ht="17.35" hidden="false" customHeight="false" outlineLevel="0" collapsed="false">
      <c r="A232" s="55" t="s">
        <v>178</v>
      </c>
      <c r="B232" s="25" t="s">
        <v>179</v>
      </c>
      <c r="C232" s="25"/>
      <c r="D232" s="25"/>
      <c r="E232" s="25" t="s">
        <v>180</v>
      </c>
      <c r="F232" s="94"/>
      <c r="G232" s="94"/>
      <c r="H232" s="20"/>
    </row>
    <row r="233" customFormat="false" ht="17.35" hidden="false" customHeight="false" outlineLevel="0" collapsed="false">
      <c r="A233" s="70" t="n">
        <f aca="false">E170</f>
        <v>10800</v>
      </c>
      <c r="B233" s="37" t="n">
        <f aca="false">E185</f>
        <v>10810</v>
      </c>
      <c r="C233" s="25"/>
      <c r="D233" s="25"/>
      <c r="E233" s="37" t="n">
        <f aca="false">J18*0.000006*100</f>
        <v>34.731</v>
      </c>
      <c r="F233" s="94"/>
      <c r="G233" s="94"/>
      <c r="H233" s="20"/>
    </row>
    <row r="234" customFormat="false" ht="17.35" hidden="false" customHeight="false" outlineLevel="0" collapsed="false">
      <c r="A234" s="70"/>
      <c r="B234" s="37"/>
      <c r="C234" s="25"/>
      <c r="D234" s="25"/>
      <c r="E234" s="37"/>
      <c r="F234" s="94"/>
      <c r="G234" s="94"/>
      <c r="H234" s="20"/>
    </row>
    <row r="235" customFormat="false" ht="17.35" hidden="false" customHeight="false" outlineLevel="0" collapsed="false">
      <c r="A235" s="78" t="s">
        <v>181</v>
      </c>
      <c r="B235" s="38" t="s">
        <v>182</v>
      </c>
      <c r="C235" s="25"/>
      <c r="D235" s="25"/>
      <c r="E235" s="38" t="s">
        <v>102</v>
      </c>
      <c r="F235" s="94"/>
      <c r="G235" s="94"/>
      <c r="H235" s="20"/>
    </row>
    <row r="236" customFormat="false" ht="17.35" hidden="false" customHeight="false" outlineLevel="0" collapsed="false">
      <c r="A236" s="70" t="n">
        <f aca="false">IF(E105="YES", J18*0.000002, 0)*100</f>
        <v>0</v>
      </c>
      <c r="B236" s="37" t="n">
        <f aca="false">E233+A236</f>
        <v>34.731</v>
      </c>
      <c r="C236" s="25"/>
      <c r="D236" s="25"/>
      <c r="E236" s="37"/>
      <c r="F236" s="94"/>
      <c r="G236" s="94"/>
      <c r="H236" s="20"/>
    </row>
    <row r="237" customFormat="false" ht="17.35" hidden="false" customHeight="false" outlineLevel="0" collapsed="false">
      <c r="A237" s="70"/>
      <c r="B237" s="37"/>
      <c r="C237" s="25"/>
      <c r="D237" s="25"/>
      <c r="E237" s="37"/>
      <c r="F237" s="94"/>
      <c r="G237" s="94"/>
      <c r="H237" s="20"/>
    </row>
    <row r="238" customFormat="false" ht="22.05" hidden="false" customHeight="false" outlineLevel="0" collapsed="false">
      <c r="A238" s="184" t="s">
        <v>183</v>
      </c>
      <c r="B238" s="184"/>
      <c r="C238" s="184"/>
      <c r="D238" s="184"/>
      <c r="E238" s="184"/>
      <c r="F238" s="184"/>
      <c r="G238" s="184"/>
      <c r="H238" s="184"/>
    </row>
    <row r="239" customFormat="false" ht="17.35" hidden="false" customHeight="false" outlineLevel="0" collapsed="false">
      <c r="A239" s="55" t="s">
        <v>184</v>
      </c>
      <c r="B239" s="25" t="s">
        <v>168</v>
      </c>
      <c r="C239" s="25"/>
      <c r="D239" s="25"/>
      <c r="E239" s="38" t="s">
        <v>169</v>
      </c>
      <c r="F239" s="94"/>
      <c r="G239" s="94"/>
      <c r="H239" s="20"/>
    </row>
    <row r="240" customFormat="false" ht="17.35" hidden="false" customHeight="false" outlineLevel="0" collapsed="false">
      <c r="A240" s="70" t="n">
        <f aca="false">H148</f>
        <v>9754.17</v>
      </c>
      <c r="B240" s="37" t="n">
        <f aca="false">B68</f>
        <v>552.65801875</v>
      </c>
      <c r="C240" s="25"/>
      <c r="D240" s="25"/>
      <c r="E240" s="37" t="n">
        <f aca="false">E188</f>
        <v>0</v>
      </c>
      <c r="F240" s="94"/>
      <c r="G240" s="94"/>
      <c r="H240" s="20"/>
    </row>
    <row r="241" customFormat="false" ht="17.35" hidden="false" customHeight="false" outlineLevel="0" collapsed="false">
      <c r="A241" s="70"/>
      <c r="B241" s="37"/>
      <c r="C241" s="25"/>
      <c r="D241" s="25"/>
      <c r="E241" s="94"/>
      <c r="F241" s="94"/>
      <c r="G241" s="94"/>
      <c r="H241" s="20"/>
    </row>
    <row r="242" customFormat="false" ht="17.35" hidden="false" customHeight="false" outlineLevel="0" collapsed="false">
      <c r="A242" s="78" t="s">
        <v>170</v>
      </c>
      <c r="B242" s="38" t="s">
        <v>171</v>
      </c>
      <c r="C242" s="25"/>
      <c r="D242" s="25"/>
      <c r="E242" s="38"/>
      <c r="F242" s="94"/>
      <c r="G242" s="94"/>
      <c r="H242" s="20"/>
    </row>
    <row r="243" customFormat="false" ht="17.35" hidden="false" customHeight="false" outlineLevel="0" collapsed="false">
      <c r="A243" s="70" t="n">
        <f aca="false">A191</f>
        <v>99.99</v>
      </c>
      <c r="B243" s="37" t="n">
        <f aca="false">B240+E240+A243+A240</f>
        <v>10406.81801875</v>
      </c>
      <c r="C243" s="25"/>
      <c r="D243" s="25"/>
      <c r="E243" s="37"/>
      <c r="F243" s="94"/>
      <c r="G243" s="94"/>
      <c r="H243" s="20"/>
    </row>
    <row r="244" customFormat="false" ht="17.35" hidden="false" customHeight="false" outlineLevel="0" collapsed="false">
      <c r="A244" s="55"/>
      <c r="B244" s="25"/>
      <c r="C244" s="25"/>
      <c r="D244" s="25"/>
      <c r="E244" s="94"/>
      <c r="F244" s="94"/>
      <c r="G244" s="94"/>
      <c r="H244" s="20"/>
    </row>
    <row r="245" customFormat="false" ht="17.35" hidden="false" customHeight="false" outlineLevel="0" collapsed="false">
      <c r="A245" s="74"/>
      <c r="B245" s="75"/>
      <c r="C245" s="75"/>
      <c r="D245" s="75"/>
      <c r="E245" s="75"/>
      <c r="F245" s="75"/>
      <c r="G245" s="75"/>
      <c r="H245" s="82"/>
    </row>
    <row r="251" customFormat="false" ht="22.05" hidden="false" customHeight="false" outlineLevel="0" collapsed="false">
      <c r="A251" s="179" t="s">
        <v>185</v>
      </c>
      <c r="B251" s="179"/>
      <c r="C251" s="179"/>
      <c r="D251" s="179"/>
      <c r="E251" s="179"/>
      <c r="F251" s="179"/>
      <c r="G251" s="179"/>
      <c r="H251" s="179"/>
    </row>
    <row r="252" customFormat="false" ht="17.35" hidden="false" customHeight="false" outlineLevel="0" collapsed="false">
      <c r="A252" s="55"/>
      <c r="B252" s="178"/>
      <c r="C252" s="178"/>
      <c r="D252" s="178"/>
      <c r="E252" s="45"/>
      <c r="F252" s="45"/>
      <c r="G252" s="45"/>
      <c r="H252" s="20"/>
    </row>
    <row r="253" customFormat="false" ht="17.35" hidden="false" customHeight="false" outlineLevel="0" collapsed="false">
      <c r="A253" s="180" t="s">
        <v>186</v>
      </c>
      <c r="B253" s="185" t="n">
        <f aca="false">K35</f>
        <v>0.065</v>
      </c>
      <c r="C253" s="186"/>
      <c r="D253" s="187" t="s">
        <v>187</v>
      </c>
      <c r="E253" s="187"/>
      <c r="F253" s="185" t="n">
        <f aca="false">B83</f>
        <v>0.115</v>
      </c>
      <c r="G253" s="45"/>
      <c r="H253" s="20"/>
    </row>
    <row r="254" customFormat="false" ht="17.35" hidden="false" customHeight="false" outlineLevel="0" collapsed="false">
      <c r="A254" s="180" t="s">
        <v>188</v>
      </c>
      <c r="B254" s="188"/>
      <c r="C254" s="186"/>
      <c r="D254" s="187" t="s">
        <v>189</v>
      </c>
      <c r="E254" s="187"/>
      <c r="F254" s="188" t="n">
        <f aca="false">F261+F267+F269+B270+B271</f>
        <v>663.1896225</v>
      </c>
      <c r="G254" s="45"/>
      <c r="H254" s="20"/>
    </row>
    <row r="255" customFormat="false" ht="17.35" hidden="false" customHeight="false" outlineLevel="0" collapsed="false">
      <c r="A255" s="180" t="s">
        <v>190</v>
      </c>
      <c r="B255" s="188" t="n">
        <f aca="false">F262+B263</f>
        <v>99.99</v>
      </c>
      <c r="C255" s="186"/>
      <c r="D255" s="187" t="s">
        <v>191</v>
      </c>
      <c r="E255" s="187"/>
      <c r="F255" s="188" t="n">
        <f aca="false">(B254-F254)+B255</f>
        <v>-563.1996225</v>
      </c>
      <c r="G255" s="45"/>
      <c r="H255" s="20"/>
    </row>
    <row r="256" customFormat="false" ht="17.35" hidden="false" customHeight="false" outlineLevel="0" collapsed="false">
      <c r="A256" s="189"/>
      <c r="B256" s="187"/>
      <c r="C256" s="190"/>
      <c r="D256" s="190"/>
      <c r="E256" s="190"/>
      <c r="F256" s="190"/>
      <c r="G256" s="191"/>
      <c r="H256" s="192"/>
    </row>
    <row r="257" customFormat="false" ht="17.35" hidden="false" customHeight="false" outlineLevel="0" collapsed="false">
      <c r="A257" s="55" t="s">
        <v>186</v>
      </c>
      <c r="B257" s="193" t="n">
        <f aca="false">B253</f>
        <v>0.065</v>
      </c>
      <c r="C257" s="186"/>
      <c r="D257" s="186"/>
      <c r="E257" s="186"/>
      <c r="F257" s="186"/>
      <c r="G257" s="45"/>
      <c r="H257" s="20"/>
    </row>
    <row r="258" customFormat="false" ht="17.35" hidden="false" customHeight="false" outlineLevel="0" collapsed="false">
      <c r="A258" s="194"/>
      <c r="B258" s="195"/>
      <c r="C258" s="196"/>
      <c r="D258" s="196"/>
      <c r="E258" s="191"/>
      <c r="F258" s="191"/>
      <c r="G258" s="191"/>
      <c r="H258" s="192"/>
    </row>
    <row r="259" customFormat="false" ht="17.35" hidden="false" customHeight="false" outlineLevel="0" collapsed="false">
      <c r="A259" s="55" t="s">
        <v>192</v>
      </c>
      <c r="B259" s="193" t="n">
        <f aca="false">B64</f>
        <v>0.05</v>
      </c>
      <c r="C259" s="178"/>
      <c r="D259" s="38" t="s">
        <v>193</v>
      </c>
      <c r="E259" s="38"/>
      <c r="F259" s="193" t="n">
        <v>0</v>
      </c>
      <c r="G259" s="45"/>
      <c r="H259" s="20"/>
    </row>
    <row r="260" customFormat="false" ht="17.35" hidden="false" customHeight="false" outlineLevel="0" collapsed="false">
      <c r="A260" s="123" t="s">
        <v>187</v>
      </c>
      <c r="B260" s="197" t="n">
        <f aca="false">B83</f>
        <v>0.115</v>
      </c>
      <c r="C260" s="198"/>
      <c r="D260" s="38" t="s">
        <v>188</v>
      </c>
      <c r="E260" s="38"/>
      <c r="F260" s="199" t="n">
        <f aca="false">(B89*B59)-(C89*B59)</f>
        <v>70583.8149211077</v>
      </c>
      <c r="G260" s="45"/>
      <c r="H260" s="20"/>
    </row>
    <row r="261" customFormat="false" ht="17.35" hidden="false" customHeight="false" outlineLevel="0" collapsed="false">
      <c r="A261" s="55" t="s">
        <v>194</v>
      </c>
      <c r="B261" s="197" t="n">
        <f aca="false">B67</f>
        <v>0.00979166666666667</v>
      </c>
      <c r="C261" s="178"/>
      <c r="D261" s="38" t="s">
        <v>194</v>
      </c>
      <c r="E261" s="38"/>
      <c r="F261" s="152" t="n">
        <f aca="false">B68*1.2</f>
        <v>663.1896225</v>
      </c>
      <c r="G261" s="45"/>
      <c r="H261" s="20"/>
    </row>
    <row r="262" customFormat="false" ht="17.35" hidden="false" customHeight="false" outlineLevel="0" collapsed="false">
      <c r="A262" s="55" t="s">
        <v>195</v>
      </c>
      <c r="B262" s="193" t="n">
        <f aca="false">A108</f>
        <v>0.2</v>
      </c>
      <c r="C262" s="178"/>
      <c r="D262" s="38" t="s">
        <v>195</v>
      </c>
      <c r="E262" s="38"/>
      <c r="F262" s="199" t="n">
        <f aca="false">E240*10</f>
        <v>0</v>
      </c>
      <c r="G262" s="45"/>
      <c r="H262" s="20"/>
    </row>
    <row r="263" customFormat="false" ht="17.35" hidden="false" customHeight="false" outlineLevel="0" collapsed="false">
      <c r="A263" s="55" t="s">
        <v>196</v>
      </c>
      <c r="B263" s="199" t="n">
        <f aca="false">A243</f>
        <v>99.99</v>
      </c>
      <c r="C263" s="178"/>
      <c r="D263" s="200" t="s">
        <v>191</v>
      </c>
      <c r="E263" s="200"/>
      <c r="F263" s="199" t="n">
        <f aca="false">(B254-F254)+B255</f>
        <v>-563.1996225</v>
      </c>
      <c r="G263" s="45"/>
      <c r="H263" s="20"/>
    </row>
    <row r="264" customFormat="false" ht="17.35" hidden="false" customHeight="false" outlineLevel="0" collapsed="false">
      <c r="A264" s="70"/>
      <c r="B264" s="201"/>
      <c r="C264" s="178"/>
      <c r="D264" s="178"/>
      <c r="E264" s="201"/>
      <c r="F264" s="45"/>
      <c r="G264" s="45"/>
      <c r="H264" s="20"/>
    </row>
    <row r="265" customFormat="false" ht="22.05" hidden="false" customHeight="false" outlineLevel="0" collapsed="false">
      <c r="A265" s="184" t="s">
        <v>197</v>
      </c>
      <c r="B265" s="184"/>
      <c r="C265" s="184"/>
      <c r="D265" s="184"/>
      <c r="E265" s="184"/>
      <c r="F265" s="184"/>
      <c r="G265" s="184"/>
      <c r="H265" s="184"/>
    </row>
    <row r="266" customFormat="false" ht="17.35" hidden="false" customHeight="false" outlineLevel="0" collapsed="false">
      <c r="A266" s="55" t="s">
        <v>198</v>
      </c>
      <c r="B266" s="152" t="n">
        <v>0</v>
      </c>
      <c r="C266" s="178"/>
      <c r="D266" s="202" t="s">
        <v>199</v>
      </c>
      <c r="E266" s="202"/>
      <c r="F266" s="152" t="n">
        <v>0</v>
      </c>
      <c r="G266" s="45"/>
      <c r="H266" s="20"/>
    </row>
    <row r="267" customFormat="false" ht="17.35" hidden="false" customHeight="false" outlineLevel="0" collapsed="false">
      <c r="A267" s="70"/>
      <c r="B267" s="199"/>
      <c r="C267" s="178"/>
      <c r="D267" s="38" t="s">
        <v>200</v>
      </c>
      <c r="E267" s="38"/>
      <c r="F267" s="199" t="n">
        <f aca="false">B266+F266*B209</f>
        <v>0</v>
      </c>
      <c r="G267" s="45"/>
      <c r="H267" s="20"/>
    </row>
    <row r="268" customFormat="false" ht="17.35" hidden="false" customHeight="false" outlineLevel="0" collapsed="false">
      <c r="A268" s="78" t="s">
        <v>201</v>
      </c>
      <c r="B268" s="203" t="s">
        <v>4</v>
      </c>
      <c r="C268" s="178"/>
      <c r="D268" s="38" t="s">
        <v>202</v>
      </c>
      <c r="E268" s="38"/>
      <c r="F268" s="203" t="n">
        <f aca="false">B70</f>
        <v>0</v>
      </c>
      <c r="G268" s="45"/>
      <c r="H268" s="20"/>
    </row>
    <row r="269" customFormat="false" ht="17.35" hidden="false" customHeight="false" outlineLevel="0" collapsed="false">
      <c r="A269" s="78"/>
      <c r="B269" s="204"/>
      <c r="C269" s="178"/>
      <c r="D269" s="38" t="s">
        <v>203</v>
      </c>
      <c r="E269" s="38"/>
      <c r="F269" s="199" t="n">
        <f aca="false">B91</f>
        <v>0</v>
      </c>
      <c r="G269" s="45"/>
      <c r="H269" s="20"/>
    </row>
    <row r="270" customFormat="false" ht="17.35" hidden="false" customHeight="false" outlineLevel="0" collapsed="false">
      <c r="A270" s="78" t="s">
        <v>204</v>
      </c>
      <c r="B270" s="152" t="n">
        <v>0</v>
      </c>
      <c r="C270" s="178"/>
      <c r="D270" s="178"/>
      <c r="E270" s="201"/>
      <c r="F270" s="45"/>
      <c r="G270" s="45"/>
      <c r="H270" s="20"/>
    </row>
    <row r="271" customFormat="false" ht="17.35" hidden="false" customHeight="false" outlineLevel="0" collapsed="false">
      <c r="A271" s="55" t="s">
        <v>205</v>
      </c>
      <c r="B271" s="152" t="n">
        <v>0</v>
      </c>
      <c r="C271" s="178"/>
      <c r="D271" s="178"/>
      <c r="E271" s="45"/>
      <c r="F271" s="45"/>
      <c r="G271" s="45"/>
      <c r="H271" s="20"/>
    </row>
    <row r="272" customFormat="false" ht="17.35" hidden="false" customHeight="false" outlineLevel="0" collapsed="false">
      <c r="A272" s="74"/>
      <c r="B272" s="75"/>
      <c r="C272" s="75"/>
      <c r="D272" s="75"/>
      <c r="E272" s="75"/>
      <c r="F272" s="75"/>
      <c r="G272" s="75"/>
      <c r="H272" s="82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operator="between" showDropDown="false" showErrorMessage="true" showInputMessage="true" sqref="B105 K105 T105 AC105" type="list">
      <formula1>#ref!</formula1>
      <formula2>0</formula2>
    </dataValidation>
    <dataValidation allowBlank="true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operator="between" showDropDown="false" showErrorMessage="true" showInputMessage="true" sqref="B108:D108 K108:M108 T108:V108 AC108:AE108" type="list">
      <formula1>#ref!</formula1>
      <formula2>0</formula2>
    </dataValidation>
    <dataValidation allowBlank="true" operator="between" showDropDown="false" showErrorMessage="true" showInputMessage="true" sqref="N105 W105 AF105 A111 J111 S111 AB111" type="list">
      <formula1>#ref!</formula1>
      <formula2>0</formula2>
    </dataValidation>
    <dataValidation allowBlank="true" operator="between" showDropDown="false" showErrorMessage="true" showInputMessage="true" sqref="B26" type="list">
      <formula1>ContractPurchase!$Z$19:$Z$20</formula1>
      <formula2>0</formula2>
    </dataValidation>
    <dataValidation allowBlank="true" operator="between" showDropDown="false" showErrorMessage="true" showInputMessage="true" sqref="E105" type="list">
      <formula1>ContractPurchase!$Z$19:$Z$20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48576"/>
  <sheetViews>
    <sheetView showFormulas="false" showGridLines="true" showRowColHeaders="true" showZeros="true" rightToLeft="false" tabSelected="false" showOutlineSymbols="true" defaultGridColor="true" view="normal" topLeftCell="A162" colorId="64" zoomScale="75" zoomScaleNormal="75" zoomScalePageLayoutView="100" workbookViewId="0">
      <selection pane="topLeft" activeCell="E185" activeCellId="0" sqref="E185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4"/>
      <c r="H1" s="4"/>
      <c r="I1" s="2"/>
      <c r="J1" s="2"/>
    </row>
    <row r="2" customFormat="false" ht="19.7" hidden="false" customHeight="false" outlineLevel="0" collapsed="false">
      <c r="A2" s="5" t="s">
        <v>1</v>
      </c>
      <c r="B2" s="6" t="n">
        <f aca="false">B9+B11</f>
        <v>23958.33</v>
      </c>
      <c r="C2" s="5" t="s">
        <v>2</v>
      </c>
      <c r="D2" s="6" t="n">
        <f aca="false">C9</f>
        <v>4791.666</v>
      </c>
      <c r="E2" s="5" t="s">
        <v>3</v>
      </c>
      <c r="F2" s="7" t="n">
        <f aca="false">B13</f>
        <v>0</v>
      </c>
      <c r="G2" s="8"/>
      <c r="H2" s="9"/>
      <c r="I2" s="2"/>
      <c r="J2" s="2"/>
    </row>
    <row r="3" customFormat="false" ht="17.35" hidden="false" customHeight="false" outlineLevel="0" collapsed="false">
      <c r="A3" s="10"/>
      <c r="B3" s="11"/>
      <c r="C3" s="11"/>
      <c r="D3" s="11"/>
      <c r="E3" s="11"/>
      <c r="F3" s="12" t="s">
        <v>4</v>
      </c>
      <c r="G3" s="13"/>
      <c r="H3" s="14"/>
      <c r="I3" s="2"/>
      <c r="J3" s="2"/>
    </row>
    <row r="4" customFormat="false" ht="17.35" hidden="false" customHeight="false" outlineLevel="0" collapsed="false">
      <c r="A4" s="5" t="s">
        <v>5</v>
      </c>
      <c r="B4" s="6" t="n">
        <f aca="false">B15+C15</f>
        <v>28749.996</v>
      </c>
      <c r="C4" s="15"/>
      <c r="D4" s="15"/>
      <c r="E4" s="15"/>
      <c r="F4" s="16" t="s">
        <v>4</v>
      </c>
      <c r="G4" s="17"/>
      <c r="H4" s="18"/>
      <c r="I4" s="2"/>
      <c r="J4" s="2"/>
    </row>
    <row r="5" customFormat="false" ht="17.35" hidden="false" customHeight="false" outlineLevel="0" collapsed="false">
      <c r="A5" s="19"/>
      <c r="B5" s="19"/>
      <c r="C5" s="19"/>
      <c r="D5" s="19"/>
      <c r="E5" s="19"/>
      <c r="F5" s="19" t="s">
        <v>4</v>
      </c>
      <c r="G5" s="13"/>
      <c r="H5" s="20"/>
      <c r="I5" s="2"/>
      <c r="J5" s="2"/>
    </row>
    <row r="6" customFormat="false" ht="17.35" hidden="false" customHeight="false" outlineLevel="0" collapsed="false">
      <c r="A6" s="19"/>
      <c r="B6" s="19"/>
      <c r="C6" s="19"/>
      <c r="D6" s="19"/>
      <c r="E6" s="19"/>
      <c r="F6" s="19"/>
      <c r="G6" s="21"/>
      <c r="H6" s="20"/>
      <c r="I6" s="2"/>
      <c r="J6" s="2"/>
    </row>
    <row r="7" customFormat="false" ht="17.35" hidden="false" customHeight="false" outlineLevel="0" collapsed="false">
      <c r="A7" s="22" t="s">
        <v>6</v>
      </c>
      <c r="B7" s="22" t="s">
        <v>7</v>
      </c>
      <c r="C7" s="22" t="s">
        <v>2</v>
      </c>
      <c r="D7" s="23"/>
      <c r="E7" s="23"/>
      <c r="F7" s="19"/>
      <c r="G7" s="21"/>
      <c r="H7" s="20"/>
      <c r="I7" s="2"/>
      <c r="J7" s="2"/>
      <c r="L7" s="0"/>
      <c r="M7" s="0"/>
    </row>
    <row r="8" customFormat="false" ht="17.35" hidden="false" customHeight="false" outlineLevel="0" collapsed="false">
      <c r="A8" s="24"/>
      <c r="B8" s="19"/>
      <c r="C8" s="19"/>
      <c r="D8" s="23"/>
      <c r="E8" s="23"/>
      <c r="F8" s="19"/>
      <c r="G8" s="25"/>
      <c r="H8" s="20"/>
      <c r="I8" s="2"/>
      <c r="J8" s="2"/>
      <c r="L8" s="26" t="s">
        <v>3</v>
      </c>
      <c r="M8" s="27" t="n">
        <f aca="false">H13+H14</f>
        <v>0</v>
      </c>
    </row>
    <row r="9" customFormat="false" ht="19.7" hidden="false" customHeight="false" outlineLevel="0" collapsed="false">
      <c r="A9" s="22" t="s">
        <v>8</v>
      </c>
      <c r="B9" s="28" t="n">
        <v>23958.33</v>
      </c>
      <c r="C9" s="27" t="n">
        <f aca="false">B9*0.2</f>
        <v>4791.666</v>
      </c>
      <c r="D9" s="23"/>
      <c r="E9" s="23"/>
      <c r="F9" s="19"/>
      <c r="G9" s="29"/>
      <c r="H9" s="30"/>
      <c r="I9" s="2"/>
      <c r="J9" s="2"/>
      <c r="K9" s="1" t="s">
        <v>9</v>
      </c>
      <c r="L9" s="27"/>
      <c r="M9" s="27"/>
    </row>
    <row r="10" customFormat="false" ht="17.35" hidden="false" customHeight="false" outlineLevel="0" collapsed="false">
      <c r="A10" s="31"/>
      <c r="B10" s="19"/>
      <c r="C10" s="19"/>
      <c r="D10" s="23"/>
      <c r="E10" s="23"/>
      <c r="F10" s="19"/>
      <c r="G10" s="21"/>
      <c r="H10" s="14"/>
      <c r="I10" s="2"/>
      <c r="J10" s="2"/>
      <c r="K10" s="1" t="s">
        <v>10</v>
      </c>
      <c r="L10" s="32" t="s">
        <v>1</v>
      </c>
      <c r="M10" s="27" t="n">
        <f aca="false">H15-H11-M8</f>
        <v>0</v>
      </c>
    </row>
    <row r="11" customFormat="false" ht="17.35" hidden="false" customHeight="false" outlineLevel="0" collapsed="false">
      <c r="A11" s="22" t="s">
        <v>11</v>
      </c>
      <c r="B11" s="28" t="n">
        <v>0.0</v>
      </c>
      <c r="C11" s="28" t="n">
        <f aca="false">B11*0.2</f>
        <v>0</v>
      </c>
      <c r="D11" s="23"/>
      <c r="E11" s="23"/>
      <c r="F11" s="19"/>
      <c r="G11" s="21"/>
      <c r="H11" s="20"/>
      <c r="I11" s="2"/>
      <c r="J11" s="2"/>
      <c r="L11" s="27"/>
      <c r="M11" s="27"/>
    </row>
    <row r="12" customFormat="false" ht="17.35" hidden="false" customHeight="false" outlineLevel="0" collapsed="false">
      <c r="A12" s="31"/>
      <c r="B12" s="19"/>
      <c r="C12" s="19"/>
      <c r="D12" s="23"/>
      <c r="E12" s="23"/>
      <c r="F12" s="19"/>
      <c r="G12" s="21"/>
      <c r="H12" s="14"/>
      <c r="I12" s="2"/>
      <c r="J12" s="2"/>
      <c r="L12" s="0"/>
      <c r="M12" s="0"/>
    </row>
    <row r="13" customFormat="false" ht="17.35" hidden="false" customHeight="false" outlineLevel="0" collapsed="false">
      <c r="A13" s="22" t="s">
        <v>12</v>
      </c>
      <c r="B13" s="28" t="n">
        <v>0.0</v>
      </c>
      <c r="C13" s="27"/>
      <c r="D13" s="23"/>
      <c r="E13" s="23"/>
      <c r="F13" s="19"/>
      <c r="G13" s="21"/>
      <c r="H13" s="14"/>
      <c r="I13" s="2"/>
      <c r="J13" s="2"/>
      <c r="L13" s="0"/>
      <c r="M13" s="0"/>
    </row>
    <row r="14" customFormat="false" ht="17.35" hidden="false" customHeight="false" outlineLevel="0" collapsed="false">
      <c r="A14" s="31"/>
      <c r="B14" s="19"/>
      <c r="C14" s="19"/>
      <c r="D14" s="23"/>
      <c r="E14" s="23"/>
      <c r="F14" s="19"/>
      <c r="G14" s="21"/>
      <c r="H14" s="14"/>
      <c r="I14" s="2"/>
      <c r="J14" s="2" t="s">
        <v>13</v>
      </c>
    </row>
    <row r="15" customFormat="false" ht="17.35" hidden="false" customHeight="false" outlineLevel="0" collapsed="false">
      <c r="A15" s="22" t="s">
        <v>14</v>
      </c>
      <c r="B15" s="27" t="n">
        <f aca="false">SUM(B9:B13)</f>
        <v>23958.33</v>
      </c>
      <c r="C15" s="27" t="n">
        <f aca="false">SUM(C9:C13)</f>
        <v>4791.666</v>
      </c>
      <c r="D15" s="23"/>
      <c r="E15" s="23"/>
      <c r="F15" s="19"/>
      <c r="G15" s="21"/>
      <c r="H15" s="33"/>
      <c r="I15" s="2"/>
      <c r="J15" s="34" t="n">
        <f aca="false">H15</f>
        <v>0</v>
      </c>
    </row>
    <row r="16" customFormat="false" ht="17.35" hidden="false" customHeight="false" outlineLevel="0" collapsed="false">
      <c r="A16" s="35"/>
      <c r="B16" s="35"/>
      <c r="C16" s="35"/>
      <c r="D16" s="23"/>
      <c r="E16" s="23"/>
      <c r="F16" s="19"/>
      <c r="G16" s="21"/>
      <c r="H16" s="14"/>
      <c r="I16" s="2"/>
      <c r="J16" s="2"/>
      <c r="Y16" s="36" t="s">
        <v>15</v>
      </c>
    </row>
    <row r="17" customFormat="false" ht="17.35" hidden="false" customHeight="false" outlineLevel="0" collapsed="false">
      <c r="A17" s="35"/>
      <c r="B17" s="35"/>
      <c r="C17" s="35"/>
      <c r="D17" s="23"/>
      <c r="E17" s="23"/>
      <c r="F17" s="19"/>
      <c r="G17" s="37"/>
      <c r="H17" s="20"/>
      <c r="I17" s="2"/>
      <c r="J17" s="2" t="s">
        <v>16</v>
      </c>
      <c r="Y17" s="36" t="s">
        <v>17</v>
      </c>
    </row>
    <row r="18" customFormat="false" ht="17.35" hidden="false" customHeight="false" outlineLevel="0" collapsed="false">
      <c r="A18" s="35"/>
      <c r="B18" s="35"/>
      <c r="C18" s="35"/>
      <c r="D18" s="23"/>
      <c r="E18" s="23"/>
      <c r="F18" s="19"/>
      <c r="G18" s="38"/>
      <c r="H18" s="39"/>
      <c r="I18" s="2"/>
      <c r="J18" s="34" t="n">
        <v>37405</v>
      </c>
      <c r="Y18" s="36" t="s">
        <v>18</v>
      </c>
    </row>
    <row r="19" customFormat="false" ht="22.05" hidden="false" customHeight="true" outlineLevel="0" collapsed="false">
      <c r="A19" s="40" t="s">
        <v>19</v>
      </c>
      <c r="B19" s="40"/>
      <c r="C19" s="40"/>
      <c r="D19" s="40"/>
      <c r="E19" s="27" t="n">
        <f aca="false">B4</f>
        <v>28749.996</v>
      </c>
      <c r="F19" s="19"/>
      <c r="G19" s="38"/>
      <c r="H19" s="39"/>
      <c r="I19" s="2"/>
      <c r="J19" s="2"/>
      <c r="Z19" s="2" t="s">
        <v>9</v>
      </c>
    </row>
    <row r="20" customFormat="false" ht="17.35" hidden="false" customHeight="false" outlineLevel="0" collapsed="false">
      <c r="A20" s="41"/>
      <c r="B20" s="19"/>
      <c r="C20" s="19"/>
      <c r="D20" s="19"/>
      <c r="E20" s="42"/>
      <c r="F20" s="19"/>
      <c r="G20" s="38"/>
      <c r="H20" s="39"/>
      <c r="I20" s="2"/>
      <c r="J20" s="2"/>
      <c r="Z20" s="2" t="s">
        <v>10</v>
      </c>
    </row>
    <row r="21" customFormat="false" ht="22.05" hidden="false" customHeight="true" outlineLevel="0" collapsed="false">
      <c r="A21" s="40" t="s">
        <v>20</v>
      </c>
      <c r="B21" s="40"/>
      <c r="C21" s="40"/>
      <c r="D21" s="40"/>
      <c r="E21" s="27" t="n">
        <f aca="false">B15</f>
        <v>23958.33</v>
      </c>
      <c r="F21" s="19"/>
      <c r="G21" s="43"/>
      <c r="H21" s="44"/>
      <c r="I21" s="2"/>
      <c r="J21" s="2"/>
      <c r="K21" s="2"/>
    </row>
    <row r="22" customFormat="false" ht="17.35" hidden="false" customHeight="false" outlineLevel="0" collapsed="false">
      <c r="A22" s="45"/>
      <c r="B22" s="45"/>
      <c r="C22" s="45"/>
      <c r="D22" s="45"/>
      <c r="E22" s="45"/>
      <c r="F22" s="45"/>
      <c r="G22" s="45"/>
      <c r="H22" s="45"/>
      <c r="J22" s="2"/>
      <c r="K22" s="2"/>
      <c r="P22" s="46"/>
    </row>
    <row r="23" customFormat="false" ht="17.35" hidden="false" customHeight="false" outlineLevel="0" collapsed="false">
      <c r="A23" s="45"/>
      <c r="B23" s="45"/>
      <c r="C23" s="45"/>
      <c r="D23" s="45"/>
      <c r="E23" s="45"/>
      <c r="F23" s="45"/>
      <c r="G23" s="45"/>
      <c r="H23" s="45"/>
      <c r="J23" s="2"/>
      <c r="K23" s="2"/>
      <c r="P23" s="46"/>
    </row>
    <row r="24" customFormat="false" ht="46.5" hidden="false" customHeight="true" outlineLevel="0" collapsed="false">
      <c r="A24" s="47" t="s">
        <v>21</v>
      </c>
      <c r="B24" s="47"/>
      <c r="C24" s="47"/>
      <c r="D24" s="47"/>
      <c r="E24" s="47"/>
      <c r="F24" s="47"/>
      <c r="G24" s="47"/>
      <c r="H24" s="47"/>
      <c r="I24" s="2"/>
      <c r="J24" s="2"/>
      <c r="K24" s="2"/>
      <c r="P24" s="46"/>
    </row>
    <row r="25" customFormat="false" ht="17.35" hidden="false" customHeight="false" outlineLevel="0" collapsed="false">
      <c r="A25" s="48"/>
      <c r="B25" s="49"/>
      <c r="C25" s="49"/>
      <c r="D25" s="49"/>
      <c r="E25" s="49"/>
      <c r="F25" s="49"/>
      <c r="G25" s="49"/>
      <c r="H25" s="50"/>
      <c r="I25" s="2"/>
      <c r="J25" s="2"/>
      <c r="K25" s="2"/>
      <c r="P25" s="46"/>
    </row>
    <row r="26" customFormat="false" ht="17.9" hidden="false" customHeight="false" outlineLevel="0" collapsed="false">
      <c r="A26" s="51" t="s">
        <v>22</v>
      </c>
      <c r="B26" s="52" t="s">
        <v>377</v>
      </c>
      <c r="C26" s="25"/>
      <c r="D26" s="25"/>
      <c r="E26" s="25"/>
      <c r="F26" s="25"/>
      <c r="G26" s="25"/>
      <c r="H26" s="20"/>
      <c r="I26" s="2"/>
      <c r="J26" s="53" t="s">
        <v>23</v>
      </c>
      <c r="K26" s="54" t="s">
        <v>24</v>
      </c>
      <c r="P26" s="46"/>
    </row>
    <row r="27" customFormat="false" ht="17.9" hidden="false" customHeight="false" outlineLevel="0" collapsed="false">
      <c r="A27" s="55"/>
      <c r="B27" s="25"/>
      <c r="C27" s="25"/>
      <c r="D27" s="25"/>
      <c r="E27" s="25"/>
      <c r="F27" s="25"/>
      <c r="G27" s="25"/>
      <c r="H27" s="20"/>
      <c r="I27" s="2"/>
      <c r="J27" s="56" t="s">
        <v>25</v>
      </c>
      <c r="K27" s="57" t="n">
        <v>1</v>
      </c>
      <c r="P27" s="46"/>
    </row>
    <row r="28" customFormat="false" ht="22.05" hidden="false" customHeight="false" outlineLevel="0" collapsed="false">
      <c r="A28" s="58" t="s">
        <v>26</v>
      </c>
      <c r="B28" s="58"/>
      <c r="C28" s="58"/>
      <c r="D28" s="58"/>
      <c r="E28" s="58"/>
      <c r="F28" s="58"/>
      <c r="G28" s="58"/>
      <c r="H28" s="58"/>
      <c r="I28" s="2"/>
      <c r="J28" s="56" t="s">
        <v>27</v>
      </c>
      <c r="K28" s="57"/>
      <c r="P28" s="46"/>
    </row>
    <row r="29" customFormat="false" ht="17.9" hidden="false" customHeight="false" outlineLevel="0" collapsed="false">
      <c r="A29" s="55"/>
      <c r="B29" s="25"/>
      <c r="C29" s="25"/>
      <c r="D29" s="25"/>
      <c r="E29" s="25"/>
      <c r="F29" s="25"/>
      <c r="G29" s="25"/>
      <c r="H29" s="20" t="n">
        <v>36</v>
      </c>
      <c r="I29" s="25"/>
      <c r="J29" s="53" t="s">
        <v>28</v>
      </c>
      <c r="K29" s="59" t="n">
        <v>12.0</v>
      </c>
      <c r="P29" s="46"/>
    </row>
    <row r="30" customFormat="false" ht="17.9" hidden="false" customHeight="false" outlineLevel="0" collapsed="false">
      <c r="A30" s="55" t="s">
        <v>29</v>
      </c>
      <c r="B30" s="60" t="s">
        <v>378</v>
      </c>
      <c r="C30" s="60"/>
      <c r="D30" s="60"/>
      <c r="E30" s="25"/>
      <c r="F30" s="25"/>
      <c r="G30" s="25"/>
      <c r="H30" s="20" t="n">
        <v>10000</v>
      </c>
      <c r="I30" s="25"/>
      <c r="J30" s="53" t="s">
        <v>31</v>
      </c>
      <c r="K30" s="61" t="n">
        <v>10000.0</v>
      </c>
      <c r="P30" s="46"/>
    </row>
    <row r="31" customFormat="false" ht="17.9" hidden="false" customHeight="false" outlineLevel="0" collapsed="false">
      <c r="A31" s="55"/>
      <c r="B31" s="25"/>
      <c r="C31" s="25"/>
      <c r="D31" s="25"/>
      <c r="E31" s="25"/>
      <c r="F31" s="25"/>
      <c r="G31" s="25"/>
      <c r="H31" s="20" t="n">
        <v>27500</v>
      </c>
      <c r="I31" s="25"/>
      <c r="J31" s="53" t="s">
        <v>32</v>
      </c>
      <c r="K31" s="62" t="n">
        <v>0.0</v>
      </c>
      <c r="P31" s="46"/>
    </row>
    <row r="32" customFormat="false" ht="34.3" hidden="false" customHeight="false" outlineLevel="0" collapsed="false">
      <c r="A32" s="55" t="s">
        <v>28</v>
      </c>
      <c r="B32" s="25" t="s">
        <v>33</v>
      </c>
      <c r="C32" s="25"/>
      <c r="D32" s="25"/>
      <c r="E32" s="25" t="s">
        <v>34</v>
      </c>
      <c r="F32" s="25"/>
      <c r="G32" s="25"/>
      <c r="H32" s="20"/>
      <c r="I32" s="2"/>
      <c r="J32" s="53" t="s">
        <v>35</v>
      </c>
      <c r="K32" s="62" t="n">
        <v>275.0</v>
      </c>
      <c r="P32" s="46"/>
    </row>
    <row r="33" customFormat="false" ht="34.8" hidden="false" customHeight="false" outlineLevel="0" collapsed="false">
      <c r="A33" s="63" t="n">
        <f aca="false">A52</f>
        <v>12</v>
      </c>
      <c r="B33" s="64" t="n">
        <f aca="false">B51</f>
        <v>10000</v>
      </c>
      <c r="C33" s="25"/>
      <c r="D33" s="25"/>
      <c r="E33" s="64" t="n">
        <f aca="false">K48</f>
        <v>2090.4347020187</v>
      </c>
      <c r="F33" s="64"/>
      <c r="G33" s="64"/>
      <c r="H33" s="65"/>
      <c r="I33" s="2"/>
      <c r="J33" s="56" t="s">
        <v>36</v>
      </c>
      <c r="K33" s="66" t="n">
        <f aca="false">E21</f>
        <v>23958.33</v>
      </c>
      <c r="L33" s="1" t="n">
        <f aca="false">H21-H11+(H16*20%)</f>
        <v>0</v>
      </c>
      <c r="P33" s="46"/>
    </row>
    <row r="34" customFormat="false" ht="17.35" hidden="false" customHeight="false" outlineLevel="0" collapsed="false">
      <c r="A34" s="55"/>
      <c r="B34" s="25"/>
      <c r="C34" s="25"/>
      <c r="D34" s="25"/>
      <c r="E34" s="67"/>
      <c r="F34" s="67"/>
      <c r="G34" s="67"/>
      <c r="H34" s="65"/>
      <c r="I34" s="2"/>
      <c r="J34" s="2"/>
      <c r="K34" s="2"/>
      <c r="P34" s="46"/>
    </row>
    <row r="35" customFormat="false" ht="21.6" hidden="false" customHeight="false" outlineLevel="0" collapsed="false">
      <c r="A35" s="55" t="s">
        <v>37</v>
      </c>
      <c r="B35" s="25" t="s">
        <v>38</v>
      </c>
      <c r="C35" s="25"/>
      <c r="D35" s="46"/>
      <c r="E35" s="25" t="s">
        <v>39</v>
      </c>
      <c r="F35" s="67"/>
      <c r="G35" s="67"/>
      <c r="H35" s="65"/>
      <c r="I35" s="2"/>
      <c r="J35" s="68" t="s">
        <v>40</v>
      </c>
      <c r="K35" s="0" t="n">
        <v>0.065</v>
      </c>
      <c r="P35" s="46"/>
    </row>
    <row r="36" customFormat="false" ht="17.35" hidden="false" customHeight="false" outlineLevel="0" collapsed="false">
      <c r="A36" s="69" t="n">
        <f aca="false">K47</f>
        <v>2067.51803535204</v>
      </c>
      <c r="B36" s="64" t="n">
        <f aca="false">IF(B26="YES", K42, "0.00")</f>
        <v>22.9166666666667</v>
      </c>
      <c r="C36" s="64"/>
      <c r="D36" s="64"/>
      <c r="E36" s="64" t="n">
        <f aca="false">K31</f>
        <v>0</v>
      </c>
      <c r="F36" s="64"/>
      <c r="G36" s="64"/>
      <c r="H36" s="65"/>
      <c r="I36" s="2"/>
      <c r="J36" s="2" t="s">
        <v>41</v>
      </c>
      <c r="K36" s="2" t="n">
        <f aca="false">K29</f>
        <v>12</v>
      </c>
      <c r="P36" s="46"/>
    </row>
    <row r="37" customFormat="false" ht="17.35" hidden="false" customHeight="false" outlineLevel="0" collapsed="false">
      <c r="A37" s="70"/>
      <c r="B37" s="37"/>
      <c r="C37" s="67"/>
      <c r="D37" s="67"/>
      <c r="E37" s="67"/>
      <c r="F37" s="67"/>
      <c r="G37" s="67"/>
      <c r="H37" s="65"/>
      <c r="I37" s="2"/>
      <c r="J37" s="2"/>
      <c r="K37" s="2"/>
      <c r="P37" s="46"/>
    </row>
    <row r="38" customFormat="false" ht="17.35" hidden="false" customHeight="false" outlineLevel="0" collapsed="false">
      <c r="A38" s="55"/>
      <c r="B38" s="25"/>
      <c r="C38" s="67"/>
      <c r="D38" s="67"/>
      <c r="E38" s="67"/>
      <c r="F38" s="67"/>
      <c r="G38" s="67"/>
      <c r="H38" s="65"/>
      <c r="J38" s="71" t="s">
        <v>42</v>
      </c>
      <c r="K38" s="71"/>
      <c r="L38" s="2" t="n">
        <v>42030.76</v>
      </c>
      <c r="N38" s="1" t="n">
        <f aca="false">80.88*36</f>
        <v>2911.68</v>
      </c>
      <c r="P38" s="46"/>
    </row>
    <row r="39" customFormat="false" ht="17.35" hidden="false" customHeight="false" outlineLevel="0" collapsed="false">
      <c r="A39" s="55" t="s">
        <v>43</v>
      </c>
      <c r="B39" s="25" t="s">
        <v>44</v>
      </c>
      <c r="C39" s="25"/>
      <c r="D39" s="46"/>
      <c r="E39" s="25" t="s">
        <v>45</v>
      </c>
      <c r="F39" s="67"/>
      <c r="G39" s="67"/>
      <c r="H39" s="65"/>
      <c r="J39" s="2" t="s">
        <v>46</v>
      </c>
      <c r="K39" s="2" t="n">
        <f aca="false">K33</f>
        <v>23958.33</v>
      </c>
      <c r="L39" s="2" t="n">
        <f aca="false">(L47*K46)+K44</f>
        <v>9004.81573517688</v>
      </c>
      <c r="N39" s="1" t="n">
        <f aca="false">K39-L39</f>
        <v>14953.5142648231</v>
      </c>
      <c r="P39" s="46"/>
    </row>
    <row r="40" customFormat="false" ht="17.35" hidden="false" customHeight="false" outlineLevel="0" collapsed="false">
      <c r="A40" s="72" t="n">
        <f aca="false">E36*A45/100</f>
        <v>0</v>
      </c>
      <c r="B40" s="72" t="n">
        <f aca="false">IF(B26="YES", K42, "0.00")</f>
        <v>22.9166666666667</v>
      </c>
      <c r="C40" s="72"/>
      <c r="D40" s="72"/>
      <c r="E40" s="73" t="n">
        <f aca="false">K32</f>
        <v>275</v>
      </c>
      <c r="F40" s="67"/>
      <c r="G40" s="67"/>
      <c r="H40" s="65"/>
      <c r="J40" s="2" t="s">
        <v>47</v>
      </c>
      <c r="K40" s="2" t="n">
        <f aca="false">(A40)/1.2</f>
        <v>0</v>
      </c>
      <c r="L40" s="2" t="n">
        <f aca="false">K39-L39</f>
        <v>14953.5142648231</v>
      </c>
      <c r="N40" s="1" t="n">
        <f aca="false">N38-N39</f>
        <v>-12041.8342648231</v>
      </c>
      <c r="P40" s="46"/>
    </row>
    <row r="41" customFormat="false" ht="17.35" hidden="false" customHeight="false" outlineLevel="0" collapsed="false">
      <c r="A41" s="55"/>
      <c r="B41" s="25"/>
      <c r="C41" s="25"/>
      <c r="D41" s="25"/>
      <c r="E41" s="25"/>
      <c r="F41" s="67"/>
      <c r="G41" s="67"/>
      <c r="H41" s="65"/>
      <c r="J41" s="2" t="s">
        <v>48</v>
      </c>
      <c r="K41" s="2" t="n">
        <f aca="false">K35/12</f>
        <v>0.00541666666666667</v>
      </c>
      <c r="L41" s="2"/>
      <c r="P41" s="46"/>
    </row>
    <row r="42" customFormat="false" ht="17.35" hidden="false" customHeight="false" outlineLevel="0" collapsed="false">
      <c r="A42" s="74"/>
      <c r="B42" s="75"/>
      <c r="C42" s="75"/>
      <c r="D42" s="75"/>
      <c r="E42" s="75"/>
      <c r="F42" s="75"/>
      <c r="G42" s="76"/>
      <c r="H42" s="77"/>
      <c r="J42" s="2" t="s">
        <v>49</v>
      </c>
      <c r="K42" s="2" t="n">
        <f aca="false">(K32/K36)*C45/100</f>
        <v>22.9166666666667</v>
      </c>
      <c r="L42" s="2"/>
      <c r="P42" s="46"/>
    </row>
    <row r="43" customFormat="false" ht="17.35" hidden="false" customHeight="false" outlineLevel="0" collapsed="false">
      <c r="A43" s="48"/>
      <c r="B43" s="49"/>
      <c r="C43" s="49"/>
      <c r="D43" s="49"/>
      <c r="E43" s="49"/>
      <c r="F43" s="49"/>
      <c r="G43" s="49"/>
      <c r="H43" s="50"/>
      <c r="J43" s="2" t="s">
        <v>50</v>
      </c>
      <c r="K43" s="2"/>
      <c r="L43" s="2"/>
      <c r="P43" s="46"/>
    </row>
    <row r="44" customFormat="false" ht="17.35" hidden="false" customHeight="false" outlineLevel="0" collapsed="false">
      <c r="A44" s="78" t="s">
        <v>51</v>
      </c>
      <c r="B44" s="25"/>
      <c r="C44" s="79" t="s">
        <v>52</v>
      </c>
      <c r="D44" s="79"/>
      <c r="E44" s="25"/>
      <c r="F44" s="25"/>
      <c r="G44" s="25"/>
      <c r="H44" s="20"/>
      <c r="J44" s="2" t="s">
        <v>53</v>
      </c>
      <c r="K44" s="2" t="n">
        <f aca="false">(K40/(1+K41)^(K36+1))</f>
        <v>0</v>
      </c>
      <c r="L44" s="2"/>
      <c r="P44" s="46"/>
    </row>
    <row r="45" customFormat="false" ht="17.35" hidden="false" customHeight="false" outlineLevel="0" collapsed="false">
      <c r="A45" s="80" t="n">
        <v>100.0</v>
      </c>
      <c r="B45" s="25"/>
      <c r="C45" s="81" t="n">
        <v>100.0</v>
      </c>
      <c r="D45" s="81"/>
      <c r="E45" s="81"/>
      <c r="F45" s="25"/>
      <c r="G45" s="25"/>
      <c r="H45" s="20"/>
      <c r="J45" s="2" t="s">
        <v>54</v>
      </c>
      <c r="K45" s="2" t="n">
        <f aca="false">(K39-K44)</f>
        <v>23958.33</v>
      </c>
      <c r="L45" s="2"/>
      <c r="P45" s="46"/>
    </row>
    <row r="46" customFormat="false" ht="17.35" hidden="false" customHeight="false" outlineLevel="0" collapsed="false">
      <c r="A46" s="74"/>
      <c r="B46" s="75"/>
      <c r="C46" s="75"/>
      <c r="D46" s="75"/>
      <c r="E46" s="75"/>
      <c r="F46" s="75"/>
      <c r="G46" s="75"/>
      <c r="H46" s="82"/>
      <c r="J46" s="2" t="s">
        <v>55</v>
      </c>
      <c r="K46" s="2" t="n">
        <f aca="false">((1-(1/((1+K41)^K36)))/K41)</f>
        <v>11.5879666297182</v>
      </c>
      <c r="L46" s="2"/>
      <c r="P46" s="46"/>
    </row>
    <row r="47" customFormat="false" ht="17.35" hidden="false" customHeight="false" outlineLevel="0" collapsed="false">
      <c r="A47" s="48"/>
      <c r="B47" s="49"/>
      <c r="C47" s="49"/>
      <c r="D47" s="49"/>
      <c r="E47" s="49"/>
      <c r="F47" s="49"/>
      <c r="G47" s="49"/>
      <c r="H47" s="50"/>
      <c r="J47" s="2" t="s">
        <v>56</v>
      </c>
      <c r="K47" s="2" t="n">
        <f aca="false">K45/K46</f>
        <v>2067.51803535204</v>
      </c>
      <c r="L47" s="2" t="n">
        <f aca="false">L49-K42</f>
        <v>777.083333333333</v>
      </c>
      <c r="M47" s="1" t="n">
        <f aca="false">K47-L47</f>
        <v>1290.4347020187</v>
      </c>
      <c r="P47" s="46"/>
    </row>
    <row r="48" customFormat="false" ht="31.8" hidden="false" customHeight="false" outlineLevel="0" collapsed="false">
      <c r="A48" s="83" t="s">
        <v>57</v>
      </c>
      <c r="B48" s="25"/>
      <c r="C48" s="25"/>
      <c r="D48" s="84"/>
      <c r="E48" s="84"/>
      <c r="F48" s="84"/>
      <c r="G48" s="84"/>
      <c r="H48" s="85"/>
      <c r="J48" s="86" t="s">
        <v>58</v>
      </c>
      <c r="K48" s="2" t="n">
        <f aca="false">IF(B26="YES", K47+K42, K47)</f>
        <v>2090.4347020187</v>
      </c>
      <c r="L48" s="2"/>
      <c r="P48" s="46"/>
    </row>
    <row r="49" customFormat="false" ht="17.35" hidden="false" customHeight="false" outlineLevel="0" collapsed="false">
      <c r="A49" s="55"/>
      <c r="B49" s="87"/>
      <c r="C49" s="87"/>
      <c r="D49" s="25"/>
      <c r="E49" s="25"/>
      <c r="F49" s="25"/>
      <c r="G49" s="25"/>
      <c r="H49" s="20"/>
      <c r="J49" s="2" t="s">
        <v>59</v>
      </c>
      <c r="K49" s="2"/>
      <c r="L49" s="2" t="n">
        <v>800</v>
      </c>
      <c r="P49" s="46"/>
    </row>
    <row r="50" customFormat="false" ht="19.7" hidden="false" customHeight="false" outlineLevel="0" collapsed="false">
      <c r="A50" s="88" t="s">
        <v>28</v>
      </c>
      <c r="B50" s="89" t="s">
        <v>33</v>
      </c>
      <c r="C50" s="89"/>
      <c r="D50" s="89"/>
      <c r="E50" s="25"/>
      <c r="F50" s="25"/>
      <c r="G50" s="25"/>
      <c r="H50" s="20"/>
      <c r="I50" s="2"/>
      <c r="J50" s="2"/>
      <c r="K50" s="2"/>
      <c r="P50" s="46"/>
    </row>
    <row r="51" customFormat="false" ht="19.5" hidden="false" customHeight="true" outlineLevel="0" collapsed="false">
      <c r="A51" s="88"/>
      <c r="B51" s="90" t="n">
        <f aca="false">K30</f>
        <v>10000</v>
      </c>
      <c r="C51" s="90"/>
      <c r="D51" s="90"/>
      <c r="E51" s="25"/>
      <c r="F51" s="25"/>
      <c r="G51" s="25"/>
      <c r="H51" s="20"/>
      <c r="I51" s="2"/>
      <c r="J51" s="2"/>
      <c r="K51" s="2"/>
      <c r="P51" s="46"/>
    </row>
    <row r="52" customFormat="false" ht="17.35" hidden="false" customHeight="false" outlineLevel="0" collapsed="false">
      <c r="A52" s="91" t="n">
        <f aca="false">K29</f>
        <v>12</v>
      </c>
      <c r="B52" s="92" t="n">
        <f aca="false">K48</f>
        <v>2090.4347020187</v>
      </c>
      <c r="C52" s="92"/>
      <c r="D52" s="92"/>
      <c r="E52" s="25"/>
      <c r="F52" s="25"/>
      <c r="G52" s="25"/>
      <c r="H52" s="20"/>
      <c r="I52" s="2"/>
      <c r="J52" s="2"/>
      <c r="K52" s="2"/>
      <c r="P52" s="46"/>
    </row>
    <row r="53" customFormat="false" ht="17.35" hidden="false" customHeight="false" outlineLevel="0" collapsed="false">
      <c r="A53" s="55"/>
      <c r="B53" s="25"/>
      <c r="C53" s="25"/>
      <c r="D53" s="25"/>
      <c r="E53" s="25"/>
      <c r="F53" s="25"/>
      <c r="G53" s="25"/>
      <c r="H53" s="20"/>
      <c r="I53" s="2"/>
      <c r="J53" s="2"/>
      <c r="K53" s="2"/>
      <c r="P53" s="46"/>
    </row>
    <row r="54" customFormat="false" ht="17.35" hidden="false" customHeight="false" outlineLevel="0" collapsed="false">
      <c r="A54" s="74"/>
      <c r="B54" s="75"/>
      <c r="C54" s="75"/>
      <c r="D54" s="75"/>
      <c r="E54" s="75"/>
      <c r="F54" s="75"/>
      <c r="G54" s="75"/>
      <c r="H54" s="82"/>
      <c r="I54" s="2"/>
      <c r="J54" s="2"/>
      <c r="K54" s="2"/>
      <c r="P54" s="46"/>
    </row>
    <row r="55" customFormat="false" ht="17.35" hidden="false" customHeight="false" outlineLevel="0" collapsed="false">
      <c r="A55" s="45"/>
      <c r="B55" s="45"/>
      <c r="C55" s="45"/>
      <c r="D55" s="45"/>
      <c r="E55" s="45"/>
      <c r="F55" s="45"/>
      <c r="G55" s="45"/>
      <c r="H55" s="45"/>
      <c r="J55" s="2"/>
      <c r="K55" s="2"/>
      <c r="P55" s="46"/>
    </row>
    <row r="56" customFormat="false" ht="17.35" hidden="false" customHeight="false" outlineLevel="0" collapsed="false">
      <c r="A56" s="45"/>
      <c r="B56" s="45"/>
      <c r="C56" s="45"/>
      <c r="D56" s="45"/>
      <c r="E56" s="45"/>
      <c r="F56" s="45"/>
      <c r="G56" s="45"/>
      <c r="H56" s="45"/>
      <c r="J56" s="2"/>
      <c r="K56" s="2"/>
      <c r="P56" s="46"/>
    </row>
    <row r="57" customFormat="false" ht="17.35" hidden="false" customHeight="false" outlineLevel="0" collapsed="false">
      <c r="A57" s="48"/>
      <c r="B57" s="49"/>
      <c r="C57" s="49"/>
      <c r="D57" s="49"/>
      <c r="E57" s="93"/>
      <c r="F57" s="93"/>
      <c r="G57" s="93"/>
      <c r="H57" s="50"/>
      <c r="J57" s="48"/>
      <c r="K57" s="49"/>
      <c r="L57" s="49"/>
      <c r="M57" s="49"/>
      <c r="N57" s="93"/>
      <c r="O57" s="93"/>
      <c r="P57" s="93"/>
      <c r="Q57" s="50"/>
      <c r="S57" s="48"/>
      <c r="T57" s="49"/>
      <c r="U57" s="49"/>
      <c r="V57" s="49"/>
      <c r="W57" s="93"/>
      <c r="X57" s="93"/>
      <c r="Y57" s="93"/>
      <c r="Z57" s="50"/>
      <c r="AB57" s="48"/>
      <c r="AC57" s="49"/>
      <c r="AD57" s="49"/>
      <c r="AE57" s="49"/>
      <c r="AF57" s="93"/>
      <c r="AG57" s="93"/>
      <c r="AH57" s="93"/>
      <c r="AI57" s="50"/>
    </row>
    <row r="58" customFormat="false" ht="17.35" hidden="false" customHeight="false" outlineLevel="0" collapsed="false">
      <c r="A58" s="55" t="s">
        <v>46</v>
      </c>
      <c r="B58" s="25" t="n">
        <v>1</v>
      </c>
      <c r="C58" s="25"/>
      <c r="D58" s="25"/>
      <c r="E58" s="94"/>
      <c r="F58" s="94"/>
      <c r="G58" s="94"/>
      <c r="H58" s="20"/>
      <c r="J58" s="55" t="s">
        <v>46</v>
      </c>
      <c r="K58" s="25" t="n">
        <v>1</v>
      </c>
      <c r="L58" s="25"/>
      <c r="M58" s="25"/>
      <c r="N58" s="94"/>
      <c r="O58" s="94"/>
      <c r="P58" s="94"/>
      <c r="Q58" s="20"/>
      <c r="S58" s="55" t="s">
        <v>46</v>
      </c>
      <c r="T58" s="25" t="n">
        <v>1</v>
      </c>
      <c r="U58" s="25"/>
      <c r="V58" s="25"/>
      <c r="W58" s="94"/>
      <c r="X58" s="94"/>
      <c r="Y58" s="94"/>
      <c r="Z58" s="20"/>
      <c r="AB58" s="55" t="s">
        <v>46</v>
      </c>
      <c r="AC58" s="25" t="n">
        <v>1</v>
      </c>
      <c r="AD58" s="25"/>
      <c r="AE58" s="25"/>
      <c r="AF58" s="94"/>
      <c r="AG58" s="94"/>
      <c r="AH58" s="94"/>
      <c r="AI58" s="20"/>
    </row>
    <row r="59" customFormat="false" ht="17.35" hidden="false" customHeight="false" outlineLevel="0" collapsed="false">
      <c r="A59" s="55" t="s">
        <v>60</v>
      </c>
      <c r="B59" s="25" t="n">
        <f aca="false">K29-B58</f>
        <v>11</v>
      </c>
      <c r="C59" s="25"/>
      <c r="D59" s="25"/>
      <c r="E59" s="94"/>
      <c r="F59" s="94"/>
      <c r="G59" s="94"/>
      <c r="H59" s="20"/>
      <c r="J59" s="55" t="s">
        <v>60</v>
      </c>
      <c r="K59" s="25" t="n">
        <f aca="false">K29-K58</f>
        <v>11</v>
      </c>
      <c r="L59" s="25"/>
      <c r="M59" s="25"/>
      <c r="N59" s="94"/>
      <c r="O59" s="94"/>
      <c r="P59" s="94"/>
      <c r="Q59" s="20"/>
      <c r="S59" s="55" t="s">
        <v>60</v>
      </c>
      <c r="T59" s="25" t="n">
        <f aca="false">K29-T58</f>
        <v>11</v>
      </c>
      <c r="U59" s="25"/>
      <c r="V59" s="25"/>
      <c r="W59" s="94"/>
      <c r="X59" s="94"/>
      <c r="Y59" s="94"/>
      <c r="Z59" s="20"/>
      <c r="AB59" s="55" t="s">
        <v>60</v>
      </c>
      <c r="AC59" s="25" t="n">
        <f aca="false">K29-AC58</f>
        <v>11</v>
      </c>
      <c r="AD59" s="25"/>
      <c r="AE59" s="25"/>
      <c r="AF59" s="94"/>
      <c r="AG59" s="94"/>
      <c r="AH59" s="94"/>
      <c r="AI59" s="20"/>
    </row>
    <row r="60" customFormat="false" ht="17.35" hidden="false" customHeight="false" outlineLevel="0" collapsed="false">
      <c r="A60" s="95" t="s">
        <v>61</v>
      </c>
      <c r="B60" s="96" t="n">
        <v>10.0</v>
      </c>
      <c r="C60" s="25"/>
      <c r="D60" s="25"/>
      <c r="E60" s="94"/>
      <c r="F60" s="94"/>
      <c r="G60" s="94"/>
      <c r="H60" s="20"/>
      <c r="J60" s="95" t="s">
        <v>61</v>
      </c>
      <c r="K60" s="96" t="n">
        <v>20</v>
      </c>
      <c r="L60" s="25"/>
      <c r="M60" s="25"/>
      <c r="N60" s="94"/>
      <c r="O60" s="94"/>
      <c r="P60" s="94"/>
      <c r="Q60" s="20"/>
      <c r="S60" s="95" t="s">
        <v>61</v>
      </c>
      <c r="T60" s="96" t="n">
        <v>10</v>
      </c>
      <c r="U60" s="25"/>
      <c r="V60" s="25"/>
      <c r="W60" s="94"/>
      <c r="X60" s="94"/>
      <c r="Y60" s="94"/>
      <c r="Z60" s="20"/>
      <c r="AB60" s="95" t="s">
        <v>61</v>
      </c>
      <c r="AC60" s="96" t="n">
        <v>10</v>
      </c>
      <c r="AD60" s="25"/>
      <c r="AE60" s="25"/>
      <c r="AF60" s="94"/>
      <c r="AG60" s="94"/>
      <c r="AH60" s="94"/>
      <c r="AI60" s="20"/>
    </row>
    <row r="61" customFormat="false" ht="17.35" hidden="false" customHeight="false" outlineLevel="0" collapsed="false">
      <c r="A61" s="55" t="s">
        <v>16</v>
      </c>
      <c r="B61" s="25" t="n">
        <f aca="false">J18</f>
        <v>37405</v>
      </c>
      <c r="C61" s="25"/>
      <c r="D61" s="25"/>
      <c r="E61" s="94"/>
      <c r="F61" s="94"/>
      <c r="G61" s="94"/>
      <c r="H61" s="20"/>
      <c r="J61" s="55" t="s">
        <v>16</v>
      </c>
      <c r="K61" s="25" t="n">
        <f aca="false">J18</f>
        <v>37405</v>
      </c>
      <c r="L61" s="25"/>
      <c r="M61" s="25"/>
      <c r="N61" s="94"/>
      <c r="O61" s="94"/>
      <c r="P61" s="94"/>
      <c r="Q61" s="20"/>
      <c r="S61" s="55" t="s">
        <v>16</v>
      </c>
      <c r="T61" s="25" t="n">
        <f aca="false">J18</f>
        <v>37405</v>
      </c>
      <c r="U61" s="25"/>
      <c r="V61" s="25"/>
      <c r="W61" s="94"/>
      <c r="X61" s="94"/>
      <c r="Y61" s="94"/>
      <c r="Z61" s="20"/>
      <c r="AB61" s="55" t="s">
        <v>16</v>
      </c>
      <c r="AC61" s="25" t="n">
        <f aca="false">J18</f>
        <v>37405</v>
      </c>
      <c r="AD61" s="25"/>
      <c r="AE61" s="25"/>
      <c r="AF61" s="94"/>
      <c r="AG61" s="94"/>
      <c r="AH61" s="94"/>
      <c r="AI61" s="20"/>
    </row>
    <row r="62" customFormat="false" ht="17.35" hidden="false" customHeight="false" outlineLevel="0" collapsed="false">
      <c r="A62" s="97" t="s">
        <v>62</v>
      </c>
      <c r="B62" s="98" t="n">
        <v>0.0105</v>
      </c>
      <c r="C62" s="25"/>
      <c r="D62" s="25"/>
      <c r="E62" s="94"/>
      <c r="F62" s="94"/>
      <c r="G62" s="94"/>
      <c r="H62" s="20"/>
      <c r="J62" s="97" t="s">
        <v>62</v>
      </c>
      <c r="K62" s="98" t="n">
        <v>0.06</v>
      </c>
      <c r="L62" s="25"/>
      <c r="M62" s="25"/>
      <c r="N62" s="94"/>
      <c r="O62" s="94"/>
      <c r="P62" s="94"/>
      <c r="Q62" s="20"/>
      <c r="S62" s="97" t="s">
        <v>62</v>
      </c>
      <c r="T62" s="98" t="n">
        <f aca="false">IF(AND(K29&gt;= 12, K29&lt;=24), 0.0105, IF(AND(K29&gt;=48), -0.0075, 0))</f>
        <v>0.0105</v>
      </c>
      <c r="U62" s="25"/>
      <c r="V62" s="25"/>
      <c r="W62" s="94"/>
      <c r="X62" s="94"/>
      <c r="Y62" s="94"/>
      <c r="Z62" s="20"/>
      <c r="AB62" s="97" t="s">
        <v>62</v>
      </c>
      <c r="AC62" s="98" t="n">
        <f aca="false">IF(AND(K29&gt;= 12, K29&lt;=24), 0.0105, IF(AND(K29&gt;=48), -0.0075, 0))</f>
        <v>0.0105</v>
      </c>
      <c r="AD62" s="25"/>
      <c r="AE62" s="25"/>
      <c r="AF62" s="94"/>
      <c r="AG62" s="94"/>
      <c r="AH62" s="94"/>
      <c r="AI62" s="20"/>
    </row>
    <row r="63" customFormat="false" ht="17.35" hidden="false" customHeight="false" outlineLevel="0" collapsed="false">
      <c r="A63" s="99" t="s">
        <v>63</v>
      </c>
      <c r="B63" s="100" t="n">
        <v>0.065</v>
      </c>
      <c r="C63" s="25"/>
      <c r="D63" s="25"/>
      <c r="E63" s="94"/>
      <c r="F63" s="94"/>
      <c r="G63" s="94"/>
      <c r="H63" s="20"/>
      <c r="J63" s="99" t="s">
        <v>63</v>
      </c>
      <c r="K63" s="100" t="n">
        <v>0.08</v>
      </c>
      <c r="L63" s="25"/>
      <c r="M63" s="25"/>
      <c r="N63" s="94"/>
      <c r="O63" s="94"/>
      <c r="P63" s="94"/>
      <c r="Q63" s="20"/>
      <c r="S63" s="99" t="s">
        <v>63</v>
      </c>
      <c r="T63" s="100" t="n">
        <v>0.059</v>
      </c>
      <c r="U63" s="25"/>
      <c r="V63" s="25"/>
      <c r="W63" s="94"/>
      <c r="X63" s="94"/>
      <c r="Y63" s="94"/>
      <c r="Z63" s="20"/>
      <c r="AB63" s="99" t="s">
        <v>63</v>
      </c>
      <c r="AC63" s="100" t="n">
        <v>0.059</v>
      </c>
      <c r="AD63" s="25"/>
      <c r="AE63" s="25"/>
      <c r="AF63" s="94"/>
      <c r="AG63" s="94"/>
      <c r="AH63" s="94"/>
      <c r="AI63" s="20"/>
    </row>
    <row r="64" customFormat="false" ht="17.35" hidden="false" customHeight="false" outlineLevel="0" collapsed="false">
      <c r="A64" s="101" t="s">
        <v>64</v>
      </c>
      <c r="B64" s="102" t="n">
        <v>0.05</v>
      </c>
      <c r="C64" s="25"/>
      <c r="D64" s="25"/>
      <c r="E64" s="94"/>
      <c r="F64" s="94"/>
      <c r="G64" s="94"/>
      <c r="H64" s="20"/>
      <c r="J64" s="101" t="s">
        <v>64</v>
      </c>
      <c r="K64" s="102" t="n">
        <v>0.1</v>
      </c>
      <c r="L64" s="25"/>
      <c r="M64" s="25"/>
      <c r="N64" s="94"/>
      <c r="O64" s="94"/>
      <c r="P64" s="94"/>
      <c r="Q64" s="20"/>
      <c r="S64" s="101" t="s">
        <v>64</v>
      </c>
      <c r="T64" s="102" t="n">
        <f aca="false">IF(T108=AP108, 2.4%, 7.2%)</f>
        <v>0.072</v>
      </c>
      <c r="U64" s="25"/>
      <c r="V64" s="25"/>
      <c r="W64" s="94"/>
      <c r="X64" s="94"/>
      <c r="Y64" s="94"/>
      <c r="Z64" s="20"/>
      <c r="AB64" s="101" t="s">
        <v>64</v>
      </c>
      <c r="AC64" s="102" t="n">
        <f aca="false">IF(AC108=AP108, 2.4%, 7.2%)</f>
        <v>0.072</v>
      </c>
      <c r="AD64" s="25"/>
      <c r="AE64" s="25"/>
      <c r="AF64" s="94"/>
      <c r="AG64" s="94"/>
      <c r="AH64" s="94"/>
      <c r="AI64" s="20"/>
    </row>
    <row r="65" customFormat="false" ht="17.35" hidden="false" customHeight="false" outlineLevel="0" collapsed="false">
      <c r="A65" s="74" t="s">
        <v>65</v>
      </c>
      <c r="B65" s="82" t="n">
        <f aca="false">(B89*B59)-(K47*K29)</f>
        <v>2744.12058381038</v>
      </c>
      <c r="C65" s="25"/>
      <c r="D65" s="25"/>
      <c r="E65" s="94"/>
      <c r="F65" s="94"/>
      <c r="G65" s="94"/>
      <c r="H65" s="20"/>
      <c r="J65" s="74" t="s">
        <v>65</v>
      </c>
      <c r="K65" s="82" t="e">
        <f aca="false">(K89*K59)-(K47*K29)</f>
        <v>#VALUE!</v>
      </c>
      <c r="L65" s="25"/>
      <c r="M65" s="25"/>
      <c r="N65" s="94"/>
      <c r="O65" s="94"/>
      <c r="P65" s="94"/>
      <c r="Q65" s="20"/>
      <c r="S65" s="74" t="s">
        <v>65</v>
      </c>
      <c r="T65" s="82" t="e">
        <f aca="false">(T89*T59)-(K47*K29)</f>
        <v>#VALUE!</v>
      </c>
      <c r="U65" s="25"/>
      <c r="V65" s="25"/>
      <c r="W65" s="94"/>
      <c r="X65" s="94"/>
      <c r="Y65" s="94"/>
      <c r="Z65" s="20"/>
      <c r="AB65" s="74" t="s">
        <v>65</v>
      </c>
      <c r="AC65" s="82" t="e">
        <f aca="false">(AC89*AC59)-(K47*K29)</f>
        <v>#VALUE!</v>
      </c>
      <c r="AD65" s="25"/>
      <c r="AE65" s="25"/>
      <c r="AF65" s="94"/>
      <c r="AG65" s="94"/>
      <c r="AH65" s="94"/>
      <c r="AI65" s="20"/>
    </row>
    <row r="66" customFormat="false" ht="17.35" hidden="false" customHeight="false" outlineLevel="0" collapsed="false">
      <c r="A66" s="97" t="s">
        <v>66</v>
      </c>
      <c r="B66" s="98" t="n">
        <v>0.005</v>
      </c>
      <c r="C66" s="25"/>
      <c r="D66" s="25"/>
      <c r="E66" s="94"/>
      <c r="F66" s="94"/>
      <c r="G66" s="94"/>
      <c r="H66" s="20"/>
      <c r="J66" s="97" t="s">
        <v>66</v>
      </c>
      <c r="K66" s="98" t="n">
        <v>0.05</v>
      </c>
      <c r="L66" s="25"/>
      <c r="M66" s="25"/>
      <c r="N66" s="94"/>
      <c r="O66" s="94"/>
      <c r="P66" s="94"/>
      <c r="Q66" s="20"/>
      <c r="S66" s="97" t="s">
        <v>66</v>
      </c>
      <c r="T66" s="98" t="n">
        <v>0.005</v>
      </c>
      <c r="U66" s="25"/>
      <c r="V66" s="25"/>
      <c r="W66" s="94"/>
      <c r="X66" s="94"/>
      <c r="Y66" s="94"/>
      <c r="Z66" s="20"/>
      <c r="AB66" s="97" t="s">
        <v>66</v>
      </c>
      <c r="AC66" s="98" t="n">
        <v>0.005</v>
      </c>
      <c r="AD66" s="25"/>
      <c r="AE66" s="25"/>
      <c r="AF66" s="94"/>
      <c r="AG66" s="94"/>
      <c r="AH66" s="94"/>
      <c r="AI66" s="20"/>
    </row>
    <row r="67" customFormat="false" ht="17.35" hidden="false" customHeight="false" outlineLevel="0" collapsed="false">
      <c r="A67" s="55" t="s">
        <v>67</v>
      </c>
      <c r="B67" s="103" t="n">
        <f aca="false">B66+(B66*0.5*(K29/12-1))</f>
        <v>0.005</v>
      </c>
      <c r="C67" s="25"/>
      <c r="D67" s="25"/>
      <c r="E67" s="94"/>
      <c r="F67" s="94"/>
      <c r="G67" s="94"/>
      <c r="H67" s="20"/>
      <c r="J67" s="55" t="s">
        <v>67</v>
      </c>
      <c r="K67" s="103" t="n">
        <f aca="false">K66+(K66*0.25*(K29/12-1))</f>
        <v>0.05</v>
      </c>
      <c r="L67" s="25"/>
      <c r="M67" s="25"/>
      <c r="N67" s="94"/>
      <c r="O67" s="94"/>
      <c r="P67" s="94"/>
      <c r="Q67" s="20"/>
      <c r="S67" s="55" t="s">
        <v>67</v>
      </c>
      <c r="T67" s="103" t="n">
        <f aca="false">T66+(T66*0.5*(K29/12-1))</f>
        <v>0.005</v>
      </c>
      <c r="U67" s="25"/>
      <c r="V67" s="25"/>
      <c r="W67" s="94"/>
      <c r="X67" s="94"/>
      <c r="Y67" s="94"/>
      <c r="Z67" s="20"/>
      <c r="AB67" s="55" t="s">
        <v>67</v>
      </c>
      <c r="AC67" s="103" t="n">
        <f aca="false">AC66+(AC66*0.5*(K29/12-1))</f>
        <v>0.005</v>
      </c>
      <c r="AD67" s="25"/>
      <c r="AE67" s="25"/>
      <c r="AF67" s="94"/>
      <c r="AG67" s="94"/>
      <c r="AH67" s="94"/>
      <c r="AI67" s="20"/>
    </row>
    <row r="68" customFormat="false" ht="17.35" hidden="false" customHeight="false" outlineLevel="0" collapsed="false">
      <c r="A68" s="74" t="s">
        <v>68</v>
      </c>
      <c r="B68" s="82" t="n">
        <f aca="false">(G158*B67)/1.2</f>
        <v>118.749983333333</v>
      </c>
      <c r="C68" s="25"/>
      <c r="D68" s="25"/>
      <c r="E68" s="94"/>
      <c r="F68" s="94"/>
      <c r="G68" s="94"/>
      <c r="H68" s="20"/>
      <c r="J68" s="74" t="s">
        <v>68</v>
      </c>
      <c r="K68" s="82" t="n">
        <f aca="false">K61*K67</f>
        <v>1870.25</v>
      </c>
      <c r="L68" s="25"/>
      <c r="M68" s="25"/>
      <c r="N68" s="94"/>
      <c r="O68" s="94"/>
      <c r="P68" s="94"/>
      <c r="Q68" s="20"/>
      <c r="S68" s="74" t="s">
        <v>68</v>
      </c>
      <c r="T68" s="82" t="n">
        <f aca="false">T61*T67</f>
        <v>187.025</v>
      </c>
      <c r="U68" s="25"/>
      <c r="V68" s="25"/>
      <c r="W68" s="94"/>
      <c r="X68" s="94"/>
      <c r="Y68" s="94"/>
      <c r="Z68" s="20"/>
      <c r="AB68" s="74" t="s">
        <v>68</v>
      </c>
      <c r="AC68" s="82" t="e">
        <f aca="false">AH158*AC67</f>
        <v>#VALUE!</v>
      </c>
      <c r="AD68" s="25"/>
      <c r="AE68" s="25"/>
      <c r="AF68" s="94"/>
      <c r="AG68" s="94"/>
      <c r="AH68" s="94"/>
      <c r="AI68" s="20"/>
    </row>
    <row r="69" customFormat="false" ht="17.35" hidden="false" customHeight="false" outlineLevel="0" collapsed="false">
      <c r="A69" s="97" t="s">
        <v>69</v>
      </c>
      <c r="B69" s="98" t="n">
        <v>0</v>
      </c>
      <c r="C69" s="25"/>
      <c r="D69" s="25"/>
      <c r="E69" s="94"/>
      <c r="F69" s="94"/>
      <c r="G69" s="94"/>
      <c r="H69" s="20"/>
      <c r="J69" s="97" t="s">
        <v>69</v>
      </c>
      <c r="K69" s="98" t="n">
        <v>0</v>
      </c>
      <c r="L69" s="25"/>
      <c r="M69" s="25"/>
      <c r="N69" s="94"/>
      <c r="O69" s="94"/>
      <c r="P69" s="94"/>
      <c r="Q69" s="20"/>
      <c r="S69" s="97" t="s">
        <v>69</v>
      </c>
      <c r="T69" s="98" t="n">
        <v>0</v>
      </c>
      <c r="U69" s="25"/>
      <c r="V69" s="25"/>
      <c r="W69" s="94"/>
      <c r="X69" s="94"/>
      <c r="Y69" s="94"/>
      <c r="Z69" s="20"/>
      <c r="AB69" s="97" t="s">
        <v>69</v>
      </c>
      <c r="AC69" s="98" t="n">
        <v>0</v>
      </c>
      <c r="AD69" s="25"/>
      <c r="AE69" s="25"/>
      <c r="AF69" s="94"/>
      <c r="AG69" s="94"/>
      <c r="AH69" s="94"/>
      <c r="AI69" s="20"/>
    </row>
    <row r="70" customFormat="false" ht="17.35" hidden="false" customHeight="false" outlineLevel="0" collapsed="false">
      <c r="A70" s="99" t="s">
        <v>70</v>
      </c>
      <c r="B70" s="100" t="n">
        <v>0</v>
      </c>
      <c r="C70" s="25"/>
      <c r="D70" s="25"/>
      <c r="E70" s="94"/>
      <c r="F70" s="94"/>
      <c r="G70" s="94"/>
      <c r="H70" s="20"/>
      <c r="J70" s="99" t="s">
        <v>70</v>
      </c>
      <c r="K70" s="100" t="n">
        <v>0</v>
      </c>
      <c r="L70" s="25"/>
      <c r="M70" s="25"/>
      <c r="N70" s="94"/>
      <c r="O70" s="94"/>
      <c r="P70" s="94"/>
      <c r="Q70" s="20"/>
      <c r="S70" s="99" t="s">
        <v>70</v>
      </c>
      <c r="T70" s="100" t="n">
        <v>0</v>
      </c>
      <c r="U70" s="25"/>
      <c r="V70" s="25"/>
      <c r="W70" s="94"/>
      <c r="X70" s="94"/>
      <c r="Y70" s="94"/>
      <c r="Z70" s="20"/>
      <c r="AB70" s="99" t="s">
        <v>70</v>
      </c>
      <c r="AC70" s="100" t="n">
        <v>0</v>
      </c>
      <c r="AD70" s="25"/>
      <c r="AE70" s="25"/>
      <c r="AF70" s="94"/>
      <c r="AG70" s="94"/>
      <c r="AH70" s="94"/>
      <c r="AI70" s="20"/>
    </row>
    <row r="71" customFormat="false" ht="17.35" hidden="false" customHeight="false" outlineLevel="0" collapsed="false">
      <c r="A71" s="74" t="s">
        <v>71</v>
      </c>
      <c r="B71" s="104" t="n">
        <f aca="false">B69*(1+B70)</f>
        <v>0</v>
      </c>
      <c r="C71" s="25"/>
      <c r="D71" s="25"/>
      <c r="E71" s="94"/>
      <c r="F71" s="94"/>
      <c r="G71" s="94"/>
      <c r="H71" s="20"/>
      <c r="J71" s="74" t="s">
        <v>71</v>
      </c>
      <c r="K71" s="104" t="n">
        <f aca="false">K69*(1+K70)</f>
        <v>0</v>
      </c>
      <c r="L71" s="25"/>
      <c r="M71" s="25"/>
      <c r="N71" s="94"/>
      <c r="O71" s="94"/>
      <c r="P71" s="94"/>
      <c r="Q71" s="20"/>
      <c r="S71" s="74" t="s">
        <v>71</v>
      </c>
      <c r="T71" s="104" t="n">
        <f aca="false">T69*(1+T70)</f>
        <v>0</v>
      </c>
      <c r="U71" s="25"/>
      <c r="V71" s="25"/>
      <c r="W71" s="94"/>
      <c r="X71" s="94"/>
      <c r="Y71" s="94"/>
      <c r="Z71" s="20"/>
      <c r="AB71" s="74" t="s">
        <v>71</v>
      </c>
      <c r="AC71" s="104" t="n">
        <f aca="false">AC69*(1+AC70)</f>
        <v>0</v>
      </c>
      <c r="AD71" s="25"/>
      <c r="AE71" s="25"/>
      <c r="AF71" s="94"/>
      <c r="AG71" s="94"/>
      <c r="AH71" s="94"/>
      <c r="AI71" s="20"/>
    </row>
    <row r="72" customFormat="false" ht="17.35" hidden="false" customHeight="false" outlineLevel="0" collapsed="false">
      <c r="A72" s="97" t="s">
        <v>72</v>
      </c>
      <c r="B72" s="105" t="n">
        <v>0</v>
      </c>
      <c r="C72" s="25"/>
      <c r="D72" s="25"/>
      <c r="E72" s="94"/>
      <c r="F72" s="94"/>
      <c r="G72" s="94"/>
      <c r="H72" s="20"/>
      <c r="J72" s="97" t="s">
        <v>72</v>
      </c>
      <c r="K72" s="105" t="n">
        <v>0</v>
      </c>
      <c r="L72" s="25"/>
      <c r="M72" s="25"/>
      <c r="N72" s="94"/>
      <c r="O72" s="94"/>
      <c r="P72" s="94"/>
      <c r="Q72" s="20"/>
      <c r="S72" s="97" t="s">
        <v>72</v>
      </c>
      <c r="T72" s="105" t="n">
        <v>0</v>
      </c>
      <c r="U72" s="25"/>
      <c r="V72" s="25"/>
      <c r="W72" s="94"/>
      <c r="X72" s="94"/>
      <c r="Y72" s="94"/>
      <c r="Z72" s="20"/>
      <c r="AB72" s="97" t="s">
        <v>72</v>
      </c>
      <c r="AC72" s="105" t="n">
        <v>0</v>
      </c>
      <c r="AD72" s="25"/>
      <c r="AE72" s="25"/>
      <c r="AF72" s="94"/>
      <c r="AG72" s="94"/>
      <c r="AH72" s="94"/>
      <c r="AI72" s="20"/>
    </row>
    <row r="73" customFormat="false" ht="17.35" hidden="false" customHeight="false" outlineLevel="0" collapsed="false">
      <c r="A73" s="99" t="s">
        <v>73</v>
      </c>
      <c r="B73" s="96" t="n">
        <v>0</v>
      </c>
      <c r="C73" s="25"/>
      <c r="D73" s="25"/>
      <c r="E73" s="94"/>
      <c r="F73" s="94"/>
      <c r="G73" s="94"/>
      <c r="H73" s="20"/>
      <c r="J73" s="99" t="s">
        <v>73</v>
      </c>
      <c r="K73" s="96" t="n">
        <v>0</v>
      </c>
      <c r="L73" s="25"/>
      <c r="M73" s="25"/>
      <c r="N73" s="94"/>
      <c r="O73" s="94"/>
      <c r="P73" s="94"/>
      <c r="Q73" s="20"/>
      <c r="S73" s="99" t="s">
        <v>73</v>
      </c>
      <c r="T73" s="96" t="n">
        <v>0</v>
      </c>
      <c r="U73" s="25"/>
      <c r="V73" s="25"/>
      <c r="W73" s="94"/>
      <c r="X73" s="94"/>
      <c r="Y73" s="94"/>
      <c r="Z73" s="20"/>
      <c r="AB73" s="99" t="s">
        <v>73</v>
      </c>
      <c r="AC73" s="96" t="n">
        <v>0</v>
      </c>
      <c r="AD73" s="25"/>
      <c r="AE73" s="25"/>
      <c r="AF73" s="94"/>
      <c r="AG73" s="94"/>
      <c r="AH73" s="94"/>
      <c r="AI73" s="20"/>
    </row>
    <row r="74" customFormat="false" ht="17.35" hidden="false" customHeight="false" outlineLevel="0" collapsed="false">
      <c r="A74" s="74" t="s">
        <v>74</v>
      </c>
      <c r="B74" s="82" t="n">
        <f aca="false">B73*K29</f>
        <v>0</v>
      </c>
      <c r="C74" s="25"/>
      <c r="D74" s="25" t="n">
        <f aca="false">B74+B72</f>
        <v>0</v>
      </c>
      <c r="E74" s="94"/>
      <c r="F74" s="94"/>
      <c r="G74" s="94"/>
      <c r="H74" s="20"/>
      <c r="J74" s="74" t="s">
        <v>74</v>
      </c>
      <c r="K74" s="82" t="n">
        <f aca="false">K73*K29</f>
        <v>0</v>
      </c>
      <c r="L74" s="25"/>
      <c r="M74" s="25" t="n">
        <f aca="false">K74+K72</f>
        <v>0</v>
      </c>
      <c r="N74" s="94"/>
      <c r="O74" s="94"/>
      <c r="P74" s="94"/>
      <c r="Q74" s="20"/>
      <c r="S74" s="74" t="s">
        <v>74</v>
      </c>
      <c r="T74" s="82" t="n">
        <f aca="false">T73*K29</f>
        <v>0</v>
      </c>
      <c r="U74" s="25"/>
      <c r="V74" s="25" t="n">
        <f aca="false">T74+T72</f>
        <v>0</v>
      </c>
      <c r="W74" s="94"/>
      <c r="X74" s="94"/>
      <c r="Y74" s="94"/>
      <c r="Z74" s="20"/>
      <c r="AB74" s="74" t="s">
        <v>74</v>
      </c>
      <c r="AC74" s="82" t="n">
        <f aca="false">AC73*K29</f>
        <v>0</v>
      </c>
      <c r="AD74" s="25"/>
      <c r="AE74" s="25" t="n">
        <f aca="false">AC74+AC72</f>
        <v>0</v>
      </c>
      <c r="AF74" s="94"/>
      <c r="AG74" s="94"/>
      <c r="AH74" s="94"/>
      <c r="AI74" s="20"/>
    </row>
    <row r="75" customFormat="false" ht="17.35" hidden="false" customHeight="false" outlineLevel="0" collapsed="false">
      <c r="A75" s="99" t="s">
        <v>75</v>
      </c>
      <c r="B75" s="96" t="n">
        <v>0</v>
      </c>
      <c r="C75" s="25"/>
      <c r="D75" s="25" t="n">
        <f aca="false">B75</f>
        <v>0</v>
      </c>
      <c r="E75" s="94"/>
      <c r="F75" s="94"/>
      <c r="G75" s="94"/>
      <c r="H75" s="20"/>
      <c r="J75" s="99" t="s">
        <v>75</v>
      </c>
      <c r="K75" s="96" t="n">
        <v>0</v>
      </c>
      <c r="L75" s="25"/>
      <c r="M75" s="25" t="n">
        <f aca="false">K75</f>
        <v>0</v>
      </c>
      <c r="N75" s="94"/>
      <c r="O75" s="94"/>
      <c r="P75" s="94"/>
      <c r="Q75" s="20"/>
      <c r="S75" s="99" t="s">
        <v>75</v>
      </c>
      <c r="T75" s="96" t="n">
        <v>0</v>
      </c>
      <c r="U75" s="25"/>
      <c r="V75" s="25" t="n">
        <f aca="false">T75</f>
        <v>0</v>
      </c>
      <c r="W75" s="94"/>
      <c r="X75" s="94"/>
      <c r="Y75" s="94"/>
      <c r="Z75" s="20"/>
      <c r="AB75" s="99" t="s">
        <v>75</v>
      </c>
      <c r="AC75" s="96" t="n">
        <v>0</v>
      </c>
      <c r="AD75" s="25"/>
      <c r="AE75" s="25" t="n">
        <f aca="false">AC75</f>
        <v>0</v>
      </c>
      <c r="AF75" s="94"/>
      <c r="AG75" s="94"/>
      <c r="AH75" s="94"/>
      <c r="AI75" s="20"/>
    </row>
    <row r="76" customFormat="false" ht="17.35" hidden="false" customHeight="false" outlineLevel="0" collapsed="false">
      <c r="A76" s="101" t="s">
        <v>76</v>
      </c>
      <c r="B76" s="106" t="n">
        <v>0</v>
      </c>
      <c r="C76" s="25"/>
      <c r="D76" s="25" t="n">
        <f aca="false">B76</f>
        <v>0</v>
      </c>
      <c r="E76" s="94"/>
      <c r="F76" s="25"/>
      <c r="G76" s="94"/>
      <c r="H76" s="20"/>
      <c r="J76" s="101" t="s">
        <v>76</v>
      </c>
      <c r="K76" s="106" t="n">
        <v>0</v>
      </c>
      <c r="L76" s="25"/>
      <c r="M76" s="25" t="n">
        <f aca="false">K76</f>
        <v>0</v>
      </c>
      <c r="N76" s="94"/>
      <c r="O76" s="94"/>
      <c r="P76" s="94"/>
      <c r="Q76" s="20"/>
      <c r="S76" s="101" t="s">
        <v>76</v>
      </c>
      <c r="T76" s="106" t="n">
        <v>0</v>
      </c>
      <c r="U76" s="25"/>
      <c r="V76" s="25" t="n">
        <f aca="false">T76</f>
        <v>0</v>
      </c>
      <c r="W76" s="94"/>
      <c r="X76" s="94"/>
      <c r="Y76" s="94"/>
      <c r="Z76" s="20"/>
      <c r="AB76" s="101" t="s">
        <v>76</v>
      </c>
      <c r="AC76" s="106" t="n">
        <v>0</v>
      </c>
      <c r="AD76" s="25"/>
      <c r="AE76" s="25" t="n">
        <f aca="false">AC76</f>
        <v>0</v>
      </c>
      <c r="AF76" s="94"/>
      <c r="AG76" s="94"/>
      <c r="AH76" s="94"/>
      <c r="AI76" s="20"/>
    </row>
    <row r="77" customFormat="false" ht="17.35" hidden="false" customHeight="false" outlineLevel="0" collapsed="false">
      <c r="A77" s="107" t="s">
        <v>77</v>
      </c>
      <c r="B77" s="108" t="n">
        <f aca="false">SUM(D65:D76)</f>
        <v>0</v>
      </c>
      <c r="C77" s="25"/>
      <c r="D77" s="25"/>
      <c r="E77" s="94"/>
      <c r="F77" s="25"/>
      <c r="G77" s="25"/>
      <c r="H77" s="20"/>
      <c r="J77" s="107" t="s">
        <v>77</v>
      </c>
      <c r="K77" s="108" t="n">
        <f aca="false">SUM(M65:M76)</f>
        <v>0</v>
      </c>
      <c r="L77" s="25"/>
      <c r="M77" s="25"/>
      <c r="N77" s="94"/>
      <c r="O77" s="94"/>
      <c r="P77" s="94"/>
      <c r="Q77" s="20"/>
      <c r="S77" s="107" t="s">
        <v>77</v>
      </c>
      <c r="T77" s="108" t="n">
        <f aca="false">SUM(V65:V76)</f>
        <v>0</v>
      </c>
      <c r="U77" s="25"/>
      <c r="V77" s="25"/>
      <c r="W77" s="94"/>
      <c r="X77" s="94"/>
      <c r="Y77" s="94"/>
      <c r="Z77" s="20"/>
      <c r="AB77" s="107" t="s">
        <v>77</v>
      </c>
      <c r="AC77" s="108" t="n">
        <f aca="false">SUM(AE65:AE76)</f>
        <v>0</v>
      </c>
      <c r="AD77" s="25"/>
      <c r="AE77" s="25"/>
      <c r="AF77" s="94"/>
      <c r="AG77" s="94"/>
      <c r="AH77" s="94"/>
      <c r="AI77" s="20"/>
    </row>
    <row r="78" customFormat="false" ht="17.35" hidden="false" customHeight="false" outlineLevel="0" collapsed="false">
      <c r="A78" s="55" t="s">
        <v>78</v>
      </c>
      <c r="B78" s="20" t="n">
        <f aca="false">B77/K29</f>
        <v>0</v>
      </c>
      <c r="C78" s="25"/>
      <c r="D78" s="25"/>
      <c r="E78" s="94"/>
      <c r="F78" s="94"/>
      <c r="G78" s="94"/>
      <c r="H78" s="20"/>
      <c r="J78" s="55" t="s">
        <v>78</v>
      </c>
      <c r="K78" s="20" t="n">
        <f aca="false">K77/K29</f>
        <v>0</v>
      </c>
      <c r="L78" s="25"/>
      <c r="M78" s="25"/>
      <c r="N78" s="94"/>
      <c r="O78" s="94"/>
      <c r="P78" s="94"/>
      <c r="Q78" s="20"/>
      <c r="S78" s="55" t="s">
        <v>78</v>
      </c>
      <c r="T78" s="20" t="n">
        <f aca="false">T77/K29</f>
        <v>0</v>
      </c>
      <c r="U78" s="25"/>
      <c r="V78" s="25"/>
      <c r="W78" s="94"/>
      <c r="X78" s="94"/>
      <c r="Y78" s="94"/>
      <c r="Z78" s="20"/>
      <c r="AB78" s="55" t="s">
        <v>78</v>
      </c>
      <c r="AC78" s="20" t="n">
        <f aca="false">AC77/K29</f>
        <v>0</v>
      </c>
      <c r="AD78" s="25"/>
      <c r="AE78" s="25"/>
      <c r="AF78" s="94"/>
      <c r="AG78" s="94"/>
      <c r="AH78" s="94"/>
      <c r="AI78" s="20"/>
    </row>
    <row r="79" customFormat="false" ht="17.35" hidden="false" customHeight="false" outlineLevel="0" collapsed="false">
      <c r="A79" s="109" t="s">
        <v>79</v>
      </c>
      <c r="B79" s="77" t="n">
        <f aca="false">K47</f>
        <v>2067.51803535204</v>
      </c>
      <c r="C79" s="25"/>
      <c r="D79" s="25"/>
      <c r="E79" s="94"/>
      <c r="F79" s="94"/>
      <c r="G79" s="94"/>
      <c r="H79" s="20"/>
      <c r="J79" s="109" t="s">
        <v>79</v>
      </c>
      <c r="K79" s="77" t="n">
        <f aca="false">K47</f>
        <v>2067.51803535204</v>
      </c>
      <c r="L79" s="25"/>
      <c r="M79" s="25"/>
      <c r="N79" s="94"/>
      <c r="O79" s="94"/>
      <c r="P79" s="94"/>
      <c r="Q79" s="20"/>
      <c r="S79" s="109" t="s">
        <v>79</v>
      </c>
      <c r="T79" s="77" t="n">
        <f aca="false">B52</f>
        <v>2090.4347020187</v>
      </c>
      <c r="U79" s="25"/>
      <c r="V79" s="25"/>
      <c r="W79" s="94"/>
      <c r="X79" s="94"/>
      <c r="Y79" s="94"/>
      <c r="Z79" s="20"/>
      <c r="AB79" s="109" t="s">
        <v>79</v>
      </c>
      <c r="AC79" s="77" t="n">
        <f aca="false">B52</f>
        <v>2090.4347020187</v>
      </c>
      <c r="AD79" s="25"/>
      <c r="AE79" s="25"/>
      <c r="AF79" s="94"/>
      <c r="AG79" s="94"/>
      <c r="AH79" s="94"/>
      <c r="AI79" s="20"/>
    </row>
    <row r="80" customFormat="false" ht="17.35" hidden="false" customHeight="false" outlineLevel="0" collapsed="false">
      <c r="A80" s="55"/>
      <c r="B80" s="25"/>
      <c r="C80" s="25"/>
      <c r="D80" s="25"/>
      <c r="E80" s="94"/>
      <c r="F80" s="94"/>
      <c r="G80" s="94"/>
      <c r="H80" s="20"/>
      <c r="J80" s="55"/>
      <c r="K80" s="25"/>
      <c r="L80" s="25"/>
      <c r="M80" s="25"/>
      <c r="N80" s="94"/>
      <c r="O80" s="94"/>
      <c r="P80" s="94"/>
      <c r="Q80" s="20"/>
      <c r="S80" s="55"/>
      <c r="T80" s="25"/>
      <c r="U80" s="25"/>
      <c r="V80" s="25"/>
      <c r="W80" s="94"/>
      <c r="X80" s="94"/>
      <c r="Y80" s="94"/>
      <c r="Z80" s="20"/>
      <c r="AB80" s="55"/>
      <c r="AC80" s="25"/>
      <c r="AD80" s="25"/>
      <c r="AE80" s="25"/>
      <c r="AF80" s="94"/>
      <c r="AG80" s="94"/>
      <c r="AH80" s="94"/>
      <c r="AI80" s="20"/>
    </row>
    <row r="81" customFormat="false" ht="17.35" hidden="false" customHeight="false" outlineLevel="0" collapsed="false">
      <c r="A81" s="48" t="s">
        <v>80</v>
      </c>
      <c r="B81" s="50" t="n">
        <f aca="false">G158</f>
        <v>28499.996</v>
      </c>
      <c r="C81" s="25"/>
      <c r="D81" s="25"/>
      <c r="E81" s="94"/>
      <c r="F81" s="94"/>
      <c r="G81" s="94"/>
      <c r="H81" s="20"/>
      <c r="J81" s="48" t="s">
        <v>80</v>
      </c>
      <c r="K81" s="50" t="e">
        <f aca="false">P158</f>
        <v>#VALUE!</v>
      </c>
      <c r="L81" s="25"/>
      <c r="M81" s="25"/>
      <c r="N81" s="94"/>
      <c r="O81" s="94"/>
      <c r="P81" s="94"/>
      <c r="Q81" s="20"/>
      <c r="S81" s="48" t="s">
        <v>80</v>
      </c>
      <c r="T81" s="50" t="e">
        <f aca="false">Y158</f>
        <v>#VALUE!</v>
      </c>
      <c r="U81" s="25"/>
      <c r="V81" s="25"/>
      <c r="W81" s="94"/>
      <c r="X81" s="94"/>
      <c r="Y81" s="94"/>
      <c r="Z81" s="20"/>
      <c r="AB81" s="48" t="s">
        <v>80</v>
      </c>
      <c r="AC81" s="50" t="e">
        <f aca="false">AH158</f>
        <v>#VALUE!</v>
      </c>
      <c r="AD81" s="25"/>
      <c r="AE81" s="25"/>
      <c r="AF81" s="94"/>
      <c r="AG81" s="94"/>
      <c r="AH81" s="94"/>
      <c r="AI81" s="20"/>
    </row>
    <row r="82" customFormat="false" ht="17.35" hidden="false" customHeight="false" outlineLevel="0" collapsed="false">
      <c r="A82" s="55" t="s">
        <v>47</v>
      </c>
      <c r="B82" s="20" t="n">
        <f aca="false">IF(A111 = "Yes", A40, 0)</f>
        <v>0</v>
      </c>
      <c r="C82" s="25"/>
      <c r="D82" s="25"/>
      <c r="E82" s="94"/>
      <c r="F82" s="94"/>
      <c r="G82" s="94"/>
      <c r="H82" s="20"/>
      <c r="J82" s="55" t="s">
        <v>47</v>
      </c>
      <c r="K82" s="20" t="n">
        <f aca="false">IF(J111 = "YES", A40, 0)</f>
        <v>0</v>
      </c>
      <c r="L82" s="25"/>
      <c r="M82" s="25"/>
      <c r="N82" s="94"/>
      <c r="O82" s="94"/>
      <c r="P82" s="94"/>
      <c r="Q82" s="20"/>
      <c r="S82" s="55" t="s">
        <v>47</v>
      </c>
      <c r="T82" s="20" t="n">
        <f aca="false">A40</f>
        <v>0</v>
      </c>
      <c r="U82" s="25"/>
      <c r="V82" s="25"/>
      <c r="W82" s="94"/>
      <c r="X82" s="94"/>
      <c r="Y82" s="94"/>
      <c r="Z82" s="20"/>
      <c r="AB82" s="55" t="s">
        <v>47</v>
      </c>
      <c r="AC82" s="20" t="n">
        <f aca="false">A40</f>
        <v>0</v>
      </c>
      <c r="AD82" s="25"/>
      <c r="AE82" s="25"/>
      <c r="AF82" s="94"/>
      <c r="AG82" s="94"/>
      <c r="AH82" s="94"/>
      <c r="AI82" s="20"/>
    </row>
    <row r="83" customFormat="false" ht="17.35" hidden="false" customHeight="false" outlineLevel="0" collapsed="false">
      <c r="A83" s="55" t="s">
        <v>81</v>
      </c>
      <c r="B83" s="110" t="n">
        <f aca="false">B62+B63+B64</f>
        <v>0.0995</v>
      </c>
      <c r="C83" s="25"/>
      <c r="D83" s="25"/>
      <c r="E83" s="94"/>
      <c r="F83" s="94"/>
      <c r="G83" s="94"/>
      <c r="H83" s="20"/>
      <c r="J83" s="55" t="s">
        <v>81</v>
      </c>
      <c r="K83" s="103" t="n">
        <f aca="false">K62+K63+K64</f>
        <v>0.24</v>
      </c>
      <c r="L83" s="25"/>
      <c r="M83" s="25"/>
      <c r="N83" s="94"/>
      <c r="O83" s="94"/>
      <c r="P83" s="94"/>
      <c r="Q83" s="20"/>
      <c r="S83" s="55" t="s">
        <v>81</v>
      </c>
      <c r="T83" s="103" t="n">
        <f aca="false">T62+T63+T64</f>
        <v>0.1415</v>
      </c>
      <c r="U83" s="25"/>
      <c r="V83" s="25"/>
      <c r="W83" s="94"/>
      <c r="X83" s="94"/>
      <c r="Y83" s="94"/>
      <c r="Z83" s="20"/>
      <c r="AB83" s="55" t="s">
        <v>81</v>
      </c>
      <c r="AC83" s="103" t="n">
        <f aca="false">AC62+AC63+AC64</f>
        <v>0.1415</v>
      </c>
      <c r="AD83" s="25"/>
      <c r="AE83" s="25"/>
      <c r="AF83" s="94"/>
      <c r="AG83" s="94"/>
      <c r="AH83" s="94"/>
      <c r="AI83" s="20"/>
    </row>
    <row r="84" customFormat="false" ht="17.35" hidden="false" customHeight="false" outlineLevel="0" collapsed="false">
      <c r="A84" s="55" t="s">
        <v>82</v>
      </c>
      <c r="B84" s="103" t="n">
        <f aca="false">B83/12</f>
        <v>0.00829166666666667</v>
      </c>
      <c r="C84" s="25"/>
      <c r="D84" s="25"/>
      <c r="E84" s="94"/>
      <c r="F84" s="94"/>
      <c r="G84" s="94"/>
      <c r="H84" s="20"/>
      <c r="J84" s="55" t="s">
        <v>82</v>
      </c>
      <c r="K84" s="103" t="n">
        <f aca="false">K83/12</f>
        <v>0.02</v>
      </c>
      <c r="L84" s="25"/>
      <c r="M84" s="25"/>
      <c r="N84" s="94"/>
      <c r="O84" s="94"/>
      <c r="P84" s="94"/>
      <c r="Q84" s="20"/>
      <c r="S84" s="55" t="s">
        <v>82</v>
      </c>
      <c r="T84" s="103" t="n">
        <f aca="false">T83/12</f>
        <v>0.0117916666666667</v>
      </c>
      <c r="U84" s="25"/>
      <c r="V84" s="25"/>
      <c r="W84" s="94"/>
      <c r="X84" s="94"/>
      <c r="Y84" s="94"/>
      <c r="Z84" s="20"/>
      <c r="AB84" s="55" t="s">
        <v>82</v>
      </c>
      <c r="AC84" s="103" t="n">
        <f aca="false">AC83/12</f>
        <v>0.0117916666666667</v>
      </c>
      <c r="AD84" s="25"/>
      <c r="AE84" s="25"/>
      <c r="AF84" s="94"/>
      <c r="AG84" s="94"/>
      <c r="AH84" s="94"/>
      <c r="AI84" s="20"/>
    </row>
    <row r="85" customFormat="false" ht="17.35" hidden="false" customHeight="false" outlineLevel="0" collapsed="false">
      <c r="A85" s="55" t="s">
        <v>83</v>
      </c>
      <c r="B85" s="20" t="n">
        <f aca="false">IF(B82=0, (B59+B58), (B59))</f>
        <v>12</v>
      </c>
      <c r="C85" s="25"/>
      <c r="D85" s="25"/>
      <c r="E85" s="94"/>
      <c r="F85" s="94"/>
      <c r="G85" s="94"/>
      <c r="H85" s="20"/>
      <c r="J85" s="55" t="s">
        <v>83</v>
      </c>
      <c r="K85" s="20" t="n">
        <f aca="false">IF(K82=0, (K59+K58), (K59))</f>
        <v>12</v>
      </c>
      <c r="L85" s="25"/>
      <c r="M85" s="25"/>
      <c r="N85" s="94"/>
      <c r="O85" s="94"/>
      <c r="P85" s="94"/>
      <c r="Q85" s="20"/>
      <c r="S85" s="55" t="s">
        <v>83</v>
      </c>
      <c r="T85" s="20" t="n">
        <f aca="false">T59</f>
        <v>11</v>
      </c>
      <c r="U85" s="25"/>
      <c r="V85" s="25"/>
      <c r="W85" s="94"/>
      <c r="X85" s="94"/>
      <c r="Y85" s="94"/>
      <c r="Z85" s="20"/>
      <c r="AB85" s="55" t="s">
        <v>83</v>
      </c>
      <c r="AC85" s="20" t="n">
        <f aca="false">AC59</f>
        <v>11</v>
      </c>
      <c r="AD85" s="25"/>
      <c r="AE85" s="25"/>
      <c r="AF85" s="94"/>
      <c r="AG85" s="94"/>
      <c r="AH85" s="94"/>
      <c r="AI85" s="20"/>
    </row>
    <row r="86" customFormat="false" ht="17.35" hidden="false" customHeight="false" outlineLevel="0" collapsed="false">
      <c r="A86" s="55" t="s">
        <v>84</v>
      </c>
      <c r="B86" s="20" t="n">
        <f aca="false">(B82/((1+B84)^(B85+1)))</f>
        <v>0</v>
      </c>
      <c r="C86" s="25"/>
      <c r="D86" s="25"/>
      <c r="E86" s="94"/>
      <c r="F86" s="94"/>
      <c r="G86" s="94"/>
      <c r="H86" s="20"/>
      <c r="J86" s="55" t="s">
        <v>84</v>
      </c>
      <c r="K86" s="20" t="n">
        <f aca="false">(K82/((1+K84)^(K85+1)))</f>
        <v>0</v>
      </c>
      <c r="L86" s="25"/>
      <c r="M86" s="25"/>
      <c r="N86" s="94"/>
      <c r="O86" s="94"/>
      <c r="P86" s="94"/>
      <c r="Q86" s="20"/>
      <c r="S86" s="55" t="s">
        <v>84</v>
      </c>
      <c r="T86" s="20" t="n">
        <f aca="false">(T82/((1+T84)^(T85+1)))</f>
        <v>0</v>
      </c>
      <c r="U86" s="25"/>
      <c r="V86" s="25"/>
      <c r="W86" s="94"/>
      <c r="X86" s="94"/>
      <c r="Y86" s="94"/>
      <c r="Z86" s="20"/>
      <c r="AB86" s="55" t="s">
        <v>84</v>
      </c>
      <c r="AC86" s="20" t="n">
        <f aca="false">(AC82/((1+AC84)^(AC85+1)))</f>
        <v>0</v>
      </c>
      <c r="AD86" s="25"/>
      <c r="AE86" s="25"/>
      <c r="AF86" s="94"/>
      <c r="AG86" s="94"/>
      <c r="AH86" s="94"/>
      <c r="AI86" s="20"/>
    </row>
    <row r="87" customFormat="false" ht="17.35" hidden="false" customHeight="false" outlineLevel="0" collapsed="false">
      <c r="A87" s="55" t="s">
        <v>85</v>
      </c>
      <c r="B87" s="20" t="n">
        <f aca="false">((1-(1/((1+B84)^B85)))/B84)</f>
        <v>11.3775176629575</v>
      </c>
      <c r="C87" s="25"/>
      <c r="D87" s="25"/>
      <c r="E87" s="94"/>
      <c r="F87" s="94"/>
      <c r="G87" s="94"/>
      <c r="H87" s="20"/>
      <c r="J87" s="55" t="s">
        <v>85</v>
      </c>
      <c r="K87" s="20" t="n">
        <f aca="false">((1-(1/((1+K84)^K85)))/K84)</f>
        <v>10.5753412209172</v>
      </c>
      <c r="L87" s="25"/>
      <c r="M87" s="25"/>
      <c r="N87" s="94"/>
      <c r="O87" s="94"/>
      <c r="P87" s="94"/>
      <c r="Q87" s="20"/>
      <c r="S87" s="55" t="s">
        <v>85</v>
      </c>
      <c r="T87" s="20" t="n">
        <f aca="false">((1-(1/((1+T84)^T85)))/T84)</f>
        <v>10.2599315027351</v>
      </c>
      <c r="U87" s="25"/>
      <c r="V87" s="25"/>
      <c r="W87" s="94"/>
      <c r="X87" s="94"/>
      <c r="Y87" s="94"/>
      <c r="Z87" s="20"/>
      <c r="AB87" s="55" t="s">
        <v>85</v>
      </c>
      <c r="AC87" s="20" t="n">
        <f aca="false">((1-(1/((1+AC84)^AC85)))/AC84)</f>
        <v>10.2599315027351</v>
      </c>
      <c r="AD87" s="25"/>
      <c r="AE87" s="25"/>
      <c r="AF87" s="94"/>
      <c r="AG87" s="94"/>
      <c r="AH87" s="94"/>
      <c r="AI87" s="20"/>
    </row>
    <row r="88" customFormat="false" ht="17.35" hidden="false" customHeight="false" outlineLevel="0" collapsed="false">
      <c r="A88" s="55" t="s">
        <v>86</v>
      </c>
      <c r="B88" s="20" t="n">
        <f aca="false">B81-B86</f>
        <v>28499.996</v>
      </c>
      <c r="C88" s="25"/>
      <c r="D88" s="25"/>
      <c r="E88" s="94"/>
      <c r="F88" s="94"/>
      <c r="G88" s="94"/>
      <c r="H88" s="20"/>
      <c r="J88" s="55" t="s">
        <v>86</v>
      </c>
      <c r="K88" s="20" t="e">
        <f aca="false">K81-K86</f>
        <v>#VALUE!</v>
      </c>
      <c r="L88" s="25"/>
      <c r="M88" s="25"/>
      <c r="N88" s="94"/>
      <c r="O88" s="94"/>
      <c r="P88" s="94"/>
      <c r="Q88" s="20"/>
      <c r="S88" s="55" t="s">
        <v>86</v>
      </c>
      <c r="T88" s="20" t="e">
        <f aca="false">T81-T86</f>
        <v>#VALUE!</v>
      </c>
      <c r="U88" s="25"/>
      <c r="V88" s="25"/>
      <c r="W88" s="94"/>
      <c r="X88" s="94"/>
      <c r="Y88" s="94"/>
      <c r="Z88" s="20"/>
      <c r="AB88" s="55" t="s">
        <v>86</v>
      </c>
      <c r="AC88" s="20" t="e">
        <f aca="false">AC81-AC86</f>
        <v>#VALUE!</v>
      </c>
      <c r="AD88" s="25"/>
      <c r="AE88" s="25"/>
      <c r="AF88" s="94"/>
      <c r="AG88" s="94"/>
      <c r="AH88" s="94"/>
      <c r="AI88" s="20"/>
    </row>
    <row r="89" customFormat="false" ht="17.35" hidden="false" customHeight="false" outlineLevel="0" collapsed="false">
      <c r="A89" s="55" t="s">
        <v>87</v>
      </c>
      <c r="B89" s="20" t="n">
        <f aca="false">(B88/B87)</f>
        <v>2504.93972800316</v>
      </c>
      <c r="C89" s="25"/>
      <c r="D89" s="25"/>
      <c r="E89" s="94"/>
      <c r="F89" s="94"/>
      <c r="G89" s="94"/>
      <c r="H89" s="20"/>
      <c r="J89" s="55" t="s">
        <v>87</v>
      </c>
      <c r="K89" s="20" t="e">
        <f aca="false">(K88/K87)</f>
        <v>#VALUE!</v>
      </c>
      <c r="L89" s="25"/>
      <c r="M89" s="25"/>
      <c r="N89" s="94"/>
      <c r="O89" s="94"/>
      <c r="P89" s="94"/>
      <c r="Q89" s="20"/>
      <c r="S89" s="55" t="s">
        <v>87</v>
      </c>
      <c r="T89" s="20" t="e">
        <f aca="false">(T88/T87)</f>
        <v>#VALUE!</v>
      </c>
      <c r="U89" s="25"/>
      <c r="V89" s="25"/>
      <c r="W89" s="94"/>
      <c r="X89" s="94"/>
      <c r="Y89" s="94"/>
      <c r="Z89" s="20"/>
      <c r="AB89" s="55" t="s">
        <v>87</v>
      </c>
      <c r="AC89" s="20" t="e">
        <f aca="false">(AC88/AC87)</f>
        <v>#VALUE!</v>
      </c>
      <c r="AD89" s="25"/>
      <c r="AE89" s="25"/>
      <c r="AF89" s="94"/>
      <c r="AG89" s="94"/>
      <c r="AH89" s="94"/>
      <c r="AI89" s="20"/>
    </row>
    <row r="90" customFormat="false" ht="17.35" hidden="false" customHeight="false" outlineLevel="0" collapsed="false">
      <c r="A90" s="55" t="s">
        <v>88</v>
      </c>
      <c r="B90" s="20" t="n">
        <f aca="false">((B89*(B85))+B77)</f>
        <v>30059.276736038</v>
      </c>
      <c r="C90" s="25"/>
      <c r="D90" s="25"/>
      <c r="E90" s="94"/>
      <c r="F90" s="94"/>
      <c r="G90" s="94"/>
      <c r="H90" s="20"/>
      <c r="J90" s="55" t="s">
        <v>88</v>
      </c>
      <c r="K90" s="20" t="e">
        <f aca="false">((K89*(K85))+K77)</f>
        <v>#VALUE!</v>
      </c>
      <c r="L90" s="25"/>
      <c r="M90" s="25"/>
      <c r="N90" s="94"/>
      <c r="O90" s="94"/>
      <c r="P90" s="94"/>
      <c r="Q90" s="20"/>
      <c r="S90" s="55" t="s">
        <v>88</v>
      </c>
      <c r="T90" s="20" t="e">
        <f aca="false">(T89*(T85))+T77</f>
        <v>#VALUE!</v>
      </c>
      <c r="U90" s="25"/>
      <c r="V90" s="25"/>
      <c r="W90" s="94"/>
      <c r="X90" s="94"/>
      <c r="Y90" s="94"/>
      <c r="Z90" s="20"/>
      <c r="AB90" s="55" t="s">
        <v>88</v>
      </c>
      <c r="AC90" s="20" t="e">
        <f aca="false">(AC89*(AC59))+AC77</f>
        <v>#VALUE!</v>
      </c>
      <c r="AD90" s="25"/>
      <c r="AE90" s="25"/>
      <c r="AF90" s="94"/>
      <c r="AG90" s="94"/>
      <c r="AH90" s="94"/>
      <c r="AI90" s="20"/>
    </row>
    <row r="91" customFormat="false" ht="17.35" hidden="false" customHeight="false" outlineLevel="0" collapsed="false">
      <c r="A91" s="55" t="s">
        <v>89</v>
      </c>
      <c r="B91" s="20" t="n">
        <f aca="false">(((B89*(B85))+B77)/(1-B71))*B71</f>
        <v>0</v>
      </c>
      <c r="C91" s="25"/>
      <c r="D91" s="25"/>
      <c r="E91" s="94"/>
      <c r="F91" s="94"/>
      <c r="G91" s="94"/>
      <c r="H91" s="20"/>
      <c r="J91" s="55" t="s">
        <v>89</v>
      </c>
      <c r="K91" s="20" t="e">
        <f aca="false">(K90/(1-K71))*K71</f>
        <v>#VALUE!</v>
      </c>
      <c r="L91" s="25"/>
      <c r="M91" s="25"/>
      <c r="N91" s="94"/>
      <c r="O91" s="94"/>
      <c r="P91" s="94"/>
      <c r="Q91" s="20"/>
      <c r="S91" s="55" t="s">
        <v>89</v>
      </c>
      <c r="T91" s="20" t="e">
        <f aca="false">(T90/(1-T71))*T71</f>
        <v>#VALUE!</v>
      </c>
      <c r="U91" s="25"/>
      <c r="V91" s="25"/>
      <c r="W91" s="94"/>
      <c r="X91" s="94"/>
      <c r="Y91" s="94"/>
      <c r="Z91" s="20"/>
      <c r="AB91" s="55" t="s">
        <v>89</v>
      </c>
      <c r="AC91" s="20" t="e">
        <f aca="false">(AC90/(1-AC71))*AC71</f>
        <v>#VALUE!</v>
      </c>
      <c r="AD91" s="25"/>
      <c r="AE91" s="25"/>
      <c r="AF91" s="94"/>
      <c r="AG91" s="94"/>
      <c r="AH91" s="94"/>
      <c r="AI91" s="20"/>
    </row>
    <row r="92" customFormat="false" ht="17.35" hidden="false" customHeight="false" outlineLevel="0" collapsed="false">
      <c r="A92" s="74" t="s">
        <v>90</v>
      </c>
      <c r="B92" s="82" t="n">
        <f aca="false">(B90+B91)</f>
        <v>30059.276736038</v>
      </c>
      <c r="C92" s="25"/>
      <c r="D92" s="25"/>
      <c r="E92" s="94"/>
      <c r="F92" s="94"/>
      <c r="G92" s="94"/>
      <c r="H92" s="20"/>
      <c r="J92" s="74" t="s">
        <v>90</v>
      </c>
      <c r="K92" s="82" t="e">
        <f aca="false">(K90+K91)</f>
        <v>#VALUE!</v>
      </c>
      <c r="L92" s="25"/>
      <c r="M92" s="25"/>
      <c r="N92" s="94"/>
      <c r="O92" s="94"/>
      <c r="P92" s="94"/>
      <c r="Q92" s="20"/>
      <c r="S92" s="74" t="s">
        <v>90</v>
      </c>
      <c r="T92" s="82" t="e">
        <f aca="false">(T90+T91)</f>
        <v>#VALUE!</v>
      </c>
      <c r="U92" s="25"/>
      <c r="V92" s="25"/>
      <c r="W92" s="94"/>
      <c r="X92" s="94"/>
      <c r="Y92" s="94"/>
      <c r="Z92" s="20"/>
      <c r="AB92" s="74" t="s">
        <v>90</v>
      </c>
      <c r="AC92" s="82" t="e">
        <f aca="false">(AC90+AC91)</f>
        <v>#VALUE!</v>
      </c>
      <c r="AD92" s="25"/>
      <c r="AE92" s="25"/>
      <c r="AF92" s="94"/>
      <c r="AG92" s="94"/>
      <c r="AH92" s="94"/>
      <c r="AI92" s="20"/>
    </row>
    <row r="93" customFormat="false" ht="17.35" hidden="false" customHeight="false" outlineLevel="0" collapsed="false">
      <c r="A93" s="55"/>
      <c r="B93" s="25"/>
      <c r="C93" s="25"/>
      <c r="D93" s="25"/>
      <c r="E93" s="94"/>
      <c r="F93" s="94"/>
      <c r="G93" s="94"/>
      <c r="H93" s="20"/>
      <c r="J93" s="55"/>
      <c r="K93" s="25"/>
      <c r="L93" s="25"/>
      <c r="M93" s="25"/>
      <c r="N93" s="94"/>
      <c r="O93" s="94"/>
      <c r="P93" s="94"/>
      <c r="Q93" s="20"/>
      <c r="S93" s="55"/>
      <c r="T93" s="25"/>
      <c r="U93" s="25"/>
      <c r="V93" s="25"/>
      <c r="W93" s="94"/>
      <c r="X93" s="94"/>
      <c r="Y93" s="94"/>
      <c r="Z93" s="20"/>
      <c r="AB93" s="55"/>
      <c r="AC93" s="25"/>
      <c r="AD93" s="25"/>
      <c r="AE93" s="25"/>
      <c r="AF93" s="94"/>
      <c r="AG93" s="94"/>
      <c r="AH93" s="94"/>
      <c r="AI93" s="20"/>
    </row>
    <row r="94" customFormat="false" ht="17.35" hidden="false" customHeight="false" outlineLevel="0" collapsed="false">
      <c r="A94" s="107" t="s">
        <v>91</v>
      </c>
      <c r="B94" s="111" t="n">
        <f aca="false">IF(B26="YES",((E40/B85)*(1+A108)),"0")*1.2</f>
        <v>33</v>
      </c>
      <c r="C94" s="25"/>
      <c r="D94" s="25"/>
      <c r="E94" s="94"/>
      <c r="F94" s="94"/>
      <c r="G94" s="94"/>
      <c r="H94" s="20"/>
      <c r="J94" s="107" t="s">
        <v>91</v>
      </c>
      <c r="K94" s="108" t="n">
        <f aca="false">((E40/K85)*(1+J108))*1.2</f>
        <v>35.75</v>
      </c>
      <c r="L94" s="25"/>
      <c r="M94" s="25"/>
      <c r="N94" s="94"/>
      <c r="O94" s="94"/>
      <c r="P94" s="94"/>
      <c r="Q94" s="20"/>
      <c r="S94" s="107" t="s">
        <v>91</v>
      </c>
      <c r="T94" s="108" t="n">
        <f aca="false">((E40/T85)*(1+S108))</f>
        <v>30</v>
      </c>
      <c r="U94" s="25"/>
      <c r="V94" s="25"/>
      <c r="W94" s="94"/>
      <c r="X94" s="94"/>
      <c r="Y94" s="94"/>
      <c r="Z94" s="20"/>
      <c r="AB94" s="107" t="s">
        <v>91</v>
      </c>
      <c r="AC94" s="108" t="n">
        <f aca="false">((E40/AC85)*(1+AB108))*1.2</f>
        <v>36</v>
      </c>
      <c r="AD94" s="25"/>
      <c r="AE94" s="25"/>
      <c r="AF94" s="94"/>
      <c r="AG94" s="94"/>
      <c r="AH94" s="94"/>
      <c r="AI94" s="20"/>
    </row>
    <row r="95" customFormat="false" ht="17.35" hidden="false" customHeight="false" outlineLevel="0" collapsed="false">
      <c r="A95" s="112" t="s">
        <v>92</v>
      </c>
      <c r="B95" s="113" t="n">
        <f aca="false">B92/(B85)</f>
        <v>2504.93972800316</v>
      </c>
      <c r="C95" s="25"/>
      <c r="D95" s="25"/>
      <c r="E95" s="94"/>
      <c r="F95" s="94"/>
      <c r="G95" s="94"/>
      <c r="H95" s="20"/>
      <c r="J95" s="112" t="s">
        <v>92</v>
      </c>
      <c r="K95" s="113" t="e">
        <f aca="false">K92/(K85)</f>
        <v>#VALUE!</v>
      </c>
      <c r="L95" s="25"/>
      <c r="M95" s="25"/>
      <c r="N95" s="94"/>
      <c r="O95" s="94"/>
      <c r="P95" s="94"/>
      <c r="Q95" s="20"/>
      <c r="S95" s="112" t="s">
        <v>92</v>
      </c>
      <c r="T95" s="113" t="e">
        <f aca="false">T92/(T85)</f>
        <v>#VALUE!</v>
      </c>
      <c r="U95" s="25"/>
      <c r="V95" s="25"/>
      <c r="W95" s="94"/>
      <c r="X95" s="94"/>
      <c r="Y95" s="94"/>
      <c r="Z95" s="20"/>
      <c r="AB95" s="112" t="s">
        <v>92</v>
      </c>
      <c r="AC95" s="113" t="e">
        <f aca="false">AC92/(AC59)</f>
        <v>#VALUE!</v>
      </c>
      <c r="AD95" s="25"/>
      <c r="AE95" s="25"/>
      <c r="AF95" s="94"/>
      <c r="AG95" s="94"/>
      <c r="AH95" s="94"/>
      <c r="AI95" s="20"/>
    </row>
    <row r="96" customFormat="false" ht="17.35" hidden="false" customHeight="false" outlineLevel="0" collapsed="false">
      <c r="A96" s="114" t="s">
        <v>93</v>
      </c>
      <c r="B96" s="115" t="n">
        <f aca="false">B94+B95</f>
        <v>2537.93972800316</v>
      </c>
      <c r="C96" s="25"/>
      <c r="D96" s="25"/>
      <c r="E96" s="94"/>
      <c r="F96" s="94"/>
      <c r="G96" s="94"/>
      <c r="H96" s="20"/>
      <c r="J96" s="114" t="s">
        <v>93</v>
      </c>
      <c r="K96" s="115" t="e">
        <f aca="false">(K94+K95)</f>
        <v>#VALUE!</v>
      </c>
      <c r="L96" s="25"/>
      <c r="M96" s="25"/>
      <c r="N96" s="94"/>
      <c r="O96" s="94"/>
      <c r="P96" s="94"/>
      <c r="Q96" s="20"/>
      <c r="S96" s="114" t="s">
        <v>93</v>
      </c>
      <c r="T96" s="115" t="e">
        <f aca="false">T94+T95</f>
        <v>#VALUE!</v>
      </c>
      <c r="U96" s="25"/>
      <c r="V96" s="25"/>
      <c r="W96" s="94"/>
      <c r="X96" s="94"/>
      <c r="Y96" s="94"/>
      <c r="Z96" s="20"/>
      <c r="AB96" s="114" t="s">
        <v>93</v>
      </c>
      <c r="AC96" s="115" t="e">
        <f aca="false">AC94+AC95</f>
        <v>#VALUE!</v>
      </c>
      <c r="AD96" s="25"/>
      <c r="AE96" s="25"/>
      <c r="AF96" s="94"/>
      <c r="AG96" s="94"/>
      <c r="AH96" s="94"/>
      <c r="AI96" s="20"/>
    </row>
    <row r="97" customFormat="false" ht="17.35" hidden="false" customHeight="false" outlineLevel="0" collapsed="false">
      <c r="A97" s="74"/>
      <c r="B97" s="75"/>
      <c r="C97" s="75"/>
      <c r="D97" s="75"/>
      <c r="E97" s="116"/>
      <c r="F97" s="116"/>
      <c r="G97" s="116"/>
      <c r="H97" s="82"/>
      <c r="J97" s="74"/>
      <c r="K97" s="75"/>
      <c r="L97" s="75"/>
      <c r="M97" s="75"/>
      <c r="N97" s="116"/>
      <c r="O97" s="116"/>
      <c r="P97" s="116"/>
      <c r="Q97" s="82"/>
      <c r="S97" s="74"/>
      <c r="T97" s="75"/>
      <c r="U97" s="75"/>
      <c r="V97" s="75"/>
      <c r="W97" s="116"/>
      <c r="X97" s="116"/>
      <c r="Y97" s="116"/>
      <c r="Z97" s="82"/>
      <c r="AB97" s="74"/>
      <c r="AC97" s="75"/>
      <c r="AD97" s="75"/>
      <c r="AE97" s="75"/>
      <c r="AF97" s="116"/>
      <c r="AG97" s="116"/>
      <c r="AH97" s="116"/>
      <c r="AI97" s="82"/>
    </row>
    <row r="98" customFormat="false" ht="13.8" hidden="false" customHeight="false" outlineLevel="0" collapsed="false">
      <c r="A98" s="45"/>
      <c r="B98" s="45"/>
      <c r="C98" s="45"/>
      <c r="D98" s="45"/>
      <c r="E98" s="45"/>
      <c r="F98" s="45"/>
      <c r="G98" s="45"/>
      <c r="H98" s="45"/>
      <c r="J98" s="45"/>
      <c r="K98" s="45"/>
      <c r="L98" s="45"/>
      <c r="M98" s="45"/>
      <c r="N98" s="45"/>
      <c r="O98" s="45"/>
      <c r="P98" s="45"/>
      <c r="Q98" s="45"/>
      <c r="S98" s="45"/>
      <c r="T98" s="45"/>
      <c r="U98" s="45"/>
      <c r="V98" s="45"/>
      <c r="W98" s="45"/>
      <c r="X98" s="45"/>
      <c r="Y98" s="45"/>
      <c r="Z98" s="45"/>
      <c r="AB98" s="45"/>
      <c r="AC98" s="45"/>
      <c r="AD98" s="45"/>
      <c r="AE98" s="45"/>
      <c r="AF98" s="45"/>
      <c r="AG98" s="45"/>
      <c r="AH98" s="45"/>
      <c r="AI98" s="45"/>
    </row>
    <row r="99" customFormat="false" ht="13.8" hidden="false" customHeight="false" outlineLevel="0" collapsed="false">
      <c r="A99" s="45"/>
      <c r="B99" s="45"/>
      <c r="C99" s="45"/>
      <c r="D99" s="45"/>
      <c r="E99" s="45"/>
      <c r="F99" s="45"/>
      <c r="G99" s="45"/>
      <c r="H99" s="45"/>
      <c r="J99" s="45"/>
      <c r="K99" s="45"/>
      <c r="L99" s="45"/>
      <c r="M99" s="45"/>
      <c r="N99" s="45"/>
      <c r="O99" s="45"/>
      <c r="P99" s="45"/>
      <c r="Q99" s="45"/>
      <c r="S99" s="45"/>
      <c r="T99" s="45"/>
      <c r="U99" s="45"/>
      <c r="V99" s="45"/>
      <c r="W99" s="45"/>
      <c r="X99" s="45"/>
      <c r="Y99" s="45"/>
      <c r="Z99" s="45"/>
      <c r="AB99" s="45"/>
      <c r="AC99" s="45"/>
      <c r="AD99" s="45"/>
      <c r="AE99" s="45"/>
      <c r="AF99" s="45"/>
      <c r="AG99" s="45"/>
      <c r="AH99" s="45"/>
      <c r="AI99" s="45"/>
    </row>
    <row r="100" customFormat="false" ht="47.25" hidden="false" customHeight="true" outlineLevel="0" collapsed="false">
      <c r="A100" s="4" t="s">
        <v>94</v>
      </c>
      <c r="B100" s="4"/>
      <c r="C100" s="4"/>
      <c r="D100" s="4"/>
      <c r="E100" s="4"/>
      <c r="F100" s="4"/>
      <c r="G100" s="4"/>
      <c r="H100" s="4"/>
      <c r="J100" s="4" t="s">
        <v>95</v>
      </c>
      <c r="K100" s="4"/>
      <c r="L100" s="4"/>
      <c r="M100" s="4"/>
      <c r="N100" s="4"/>
      <c r="O100" s="4"/>
      <c r="P100" s="4"/>
      <c r="Q100" s="4"/>
      <c r="S100" s="4" t="s">
        <v>96</v>
      </c>
      <c r="T100" s="4"/>
      <c r="U100" s="4"/>
      <c r="V100" s="4"/>
      <c r="W100" s="4"/>
      <c r="X100" s="4"/>
      <c r="Y100" s="4"/>
      <c r="Z100" s="4"/>
      <c r="AB100" s="4" t="s">
        <v>97</v>
      </c>
      <c r="AC100" s="4"/>
      <c r="AD100" s="4"/>
      <c r="AE100" s="4"/>
      <c r="AF100" s="4"/>
      <c r="AG100" s="4"/>
      <c r="AH100" s="4"/>
      <c r="AI100" s="4"/>
    </row>
    <row r="101" customFormat="false" ht="17.35" hidden="false" customHeight="false" outlineLevel="0" collapsed="false">
      <c r="A101" s="48"/>
      <c r="B101" s="49"/>
      <c r="C101" s="49"/>
      <c r="D101" s="49"/>
      <c r="E101" s="93"/>
      <c r="F101" s="93"/>
      <c r="G101" s="93"/>
      <c r="H101" s="117"/>
      <c r="J101" s="48"/>
      <c r="K101" s="49"/>
      <c r="L101" s="49"/>
      <c r="M101" s="49"/>
      <c r="N101" s="93"/>
      <c r="O101" s="93"/>
      <c r="P101" s="93"/>
      <c r="Q101" s="117"/>
      <c r="S101" s="48"/>
      <c r="T101" s="49"/>
      <c r="U101" s="49"/>
      <c r="V101" s="49"/>
      <c r="W101" s="93"/>
      <c r="X101" s="93"/>
      <c r="Y101" s="93"/>
      <c r="Z101" s="117"/>
      <c r="AB101" s="48"/>
      <c r="AC101" s="49"/>
      <c r="AD101" s="49"/>
      <c r="AE101" s="49"/>
      <c r="AF101" s="93"/>
      <c r="AG101" s="93"/>
      <c r="AH101" s="93"/>
      <c r="AI101" s="117"/>
    </row>
    <row r="102" customFormat="false" ht="22.05" hidden="false" customHeight="false" outlineLevel="0" collapsed="false">
      <c r="A102" s="58" t="s">
        <v>26</v>
      </c>
      <c r="B102" s="58"/>
      <c r="C102" s="58"/>
      <c r="D102" s="58"/>
      <c r="E102" s="58"/>
      <c r="F102" s="58"/>
      <c r="G102" s="58"/>
      <c r="H102" s="58"/>
      <c r="J102" s="58" t="s">
        <v>26</v>
      </c>
      <c r="K102" s="58"/>
      <c r="L102" s="58"/>
      <c r="M102" s="58"/>
      <c r="N102" s="58"/>
      <c r="O102" s="58"/>
      <c r="P102" s="58"/>
      <c r="Q102" s="58"/>
      <c r="S102" s="58" t="s">
        <v>26</v>
      </c>
      <c r="T102" s="58"/>
      <c r="U102" s="58"/>
      <c r="V102" s="58"/>
      <c r="W102" s="58"/>
      <c r="X102" s="58"/>
      <c r="Y102" s="58"/>
      <c r="Z102" s="58"/>
      <c r="AB102" s="58" t="s">
        <v>26</v>
      </c>
      <c r="AC102" s="58"/>
      <c r="AD102" s="58"/>
      <c r="AE102" s="58"/>
      <c r="AF102" s="58"/>
      <c r="AG102" s="58"/>
      <c r="AH102" s="58"/>
      <c r="AI102" s="58"/>
    </row>
    <row r="103" customFormat="false" ht="17.35" hidden="false" customHeight="false" outlineLevel="0" collapsed="false">
      <c r="A103" s="55"/>
      <c r="B103" s="25"/>
      <c r="C103" s="25"/>
      <c r="D103" s="25"/>
      <c r="E103" s="94"/>
      <c r="F103" s="94"/>
      <c r="G103" s="94"/>
      <c r="H103" s="118"/>
      <c r="J103" s="55"/>
      <c r="K103" s="25"/>
      <c r="L103" s="25"/>
      <c r="M103" s="25"/>
      <c r="N103" s="94"/>
      <c r="O103" s="94"/>
      <c r="P103" s="94"/>
      <c r="Q103" s="118"/>
      <c r="S103" s="55"/>
      <c r="T103" s="25"/>
      <c r="U103" s="25"/>
      <c r="V103" s="25"/>
      <c r="W103" s="94"/>
      <c r="X103" s="94"/>
      <c r="Y103" s="94"/>
      <c r="Z103" s="118"/>
      <c r="AB103" s="55"/>
      <c r="AC103" s="25"/>
      <c r="AD103" s="25"/>
      <c r="AE103" s="25"/>
      <c r="AF103" s="94"/>
      <c r="AG103" s="94"/>
      <c r="AH103" s="94"/>
      <c r="AI103" s="118"/>
    </row>
    <row r="104" customFormat="false" ht="17.35" hidden="false" customHeight="false" outlineLevel="0" collapsed="false">
      <c r="A104" s="55" t="s">
        <v>98</v>
      </c>
      <c r="B104" s="25" t="s">
        <v>23</v>
      </c>
      <c r="C104" s="25"/>
      <c r="D104" s="25"/>
      <c r="E104" s="25" t="s">
        <v>22</v>
      </c>
      <c r="F104" s="25"/>
      <c r="G104" s="25"/>
      <c r="H104" s="20"/>
      <c r="J104" s="55" t="s">
        <v>98</v>
      </c>
      <c r="K104" s="25" t="s">
        <v>23</v>
      </c>
      <c r="L104" s="25"/>
      <c r="M104" s="25"/>
      <c r="N104" s="25" t="s">
        <v>22</v>
      </c>
      <c r="O104" s="25"/>
      <c r="P104" s="25"/>
      <c r="Q104" s="20"/>
      <c r="S104" s="55" t="s">
        <v>98</v>
      </c>
      <c r="T104" s="25" t="s">
        <v>23</v>
      </c>
      <c r="U104" s="25"/>
      <c r="V104" s="25"/>
      <c r="W104" s="25" t="s">
        <v>22</v>
      </c>
      <c r="X104" s="25"/>
      <c r="Y104" s="25"/>
      <c r="Z104" s="20"/>
      <c r="AB104" s="55" t="s">
        <v>98</v>
      </c>
      <c r="AC104" s="25" t="s">
        <v>23</v>
      </c>
      <c r="AD104" s="25"/>
      <c r="AE104" s="25"/>
      <c r="AF104" s="25" t="s">
        <v>22</v>
      </c>
      <c r="AG104" s="25"/>
      <c r="AH104" s="25"/>
      <c r="AI104" s="20"/>
    </row>
    <row r="105" customFormat="false" ht="17.35" hidden="false" customHeight="false" outlineLevel="0" collapsed="false">
      <c r="A105" s="51" t="s">
        <v>99</v>
      </c>
      <c r="B105" s="37" t="s">
        <v>100</v>
      </c>
      <c r="C105" s="37"/>
      <c r="D105" s="37"/>
      <c r="E105" s="119" t="s">
        <v>377</v>
      </c>
      <c r="F105" s="119"/>
      <c r="G105" s="119"/>
      <c r="H105" s="118"/>
      <c r="J105" s="51" t="s">
        <v>99</v>
      </c>
      <c r="K105" s="37" t="s">
        <v>100</v>
      </c>
      <c r="L105" s="37"/>
      <c r="M105" s="37"/>
      <c r="N105" s="60" t="s">
        <v>9</v>
      </c>
      <c r="O105" s="60"/>
      <c r="P105" s="60"/>
      <c r="Q105" s="118"/>
      <c r="S105" s="51" t="s">
        <v>99</v>
      </c>
      <c r="T105" s="37" t="s">
        <v>100</v>
      </c>
      <c r="U105" s="37"/>
      <c r="V105" s="37"/>
      <c r="W105" s="60" t="s">
        <v>9</v>
      </c>
      <c r="X105" s="60"/>
      <c r="Y105" s="60"/>
      <c r="Z105" s="118"/>
      <c r="AB105" s="51" t="s">
        <v>99</v>
      </c>
      <c r="AC105" s="37" t="s">
        <v>100</v>
      </c>
      <c r="AD105" s="37"/>
      <c r="AE105" s="37"/>
      <c r="AF105" s="60" t="s">
        <v>9</v>
      </c>
      <c r="AG105" s="60"/>
      <c r="AH105" s="60"/>
      <c r="AI105" s="118"/>
    </row>
    <row r="106" customFormat="false" ht="17.35" hidden="false" customHeight="false" outlineLevel="0" collapsed="false">
      <c r="A106" s="55"/>
      <c r="B106" s="25"/>
      <c r="C106" s="25"/>
      <c r="D106" s="94"/>
      <c r="E106" s="25"/>
      <c r="F106" s="25"/>
      <c r="G106" s="94"/>
      <c r="H106" s="20"/>
      <c r="J106" s="55"/>
      <c r="K106" s="25"/>
      <c r="L106" s="25"/>
      <c r="M106" s="94"/>
      <c r="N106" s="25"/>
      <c r="O106" s="25"/>
      <c r="P106" s="94"/>
      <c r="Q106" s="20"/>
      <c r="S106" s="55"/>
      <c r="T106" s="25"/>
      <c r="U106" s="25"/>
      <c r="V106" s="94"/>
      <c r="W106" s="25"/>
      <c r="X106" s="25"/>
      <c r="Y106" s="94"/>
      <c r="Z106" s="20"/>
      <c r="AB106" s="55"/>
      <c r="AC106" s="25"/>
      <c r="AD106" s="25"/>
      <c r="AE106" s="94"/>
      <c r="AF106" s="25"/>
      <c r="AG106" s="25"/>
      <c r="AH106" s="94"/>
      <c r="AI106" s="20"/>
    </row>
    <row r="107" customFormat="false" ht="17.35" hidden="false" customHeight="false" outlineLevel="0" collapsed="false">
      <c r="A107" s="55" t="s">
        <v>101</v>
      </c>
      <c r="B107" s="25" t="s">
        <v>102</v>
      </c>
      <c r="C107" s="25"/>
      <c r="D107" s="94"/>
      <c r="E107" s="25" t="s">
        <v>103</v>
      </c>
      <c r="F107" s="25"/>
      <c r="G107" s="94"/>
      <c r="H107" s="118"/>
      <c r="J107" s="55" t="s">
        <v>101</v>
      </c>
      <c r="K107" s="25" t="s">
        <v>102</v>
      </c>
      <c r="L107" s="25"/>
      <c r="M107" s="94"/>
      <c r="N107" s="25" t="s">
        <v>103</v>
      </c>
      <c r="O107" s="25"/>
      <c r="P107" s="94"/>
      <c r="Q107" s="118"/>
      <c r="S107" s="55" t="s">
        <v>101</v>
      </c>
      <c r="T107" s="25" t="s">
        <v>102</v>
      </c>
      <c r="U107" s="25"/>
      <c r="V107" s="94"/>
      <c r="W107" s="25" t="s">
        <v>103</v>
      </c>
      <c r="X107" s="25"/>
      <c r="Y107" s="94"/>
      <c r="Z107" s="118"/>
      <c r="AB107" s="55" t="s">
        <v>101</v>
      </c>
      <c r="AC107" s="25" t="s">
        <v>102</v>
      </c>
      <c r="AD107" s="25"/>
      <c r="AE107" s="94"/>
      <c r="AF107" s="25" t="s">
        <v>103</v>
      </c>
      <c r="AG107" s="25"/>
      <c r="AH107" s="94"/>
      <c r="AI107" s="118"/>
    </row>
    <row r="108" customFormat="false" ht="17.35" hidden="false" customHeight="false" outlineLevel="0" collapsed="false">
      <c r="A108" s="120" t="n">
        <v>0.3</v>
      </c>
      <c r="B108" s="72" t="n">
        <v>0.0</v>
      </c>
      <c r="C108" s="72"/>
      <c r="D108" s="72" t="n">
        <v>0.0</v>
      </c>
      <c r="E108" s="121" t="n">
        <f aca="false">B83</f>
        <v>0.0995</v>
      </c>
      <c r="F108" s="121"/>
      <c r="G108" s="121"/>
      <c r="H108" s="65"/>
      <c r="J108" s="120" t="n">
        <v>0.3</v>
      </c>
      <c r="K108" s="72" t="s">
        <v>104</v>
      </c>
      <c r="L108" s="72"/>
      <c r="M108" s="72"/>
      <c r="N108" s="121" t="n">
        <f aca="false">K83</f>
        <v>0.24</v>
      </c>
      <c r="O108" s="121"/>
      <c r="P108" s="121"/>
      <c r="Q108" s="65"/>
      <c r="S108" s="120" t="n">
        <v>0.2</v>
      </c>
      <c r="T108" s="72" t="s">
        <v>105</v>
      </c>
      <c r="U108" s="72"/>
      <c r="V108" s="72"/>
      <c r="W108" s="121" t="n">
        <f aca="false">T83</f>
        <v>0.1415</v>
      </c>
      <c r="X108" s="121"/>
      <c r="Y108" s="121"/>
      <c r="Z108" s="65"/>
      <c r="AB108" s="120" t="n">
        <v>0.2</v>
      </c>
      <c r="AC108" s="72" t="s">
        <v>105</v>
      </c>
      <c r="AD108" s="72"/>
      <c r="AE108" s="72"/>
      <c r="AF108" s="122" t="n">
        <f aca="false">AC83</f>
        <v>0.1415</v>
      </c>
      <c r="AG108" s="122"/>
      <c r="AH108" s="122"/>
      <c r="AI108" s="65"/>
      <c r="AP108" s="1" t="s">
        <v>106</v>
      </c>
    </row>
    <row r="109" customFormat="false" ht="17.35" hidden="false" customHeight="false" outlineLevel="0" collapsed="false">
      <c r="A109" s="55"/>
      <c r="B109" s="25"/>
      <c r="C109" s="25"/>
      <c r="D109" s="25"/>
      <c r="E109" s="25"/>
      <c r="F109" s="25"/>
      <c r="G109" s="25"/>
      <c r="H109" s="20"/>
      <c r="J109" s="55"/>
      <c r="K109" s="25"/>
      <c r="L109" s="25"/>
      <c r="M109" s="25"/>
      <c r="N109" s="25"/>
      <c r="O109" s="25"/>
      <c r="P109" s="25"/>
      <c r="Q109" s="20"/>
      <c r="S109" s="55"/>
      <c r="T109" s="25"/>
      <c r="U109" s="25"/>
      <c r="V109" s="25"/>
      <c r="W109" s="25"/>
      <c r="X109" s="25"/>
      <c r="Y109" s="25"/>
      <c r="Z109" s="20"/>
      <c r="AB109" s="55"/>
      <c r="AC109" s="25"/>
      <c r="AD109" s="25"/>
      <c r="AE109" s="25"/>
      <c r="AF109" s="25"/>
      <c r="AG109" s="25"/>
      <c r="AH109" s="25"/>
      <c r="AI109" s="20"/>
      <c r="AP109" s="1" t="s">
        <v>104</v>
      </c>
    </row>
    <row r="110" customFormat="false" ht="17.35" hidden="false" customHeight="false" outlineLevel="0" collapsed="false">
      <c r="A110" s="55" t="s">
        <v>107</v>
      </c>
      <c r="B110" s="25" t="s">
        <v>108</v>
      </c>
      <c r="C110" s="25"/>
      <c r="D110" s="25"/>
      <c r="E110" s="25" t="s">
        <v>109</v>
      </c>
      <c r="F110" s="25"/>
      <c r="G110" s="25"/>
      <c r="H110" s="20"/>
      <c r="J110" s="55" t="s">
        <v>107</v>
      </c>
      <c r="K110" s="25" t="s">
        <v>108</v>
      </c>
      <c r="L110" s="25"/>
      <c r="M110" s="25"/>
      <c r="N110" s="25" t="s">
        <v>109</v>
      </c>
      <c r="O110" s="25"/>
      <c r="P110" s="25"/>
      <c r="Q110" s="20"/>
      <c r="S110" s="55" t="s">
        <v>107</v>
      </c>
      <c r="T110" s="25" t="s">
        <v>108</v>
      </c>
      <c r="U110" s="25"/>
      <c r="V110" s="25"/>
      <c r="W110" s="25" t="s">
        <v>109</v>
      </c>
      <c r="X110" s="25"/>
      <c r="Y110" s="25"/>
      <c r="Z110" s="20"/>
      <c r="AB110" s="55" t="s">
        <v>107</v>
      </c>
      <c r="AC110" s="25" t="s">
        <v>108</v>
      </c>
      <c r="AD110" s="25"/>
      <c r="AE110" s="25"/>
      <c r="AF110" s="25" t="s">
        <v>109</v>
      </c>
      <c r="AG110" s="25"/>
      <c r="AH110" s="25"/>
      <c r="AI110" s="20"/>
    </row>
    <row r="111" customFormat="false" ht="17.35" hidden="false" customHeight="false" outlineLevel="0" collapsed="false">
      <c r="A111" s="52" t="s">
        <v>377</v>
      </c>
      <c r="B111" s="72" t="n">
        <v>1000.0</v>
      </c>
      <c r="C111" s="72"/>
      <c r="D111" s="72"/>
      <c r="E111" s="72" t="n">
        <v>1000.0</v>
      </c>
      <c r="F111" s="72"/>
      <c r="G111" s="72"/>
      <c r="H111" s="118"/>
      <c r="J111" s="52" t="s">
        <v>10</v>
      </c>
      <c r="K111" s="72" t="n">
        <v>1000</v>
      </c>
      <c r="L111" s="72"/>
      <c r="M111" s="72"/>
      <c r="N111" s="72" t="n">
        <v>0</v>
      </c>
      <c r="O111" s="72"/>
      <c r="P111" s="72"/>
      <c r="Q111" s="118"/>
      <c r="S111" s="52" t="s">
        <v>9</v>
      </c>
      <c r="T111" s="72" t="n">
        <v>1000</v>
      </c>
      <c r="U111" s="72"/>
      <c r="V111" s="72"/>
      <c r="W111" s="72" t="n">
        <v>0</v>
      </c>
      <c r="X111" s="72"/>
      <c r="Y111" s="72"/>
      <c r="Z111" s="118"/>
      <c r="AB111" s="52" t="s">
        <v>9</v>
      </c>
      <c r="AC111" s="72" t="n">
        <v>1000</v>
      </c>
      <c r="AD111" s="72"/>
      <c r="AE111" s="72"/>
      <c r="AF111" s="72" t="n">
        <v>0</v>
      </c>
      <c r="AG111" s="72"/>
      <c r="AH111" s="72"/>
      <c r="AI111" s="118"/>
    </row>
    <row r="112" customFormat="false" ht="17.35" hidden="false" customHeight="false" outlineLevel="0" collapsed="false">
      <c r="A112" s="55"/>
      <c r="B112" s="25"/>
      <c r="C112" s="25"/>
      <c r="D112" s="25"/>
      <c r="E112" s="25"/>
      <c r="F112" s="25"/>
      <c r="G112" s="94"/>
      <c r="H112" s="118"/>
      <c r="J112" s="55"/>
      <c r="K112" s="25"/>
      <c r="L112" s="25"/>
      <c r="M112" s="25"/>
      <c r="N112" s="25"/>
      <c r="O112" s="25"/>
      <c r="P112" s="94"/>
      <c r="Q112" s="118"/>
      <c r="S112" s="55"/>
      <c r="T112" s="25"/>
      <c r="U112" s="25"/>
      <c r="V112" s="25"/>
      <c r="W112" s="25"/>
      <c r="X112" s="25"/>
      <c r="Y112" s="94"/>
      <c r="Z112" s="118"/>
      <c r="AB112" s="55"/>
      <c r="AC112" s="25"/>
      <c r="AD112" s="25"/>
      <c r="AE112" s="25"/>
      <c r="AF112" s="25"/>
      <c r="AG112" s="25"/>
      <c r="AH112" s="94"/>
      <c r="AI112" s="118"/>
    </row>
    <row r="113" customFormat="false" ht="17.35" hidden="false" customHeight="false" outlineLevel="0" collapsed="false">
      <c r="A113" s="123" t="s">
        <v>110</v>
      </c>
      <c r="B113" s="25" t="s">
        <v>111</v>
      </c>
      <c r="C113" s="25"/>
      <c r="D113" s="25"/>
      <c r="E113" s="25" t="s">
        <v>112</v>
      </c>
      <c r="F113" s="25"/>
      <c r="G113" s="94"/>
      <c r="H113" s="118"/>
      <c r="J113" s="123" t="s">
        <v>110</v>
      </c>
      <c r="K113" s="25" t="s">
        <v>111</v>
      </c>
      <c r="L113" s="25"/>
      <c r="M113" s="25"/>
      <c r="N113" s="25" t="s">
        <v>112</v>
      </c>
      <c r="O113" s="25"/>
      <c r="P113" s="94"/>
      <c r="Q113" s="118"/>
      <c r="S113" s="123" t="s">
        <v>110</v>
      </c>
      <c r="T113" s="25" t="s">
        <v>111</v>
      </c>
      <c r="U113" s="25"/>
      <c r="V113" s="25"/>
      <c r="W113" s="25" t="s">
        <v>112</v>
      </c>
      <c r="X113" s="25"/>
      <c r="Y113" s="94"/>
      <c r="Z113" s="118"/>
      <c r="AB113" s="123" t="s">
        <v>110</v>
      </c>
      <c r="AC113" s="25" t="s">
        <v>111</v>
      </c>
      <c r="AD113" s="25"/>
      <c r="AE113" s="25"/>
      <c r="AF113" s="25" t="s">
        <v>112</v>
      </c>
      <c r="AG113" s="25"/>
      <c r="AH113" s="94"/>
      <c r="AI113" s="118"/>
    </row>
    <row r="114" customFormat="false" ht="17.35" hidden="false" customHeight="false" outlineLevel="0" collapsed="false">
      <c r="A114" s="70" t="n">
        <f aca="false">B111+E111</f>
        <v>2000</v>
      </c>
      <c r="B114" s="72" t="s">
        <v>379</v>
      </c>
      <c r="C114" s="72"/>
      <c r="D114" s="72"/>
      <c r="E114" s="72" t="n">
        <v>0</v>
      </c>
      <c r="F114" s="72"/>
      <c r="G114" s="72"/>
      <c r="H114" s="118"/>
      <c r="J114" s="70" t="n">
        <f aca="false">K111+N111</f>
        <v>1000</v>
      </c>
      <c r="K114" s="72" t="n">
        <v>239.99</v>
      </c>
      <c r="L114" s="72"/>
      <c r="M114" s="72"/>
      <c r="N114" s="72" t="n">
        <v>0</v>
      </c>
      <c r="O114" s="72"/>
      <c r="P114" s="72"/>
      <c r="Q114" s="118"/>
      <c r="S114" s="70" t="n">
        <f aca="false">T111+W111</f>
        <v>1000</v>
      </c>
      <c r="T114" s="72" t="n">
        <v>199.99</v>
      </c>
      <c r="U114" s="72"/>
      <c r="V114" s="72"/>
      <c r="W114" s="72" t="n">
        <v>0</v>
      </c>
      <c r="X114" s="72"/>
      <c r="Y114" s="72"/>
      <c r="Z114" s="118"/>
      <c r="AB114" s="70" t="n">
        <f aca="false">AC111+AF111</f>
        <v>1000</v>
      </c>
      <c r="AC114" s="72" t="n">
        <v>239.99</v>
      </c>
      <c r="AD114" s="72"/>
      <c r="AE114" s="72"/>
      <c r="AF114" s="72" t="n">
        <v>0</v>
      </c>
      <c r="AG114" s="72"/>
      <c r="AH114" s="72"/>
      <c r="AI114" s="118"/>
    </row>
    <row r="115" customFormat="false" ht="13.8" hidden="false" customHeight="false" outlineLevel="0" collapsed="false">
      <c r="A115" s="124"/>
      <c r="B115" s="94"/>
      <c r="C115" s="94"/>
      <c r="D115" s="94"/>
      <c r="E115" s="94"/>
      <c r="F115" s="94"/>
      <c r="G115" s="94"/>
      <c r="H115" s="118"/>
      <c r="J115" s="124"/>
      <c r="K115" s="94"/>
      <c r="L115" s="94"/>
      <c r="M115" s="94"/>
      <c r="N115" s="94"/>
      <c r="O115" s="94"/>
      <c r="P115" s="94"/>
      <c r="Q115" s="118"/>
      <c r="S115" s="124"/>
      <c r="T115" s="94"/>
      <c r="U115" s="94"/>
      <c r="V115" s="94"/>
      <c r="W115" s="94"/>
      <c r="X115" s="94"/>
      <c r="Y115" s="94"/>
      <c r="Z115" s="118"/>
      <c r="AB115" s="124"/>
      <c r="AC115" s="94"/>
      <c r="AD115" s="94"/>
      <c r="AE115" s="94"/>
      <c r="AF115" s="94"/>
      <c r="AG115" s="94"/>
      <c r="AH115" s="94"/>
      <c r="AI115" s="118"/>
    </row>
    <row r="116" customFormat="false" ht="13.8" hidden="false" customHeight="false" outlineLevel="0" collapsed="false">
      <c r="A116" s="124"/>
      <c r="B116" s="94"/>
      <c r="C116" s="94"/>
      <c r="D116" s="94"/>
      <c r="E116" s="94"/>
      <c r="F116" s="94"/>
      <c r="G116" s="94"/>
      <c r="H116" s="118"/>
      <c r="J116" s="124"/>
      <c r="K116" s="94"/>
      <c r="L116" s="94"/>
      <c r="M116" s="94"/>
      <c r="N116" s="94"/>
      <c r="O116" s="94"/>
      <c r="P116" s="94"/>
      <c r="Q116" s="118"/>
      <c r="S116" s="124"/>
      <c r="T116" s="94"/>
      <c r="U116" s="94"/>
      <c r="V116" s="94"/>
      <c r="W116" s="94"/>
      <c r="X116" s="94"/>
      <c r="Y116" s="94"/>
      <c r="Z116" s="118"/>
      <c r="AB116" s="124"/>
      <c r="AC116" s="94"/>
      <c r="AD116" s="94"/>
      <c r="AE116" s="94"/>
      <c r="AF116" s="94"/>
      <c r="AG116" s="94"/>
      <c r="AH116" s="94"/>
      <c r="AI116" s="118"/>
    </row>
    <row r="117" customFormat="false" ht="22.05" hidden="false" customHeight="false" outlineLevel="0" collapsed="false">
      <c r="A117" s="58" t="s">
        <v>114</v>
      </c>
      <c r="B117" s="58"/>
      <c r="C117" s="58"/>
      <c r="D117" s="58"/>
      <c r="E117" s="58"/>
      <c r="F117" s="58"/>
      <c r="G117" s="58"/>
      <c r="H117" s="58"/>
      <c r="J117" s="58" t="s">
        <v>114</v>
      </c>
      <c r="K117" s="58"/>
      <c r="L117" s="58"/>
      <c r="M117" s="58"/>
      <c r="N117" s="58"/>
      <c r="O117" s="58"/>
      <c r="P117" s="58"/>
      <c r="Q117" s="58"/>
      <c r="S117" s="58" t="s">
        <v>114</v>
      </c>
      <c r="T117" s="58"/>
      <c r="U117" s="58"/>
      <c r="V117" s="58"/>
      <c r="W117" s="58"/>
      <c r="X117" s="58"/>
      <c r="Y117" s="58"/>
      <c r="Z117" s="58"/>
      <c r="AB117" s="58" t="s">
        <v>114</v>
      </c>
      <c r="AC117" s="58"/>
      <c r="AD117" s="58"/>
      <c r="AE117" s="58"/>
      <c r="AF117" s="58"/>
      <c r="AG117" s="58"/>
      <c r="AH117" s="58"/>
      <c r="AI117" s="58"/>
    </row>
    <row r="118" customFormat="false" ht="13.8" hidden="false" customHeight="false" outlineLevel="0" collapsed="false">
      <c r="A118" s="124"/>
      <c r="B118" s="94"/>
      <c r="C118" s="94"/>
      <c r="D118" s="94"/>
      <c r="E118" s="94"/>
      <c r="F118" s="94"/>
      <c r="G118" s="94"/>
      <c r="H118" s="118"/>
      <c r="J118" s="124"/>
      <c r="K118" s="94"/>
      <c r="L118" s="94"/>
      <c r="M118" s="94"/>
      <c r="N118" s="94"/>
      <c r="O118" s="94"/>
      <c r="P118" s="94"/>
      <c r="Q118" s="118"/>
      <c r="S118" s="124"/>
      <c r="T118" s="94"/>
      <c r="U118" s="94"/>
      <c r="V118" s="94"/>
      <c r="W118" s="94"/>
      <c r="X118" s="94"/>
      <c r="Y118" s="94"/>
      <c r="Z118" s="118"/>
      <c r="AB118" s="124"/>
      <c r="AC118" s="94"/>
      <c r="AD118" s="94"/>
      <c r="AE118" s="94"/>
      <c r="AF118" s="94"/>
      <c r="AG118" s="94"/>
      <c r="AH118" s="94"/>
      <c r="AI118" s="118"/>
    </row>
    <row r="119" customFormat="false" ht="19.7" hidden="false" customHeight="false" outlineLevel="0" collapsed="false">
      <c r="A119" s="97"/>
      <c r="B119" s="125" t="s">
        <v>115</v>
      </c>
      <c r="C119" s="125"/>
      <c r="D119" s="125" t="s">
        <v>116</v>
      </c>
      <c r="E119" s="125"/>
      <c r="F119" s="125" t="s">
        <v>117</v>
      </c>
      <c r="G119" s="125"/>
      <c r="H119" s="126" t="s">
        <v>118</v>
      </c>
      <c r="J119" s="97"/>
      <c r="K119" s="125" t="s">
        <v>115</v>
      </c>
      <c r="L119" s="125"/>
      <c r="M119" s="125" t="s">
        <v>116</v>
      </c>
      <c r="N119" s="125"/>
      <c r="O119" s="125" t="s">
        <v>117</v>
      </c>
      <c r="P119" s="125"/>
      <c r="Q119" s="126" t="s">
        <v>118</v>
      </c>
      <c r="S119" s="97"/>
      <c r="T119" s="125" t="s">
        <v>115</v>
      </c>
      <c r="U119" s="125"/>
      <c r="V119" s="125" t="s">
        <v>116</v>
      </c>
      <c r="W119" s="125"/>
      <c r="X119" s="125" t="s">
        <v>117</v>
      </c>
      <c r="Y119" s="125"/>
      <c r="Z119" s="126" t="s">
        <v>118</v>
      </c>
      <c r="AB119" s="97"/>
      <c r="AC119" s="125" t="s">
        <v>115</v>
      </c>
      <c r="AD119" s="125"/>
      <c r="AE119" s="125" t="s">
        <v>116</v>
      </c>
      <c r="AF119" s="125"/>
      <c r="AG119" s="125" t="s">
        <v>117</v>
      </c>
      <c r="AH119" s="125"/>
      <c r="AI119" s="126" t="s">
        <v>118</v>
      </c>
    </row>
    <row r="120" customFormat="false" ht="19.7" hidden="false" customHeight="false" outlineLevel="0" collapsed="false">
      <c r="A120" s="99"/>
      <c r="B120" s="127" t="s">
        <v>119</v>
      </c>
      <c r="C120" s="128" t="s">
        <v>120</v>
      </c>
      <c r="D120" s="127" t="s">
        <v>119</v>
      </c>
      <c r="E120" s="129" t="s">
        <v>120</v>
      </c>
      <c r="F120" s="127" t="s">
        <v>119</v>
      </c>
      <c r="G120" s="129" t="s">
        <v>120</v>
      </c>
      <c r="H120" s="130"/>
      <c r="J120" s="99"/>
      <c r="K120" s="127" t="s">
        <v>119</v>
      </c>
      <c r="L120" s="128" t="s">
        <v>120</v>
      </c>
      <c r="M120" s="127" t="s">
        <v>119</v>
      </c>
      <c r="N120" s="129" t="s">
        <v>120</v>
      </c>
      <c r="O120" s="127" t="s">
        <v>119</v>
      </c>
      <c r="P120" s="129" t="s">
        <v>120</v>
      </c>
      <c r="Q120" s="130"/>
      <c r="S120" s="99"/>
      <c r="T120" s="127" t="s">
        <v>119</v>
      </c>
      <c r="U120" s="128" t="s">
        <v>120</v>
      </c>
      <c r="V120" s="127" t="s">
        <v>119</v>
      </c>
      <c r="W120" s="129" t="s">
        <v>120</v>
      </c>
      <c r="X120" s="127" t="s">
        <v>119</v>
      </c>
      <c r="Y120" s="129" t="s">
        <v>120</v>
      </c>
      <c r="Z120" s="130"/>
      <c r="AB120" s="99"/>
      <c r="AC120" s="127" t="s">
        <v>119</v>
      </c>
      <c r="AD120" s="128" t="s">
        <v>120</v>
      </c>
      <c r="AE120" s="127" t="s">
        <v>119</v>
      </c>
      <c r="AF120" s="129" t="s">
        <v>120</v>
      </c>
      <c r="AG120" s="127" t="s">
        <v>119</v>
      </c>
      <c r="AH120" s="129" t="s">
        <v>120</v>
      </c>
      <c r="AI120" s="130"/>
    </row>
    <row r="121" customFormat="false" ht="17.35" hidden="false" customHeight="false" outlineLevel="0" collapsed="false">
      <c r="A121" s="48" t="s">
        <v>121</v>
      </c>
      <c r="B121" s="131" t="n">
        <f aca="false">B9</f>
        <v>23958.33</v>
      </c>
      <c r="C121" s="132" t="n">
        <v>25833.33</v>
      </c>
      <c r="D121" s="131" t="n">
        <f aca="false">D3</f>
        <v>0</v>
      </c>
      <c r="E121" s="132" t="n">
        <f aca="false">D121</f>
        <v>0</v>
      </c>
      <c r="F121" s="131" t="n">
        <f aca="false">B11</f>
        <v>0</v>
      </c>
      <c r="G121" s="132" t="n">
        <f aca="false">F121</f>
        <v>0</v>
      </c>
      <c r="H121" s="133" t="n">
        <f aca="false">H3</f>
        <v>0</v>
      </c>
      <c r="J121" s="48" t="s">
        <v>121</v>
      </c>
      <c r="K121" s="131" t="n">
        <f aca="false">B3</f>
        <v>0</v>
      </c>
      <c r="L121" s="132" t="n">
        <v>28629.17</v>
      </c>
      <c r="M121" s="131" t="n">
        <f aca="false">D3</f>
        <v>0</v>
      </c>
      <c r="N121" s="132" t="n">
        <f aca="false">M121</f>
        <v>0</v>
      </c>
      <c r="O121" s="131" t="str">
        <f aca="false">F3</f>
        <v> </v>
      </c>
      <c r="P121" s="132" t="str">
        <f aca="false">O121</f>
        <v> </v>
      </c>
      <c r="Q121" s="133" t="n">
        <f aca="false">H3</f>
        <v>0</v>
      </c>
      <c r="S121" s="48" t="s">
        <v>121</v>
      </c>
      <c r="T121" s="131" t="n">
        <f aca="false">B3</f>
        <v>0</v>
      </c>
      <c r="U121" s="132" t="n">
        <f aca="false">T121</f>
        <v>0</v>
      </c>
      <c r="V121" s="131" t="n">
        <f aca="false">D3</f>
        <v>0</v>
      </c>
      <c r="W121" s="132" t="n">
        <f aca="false">V121</f>
        <v>0</v>
      </c>
      <c r="X121" s="131" t="str">
        <f aca="false">F3</f>
        <v> </v>
      </c>
      <c r="Y121" s="132" t="str">
        <f aca="false">X121</f>
        <v> </v>
      </c>
      <c r="Z121" s="133" t="n">
        <f aca="false">H3</f>
        <v>0</v>
      </c>
      <c r="AB121" s="48" t="s">
        <v>121</v>
      </c>
      <c r="AC121" s="131" t="n">
        <f aca="false">B3</f>
        <v>0</v>
      </c>
      <c r="AD121" s="132" t="n">
        <f aca="false">AC121</f>
        <v>0</v>
      </c>
      <c r="AE121" s="131" t="n">
        <f aca="false">D3</f>
        <v>0</v>
      </c>
      <c r="AF121" s="132" t="n">
        <f aca="false">AE121</f>
        <v>0</v>
      </c>
      <c r="AG121" s="131" t="str">
        <f aca="false">F3</f>
        <v> </v>
      </c>
      <c r="AH121" s="132" t="str">
        <f aca="false">AG121</f>
        <v> </v>
      </c>
      <c r="AI121" s="133" t="n">
        <f aca="false">H3</f>
        <v>0</v>
      </c>
    </row>
    <row r="122" customFormat="false" ht="17.35" hidden="false" customHeight="false" outlineLevel="0" collapsed="false">
      <c r="A122" s="55" t="s">
        <v>122</v>
      </c>
      <c r="B122" s="134" t="n">
        <v>0</v>
      </c>
      <c r="C122" s="17" t="n">
        <v>0</v>
      </c>
      <c r="D122" s="134" t="n">
        <v>0</v>
      </c>
      <c r="E122" s="17" t="n">
        <v>0</v>
      </c>
      <c r="F122" s="134" t="n">
        <v>0</v>
      </c>
      <c r="G122" s="135" t="n">
        <v>0</v>
      </c>
      <c r="H122" s="18"/>
      <c r="J122" s="55" t="s">
        <v>122</v>
      </c>
      <c r="K122" s="134" t="n">
        <f aca="false">B4</f>
        <v>28749.996</v>
      </c>
      <c r="L122" s="17" t="n">
        <v>0</v>
      </c>
      <c r="M122" s="134" t="n">
        <f aca="false">D4</f>
        <v>0</v>
      </c>
      <c r="N122" s="17" t="n">
        <f aca="false">M122</f>
        <v>0</v>
      </c>
      <c r="O122" s="134" t="str">
        <f aca="false">F4</f>
        <v> </v>
      </c>
      <c r="P122" s="135" t="str">
        <f aca="false">O122</f>
        <v> </v>
      </c>
      <c r="Q122" s="18"/>
      <c r="S122" s="55" t="s">
        <v>122</v>
      </c>
      <c r="T122" s="134" t="n">
        <f aca="false">B4</f>
        <v>28749.996</v>
      </c>
      <c r="U122" s="17" t="n">
        <v>0.25</v>
      </c>
      <c r="V122" s="134" t="n">
        <f aca="false">D4</f>
        <v>0</v>
      </c>
      <c r="W122" s="17" t="n">
        <f aca="false">V122</f>
        <v>0</v>
      </c>
      <c r="X122" s="134" t="str">
        <f aca="false">F4</f>
        <v> </v>
      </c>
      <c r="Y122" s="135" t="str">
        <f aca="false">X122</f>
        <v> </v>
      </c>
      <c r="Z122" s="18"/>
      <c r="AB122" s="55" t="s">
        <v>122</v>
      </c>
      <c r="AC122" s="134" t="n">
        <f aca="false">B4</f>
        <v>28749.996</v>
      </c>
      <c r="AD122" s="17" t="n">
        <v>0.25</v>
      </c>
      <c r="AE122" s="134" t="n">
        <f aca="false">D4</f>
        <v>0</v>
      </c>
      <c r="AF122" s="17" t="n">
        <f aca="false">AE122</f>
        <v>0</v>
      </c>
      <c r="AG122" s="134" t="str">
        <f aca="false">F4</f>
        <v> </v>
      </c>
      <c r="AH122" s="135" t="str">
        <f aca="false">AG122</f>
        <v> </v>
      </c>
      <c r="AI122" s="18"/>
    </row>
    <row r="123" customFormat="false" ht="17.35" hidden="false" customHeight="false" outlineLevel="0" collapsed="false">
      <c r="A123" s="55" t="s">
        <v>123</v>
      </c>
      <c r="B123" s="136" t="n">
        <v>0</v>
      </c>
      <c r="C123" s="132" t="n">
        <v>0</v>
      </c>
      <c r="D123" s="136" t="n">
        <v>0</v>
      </c>
      <c r="E123" s="132" t="n">
        <v>0</v>
      </c>
      <c r="F123" s="136" t="n">
        <v>0</v>
      </c>
      <c r="G123" s="132" t="n">
        <v>0</v>
      </c>
      <c r="H123" s="20"/>
      <c r="J123" s="55" t="s">
        <v>123</v>
      </c>
      <c r="K123" s="136" t="n">
        <f aca="false">B5</f>
        <v>0</v>
      </c>
      <c r="L123" s="132" t="n">
        <v>0</v>
      </c>
      <c r="M123" s="136" t="n">
        <f aca="false">D5</f>
        <v>0</v>
      </c>
      <c r="N123" s="132" t="n">
        <f aca="false">M123</f>
        <v>0</v>
      </c>
      <c r="O123" s="136" t="str">
        <f aca="false">F5</f>
        <v> </v>
      </c>
      <c r="P123" s="132" t="str">
        <f aca="false">O123</f>
        <v> </v>
      </c>
      <c r="Q123" s="20"/>
      <c r="S123" s="55" t="s">
        <v>123</v>
      </c>
      <c r="T123" s="136" t="n">
        <f aca="false">B5</f>
        <v>0</v>
      </c>
      <c r="U123" s="132" t="n">
        <v>0</v>
      </c>
      <c r="V123" s="136" t="n">
        <f aca="false">D5</f>
        <v>0</v>
      </c>
      <c r="W123" s="132" t="n">
        <f aca="false">V123</f>
        <v>0</v>
      </c>
      <c r="X123" s="136" t="str">
        <f aca="false">F5</f>
        <v> </v>
      </c>
      <c r="Y123" s="132" t="str">
        <f aca="false">X123</f>
        <v> </v>
      </c>
      <c r="Z123" s="20"/>
      <c r="AB123" s="55" t="s">
        <v>123</v>
      </c>
      <c r="AC123" s="136" t="n">
        <f aca="false">B5</f>
        <v>0</v>
      </c>
      <c r="AD123" s="132" t="n">
        <v>0</v>
      </c>
      <c r="AE123" s="136" t="n">
        <f aca="false">D5</f>
        <v>0</v>
      </c>
      <c r="AF123" s="132" t="n">
        <f aca="false">AE123</f>
        <v>0</v>
      </c>
      <c r="AG123" s="136" t="str">
        <f aca="false">F5</f>
        <v> </v>
      </c>
      <c r="AH123" s="132" t="str">
        <f aca="false">AG123</f>
        <v> </v>
      </c>
      <c r="AI123" s="20"/>
    </row>
    <row r="124" customFormat="false" ht="17.35" hidden="false" customHeight="false" outlineLevel="0" collapsed="false">
      <c r="A124" s="55" t="s">
        <v>124</v>
      </c>
      <c r="B124" s="136" t="n">
        <f aca="false">(B121*B122)+B123</f>
        <v>0</v>
      </c>
      <c r="C124" s="137" t="n">
        <f aca="false">(C121*C122/100)+C123</f>
        <v>0</v>
      </c>
      <c r="D124" s="136" t="n">
        <f aca="false">(D121*D122)+D123</f>
        <v>0</v>
      </c>
      <c r="E124" s="137" t="n">
        <f aca="false">(E121*E122/100)+E123</f>
        <v>0</v>
      </c>
      <c r="F124" s="136" t="n">
        <f aca="false">(F121*F122)+F123</f>
        <v>0</v>
      </c>
      <c r="G124" s="137" t="n">
        <f aca="false">(G121*G122/100)+G123</f>
        <v>0</v>
      </c>
      <c r="H124" s="20"/>
      <c r="J124" s="55" t="s">
        <v>124</v>
      </c>
      <c r="K124" s="136" t="n">
        <f aca="false">(K121*K122)+K123</f>
        <v>0</v>
      </c>
      <c r="L124" s="137" t="n">
        <f aca="false">(L121*L122)+L123</f>
        <v>0</v>
      </c>
      <c r="M124" s="136" t="n">
        <f aca="false">(M121*M122)+M123</f>
        <v>0</v>
      </c>
      <c r="N124" s="137" t="n">
        <f aca="false">(N121*N122)+N123</f>
        <v>0</v>
      </c>
      <c r="O124" s="136" t="e">
        <f aca="false">(O121*O122)+O123</f>
        <v>#VALUE!</v>
      </c>
      <c r="P124" s="137" t="e">
        <f aca="false">(P121*P122)+P123</f>
        <v>#VALUE!</v>
      </c>
      <c r="Q124" s="20"/>
      <c r="S124" s="55" t="s">
        <v>124</v>
      </c>
      <c r="T124" s="136" t="n">
        <f aca="false">(T121*T122)+T123</f>
        <v>0</v>
      </c>
      <c r="U124" s="137" t="n">
        <f aca="false">(U121*U122)+U123</f>
        <v>0</v>
      </c>
      <c r="V124" s="136" t="n">
        <f aca="false">(V121*V122)+V123</f>
        <v>0</v>
      </c>
      <c r="W124" s="137" t="n">
        <f aca="false">(W121*W122)+W123</f>
        <v>0</v>
      </c>
      <c r="X124" s="136" t="e">
        <f aca="false">(X121*X122)+X123</f>
        <v>#VALUE!</v>
      </c>
      <c r="Y124" s="137" t="e">
        <f aca="false">(Y121*Y122)+Y123</f>
        <v>#VALUE!</v>
      </c>
      <c r="Z124" s="20"/>
      <c r="AB124" s="55" t="s">
        <v>124</v>
      </c>
      <c r="AC124" s="136" t="n">
        <f aca="false">(AC121*AC122)+AC123</f>
        <v>0</v>
      </c>
      <c r="AD124" s="137" t="n">
        <f aca="false">(AD121*AD122)+AD123</f>
        <v>0</v>
      </c>
      <c r="AE124" s="136" t="n">
        <f aca="false">(AE121*AE122)+AE123</f>
        <v>0</v>
      </c>
      <c r="AF124" s="137" t="n">
        <f aca="false">(AF121*AF122)+AF123</f>
        <v>0</v>
      </c>
      <c r="AG124" s="136" t="e">
        <f aca="false">(AG121*AG122)+AG123</f>
        <v>#VALUE!</v>
      </c>
      <c r="AH124" s="137" t="e">
        <f aca="false">(AH121*AH122)+AH123</f>
        <v>#VALUE!</v>
      </c>
      <c r="AI124" s="20"/>
    </row>
    <row r="125" customFormat="false" ht="17.35" hidden="false" customHeight="false" outlineLevel="0" collapsed="false">
      <c r="A125" s="74" t="s">
        <v>125</v>
      </c>
      <c r="B125" s="138" t="n">
        <f aca="false">B121-B124</f>
        <v>23958.33</v>
      </c>
      <c r="C125" s="139" t="n">
        <f aca="false">C121-C124</f>
        <v>25833.33</v>
      </c>
      <c r="D125" s="138" t="n">
        <f aca="false">D121-D124</f>
        <v>0</v>
      </c>
      <c r="E125" s="139" t="n">
        <f aca="false">E121-E124</f>
        <v>0</v>
      </c>
      <c r="F125" s="138" t="n">
        <f aca="false">F121-F124</f>
        <v>0</v>
      </c>
      <c r="G125" s="139" t="n">
        <f aca="false">G121-G124</f>
        <v>0</v>
      </c>
      <c r="H125" s="82"/>
      <c r="J125" s="74" t="s">
        <v>125</v>
      </c>
      <c r="K125" s="138" t="n">
        <f aca="false">K121-K124</f>
        <v>0</v>
      </c>
      <c r="L125" s="139" t="n">
        <f aca="false">L121-L124</f>
        <v>28629.17</v>
      </c>
      <c r="M125" s="138" t="n">
        <f aca="false">M121-M124</f>
        <v>0</v>
      </c>
      <c r="N125" s="139" t="n">
        <f aca="false">N121-N124</f>
        <v>0</v>
      </c>
      <c r="O125" s="138" t="e">
        <f aca="false">O121-O124</f>
        <v>#VALUE!</v>
      </c>
      <c r="P125" s="139" t="e">
        <f aca="false">P121-P124</f>
        <v>#VALUE!</v>
      </c>
      <c r="Q125" s="82"/>
      <c r="S125" s="74" t="s">
        <v>125</v>
      </c>
      <c r="T125" s="138" t="n">
        <f aca="false">T121-T124</f>
        <v>0</v>
      </c>
      <c r="U125" s="139" t="n">
        <f aca="false">U121-U124</f>
        <v>0</v>
      </c>
      <c r="V125" s="138" t="n">
        <f aca="false">V121-V124</f>
        <v>0</v>
      </c>
      <c r="W125" s="139" t="n">
        <f aca="false">W121-W124</f>
        <v>0</v>
      </c>
      <c r="X125" s="138" t="e">
        <f aca="false">X121-X124</f>
        <v>#VALUE!</v>
      </c>
      <c r="Y125" s="139" t="e">
        <f aca="false">Y121-Y124</f>
        <v>#VALUE!</v>
      </c>
      <c r="Z125" s="82"/>
      <c r="AB125" s="74" t="s">
        <v>125</v>
      </c>
      <c r="AC125" s="138" t="n">
        <f aca="false">AC121-AC124</f>
        <v>0</v>
      </c>
      <c r="AD125" s="139" t="n">
        <f aca="false">AD121-AD124</f>
        <v>0</v>
      </c>
      <c r="AE125" s="138" t="n">
        <f aca="false">AE121-AE124</f>
        <v>0</v>
      </c>
      <c r="AF125" s="139" t="n">
        <f aca="false">AF121-AF124</f>
        <v>0</v>
      </c>
      <c r="AG125" s="138" t="e">
        <f aca="false">AG121-AG124</f>
        <v>#VALUE!</v>
      </c>
      <c r="AH125" s="139" t="e">
        <f aca="false">AH121-AH124</f>
        <v>#VALUE!</v>
      </c>
      <c r="AI125" s="82"/>
    </row>
    <row r="126" customFormat="false" ht="17.35" hidden="false" customHeight="false" outlineLevel="0" collapsed="false">
      <c r="A126" s="55"/>
      <c r="B126" s="25"/>
      <c r="C126" s="25"/>
      <c r="D126" s="25"/>
      <c r="E126" s="25"/>
      <c r="F126" s="25"/>
      <c r="G126" s="25"/>
      <c r="H126" s="20"/>
      <c r="J126" s="55"/>
      <c r="K126" s="25"/>
      <c r="L126" s="25"/>
      <c r="M126" s="25"/>
      <c r="N126" s="25"/>
      <c r="O126" s="25"/>
      <c r="P126" s="25"/>
      <c r="Q126" s="20"/>
      <c r="S126" s="55"/>
      <c r="T126" s="25"/>
      <c r="U126" s="25"/>
      <c r="V126" s="25"/>
      <c r="W126" s="25"/>
      <c r="X126" s="25"/>
      <c r="Y126" s="25"/>
      <c r="Z126" s="20"/>
      <c r="AB126" s="55"/>
      <c r="AC126" s="25"/>
      <c r="AD126" s="25"/>
      <c r="AE126" s="25"/>
      <c r="AF126" s="25"/>
      <c r="AG126" s="25"/>
      <c r="AH126" s="25"/>
      <c r="AI126" s="20"/>
    </row>
    <row r="127" customFormat="false" ht="19.7" hidden="false" customHeight="false" outlineLevel="0" collapsed="false">
      <c r="A127" s="140"/>
      <c r="B127" s="141"/>
      <c r="C127" s="141"/>
      <c r="D127" s="141"/>
      <c r="E127" s="141"/>
      <c r="F127" s="141"/>
      <c r="G127" s="29" t="s">
        <v>119</v>
      </c>
      <c r="H127" s="142" t="s">
        <v>120</v>
      </c>
      <c r="J127" s="140"/>
      <c r="K127" s="141"/>
      <c r="L127" s="141"/>
      <c r="M127" s="141"/>
      <c r="N127" s="141"/>
      <c r="O127" s="141"/>
      <c r="P127" s="29" t="s">
        <v>119</v>
      </c>
      <c r="Q127" s="142" t="s">
        <v>120</v>
      </c>
      <c r="S127" s="140"/>
      <c r="T127" s="141"/>
      <c r="U127" s="141"/>
      <c r="V127" s="141"/>
      <c r="W127" s="141"/>
      <c r="X127" s="141"/>
      <c r="Y127" s="29" t="s">
        <v>119</v>
      </c>
      <c r="Z127" s="142" t="s">
        <v>120</v>
      </c>
      <c r="AB127" s="140"/>
      <c r="AC127" s="141"/>
      <c r="AD127" s="141"/>
      <c r="AE127" s="141"/>
      <c r="AF127" s="141"/>
      <c r="AG127" s="141"/>
      <c r="AH127" s="29" t="s">
        <v>119</v>
      </c>
      <c r="AI127" s="142" t="s">
        <v>120</v>
      </c>
    </row>
    <row r="128" customFormat="false" ht="17.35" hidden="false" customHeight="false" outlineLevel="0" collapsed="false">
      <c r="A128" s="143" t="s">
        <v>126</v>
      </c>
      <c r="B128" s="144"/>
      <c r="C128" s="144"/>
      <c r="D128" s="144"/>
      <c r="E128" s="144"/>
      <c r="F128" s="144"/>
      <c r="G128" s="145" t="n">
        <f aca="false">H121</f>
        <v>0</v>
      </c>
      <c r="H128" s="146" t="n">
        <f aca="false">SUM(H131:H133)</f>
        <v>0</v>
      </c>
      <c r="J128" s="143" t="s">
        <v>126</v>
      </c>
      <c r="K128" s="144"/>
      <c r="L128" s="144"/>
      <c r="M128" s="144"/>
      <c r="N128" s="144"/>
      <c r="O128" s="144"/>
      <c r="P128" s="145" t="n">
        <f aca="false">Q121</f>
        <v>0</v>
      </c>
      <c r="Q128" s="146" t="n">
        <f aca="false">SUM(Q131:Q133)</f>
        <v>0</v>
      </c>
      <c r="S128" s="143" t="s">
        <v>126</v>
      </c>
      <c r="T128" s="144"/>
      <c r="U128" s="144"/>
      <c r="V128" s="144"/>
      <c r="W128" s="144"/>
      <c r="X128" s="144"/>
      <c r="Y128" s="145" t="n">
        <f aca="false">Z121</f>
        <v>0</v>
      </c>
      <c r="Z128" s="146" t="n">
        <f aca="false">SUM(Z131:Z133)</f>
        <v>0</v>
      </c>
      <c r="AB128" s="143" t="s">
        <v>126</v>
      </c>
      <c r="AC128" s="144"/>
      <c r="AD128" s="144"/>
      <c r="AE128" s="144"/>
      <c r="AF128" s="144"/>
      <c r="AG128" s="144"/>
      <c r="AH128" s="145" t="n">
        <f aca="false">AI121</f>
        <v>0</v>
      </c>
      <c r="AI128" s="146" t="n">
        <f aca="false">SUM(AI131:AI133)</f>
        <v>0</v>
      </c>
    </row>
    <row r="129" customFormat="false" ht="17.35" hidden="false" customHeight="false" outlineLevel="0" collapsed="false">
      <c r="A129" s="55"/>
      <c r="B129" s="25"/>
      <c r="C129" s="25"/>
      <c r="D129" s="25"/>
      <c r="E129" s="25"/>
      <c r="F129" s="25"/>
      <c r="G129" s="147"/>
      <c r="H129" s="148"/>
      <c r="J129" s="55"/>
      <c r="K129" s="25"/>
      <c r="L129" s="25"/>
      <c r="M129" s="25"/>
      <c r="N129" s="25"/>
      <c r="O129" s="25"/>
      <c r="P129" s="147"/>
      <c r="Q129" s="148"/>
      <c r="S129" s="55"/>
      <c r="T129" s="25"/>
      <c r="U129" s="25"/>
      <c r="V129" s="25"/>
      <c r="W129" s="25"/>
      <c r="X129" s="25"/>
      <c r="Y129" s="147"/>
      <c r="Z129" s="148"/>
      <c r="AB129" s="55"/>
      <c r="AC129" s="25"/>
      <c r="AD129" s="25"/>
      <c r="AE129" s="25"/>
      <c r="AF129" s="25"/>
      <c r="AG129" s="25"/>
      <c r="AH129" s="147"/>
      <c r="AI129" s="148"/>
    </row>
    <row r="130" customFormat="false" ht="17.35" hidden="false" customHeight="false" outlineLevel="0" collapsed="false">
      <c r="A130" s="149" t="s">
        <v>127</v>
      </c>
      <c r="B130" s="147" t="s">
        <v>128</v>
      </c>
      <c r="C130" s="147"/>
      <c r="D130" s="147" t="s">
        <v>129</v>
      </c>
      <c r="E130" s="147"/>
      <c r="F130" s="147" t="s">
        <v>123</v>
      </c>
      <c r="G130" s="147"/>
      <c r="H130" s="148" t="s">
        <v>120</v>
      </c>
      <c r="J130" s="149" t="s">
        <v>127</v>
      </c>
      <c r="K130" s="147" t="s">
        <v>128</v>
      </c>
      <c r="L130" s="147"/>
      <c r="M130" s="147" t="s">
        <v>129</v>
      </c>
      <c r="N130" s="147"/>
      <c r="O130" s="147" t="s">
        <v>123</v>
      </c>
      <c r="P130" s="147"/>
      <c r="Q130" s="148" t="s">
        <v>120</v>
      </c>
      <c r="S130" s="149" t="s">
        <v>127</v>
      </c>
      <c r="T130" s="147" t="s">
        <v>128</v>
      </c>
      <c r="U130" s="147"/>
      <c r="V130" s="147" t="s">
        <v>129</v>
      </c>
      <c r="W130" s="147"/>
      <c r="X130" s="147" t="s">
        <v>123</v>
      </c>
      <c r="Y130" s="147"/>
      <c r="Z130" s="148" t="s">
        <v>120</v>
      </c>
      <c r="AB130" s="149" t="s">
        <v>127</v>
      </c>
      <c r="AC130" s="147" t="s">
        <v>128</v>
      </c>
      <c r="AD130" s="147"/>
      <c r="AE130" s="147" t="s">
        <v>129</v>
      </c>
      <c r="AF130" s="147"/>
      <c r="AG130" s="147" t="s">
        <v>123</v>
      </c>
      <c r="AH130" s="147"/>
      <c r="AI130" s="148" t="s">
        <v>120</v>
      </c>
    </row>
    <row r="131" customFormat="false" ht="17.35" hidden="false" customHeight="false" outlineLevel="0" collapsed="false">
      <c r="A131" s="55" t="s">
        <v>130</v>
      </c>
      <c r="B131" s="150" t="n">
        <f aca="false">G128</f>
        <v>0</v>
      </c>
      <c r="C131" s="150"/>
      <c r="D131" s="151" t="n">
        <v>0</v>
      </c>
      <c r="E131" s="151"/>
      <c r="F131" s="150" t="n">
        <v>0</v>
      </c>
      <c r="G131" s="150"/>
      <c r="H131" s="152" t="n">
        <f aca="false">(B131-(B131*D131))-F131</f>
        <v>0</v>
      </c>
      <c r="J131" s="55" t="s">
        <v>130</v>
      </c>
      <c r="K131" s="150" t="n">
        <f aca="false">P128</f>
        <v>0</v>
      </c>
      <c r="L131" s="150"/>
      <c r="M131" s="151" t="n">
        <v>0</v>
      </c>
      <c r="N131" s="151"/>
      <c r="O131" s="150" t="n">
        <v>0</v>
      </c>
      <c r="P131" s="150"/>
      <c r="Q131" s="152" t="n">
        <f aca="false">(K131-(K131*M131))-O131</f>
        <v>0</v>
      </c>
      <c r="S131" s="55" t="s">
        <v>130</v>
      </c>
      <c r="T131" s="150" t="n">
        <f aca="false">Y128</f>
        <v>0</v>
      </c>
      <c r="U131" s="150"/>
      <c r="V131" s="151" t="n">
        <v>0</v>
      </c>
      <c r="W131" s="151"/>
      <c r="X131" s="150" t="n">
        <v>0</v>
      </c>
      <c r="Y131" s="150"/>
      <c r="Z131" s="152" t="n">
        <f aca="false">(T131-(T131*V131))-X131</f>
        <v>0</v>
      </c>
      <c r="AB131" s="55" t="s">
        <v>130</v>
      </c>
      <c r="AC131" s="150" t="n">
        <f aca="false">AH128</f>
        <v>0</v>
      </c>
      <c r="AD131" s="150"/>
      <c r="AE131" s="151" t="n">
        <v>0</v>
      </c>
      <c r="AF131" s="151"/>
      <c r="AG131" s="150" t="n">
        <v>0</v>
      </c>
      <c r="AH131" s="150"/>
      <c r="AI131" s="152" t="n">
        <f aca="false">(AC131-(AC131*AE131))-AG131</f>
        <v>0</v>
      </c>
    </row>
    <row r="132" customFormat="false" ht="17.35" hidden="false" customHeight="false" outlineLevel="0" collapsed="false">
      <c r="A132" s="55" t="s">
        <v>131</v>
      </c>
      <c r="B132" s="150" t="n">
        <v>0</v>
      </c>
      <c r="C132" s="150"/>
      <c r="D132" s="151" t="n">
        <v>0</v>
      </c>
      <c r="E132" s="151"/>
      <c r="F132" s="150" t="n">
        <v>0</v>
      </c>
      <c r="G132" s="150"/>
      <c r="H132" s="152" t="n">
        <f aca="false">(B132-(B132*D132))-F132</f>
        <v>0</v>
      </c>
      <c r="J132" s="55" t="s">
        <v>131</v>
      </c>
      <c r="K132" s="150" t="n">
        <v>0</v>
      </c>
      <c r="L132" s="150"/>
      <c r="M132" s="151" t="n">
        <v>0</v>
      </c>
      <c r="N132" s="151"/>
      <c r="O132" s="150" t="n">
        <v>0</v>
      </c>
      <c r="P132" s="150"/>
      <c r="Q132" s="152" t="n">
        <f aca="false">(K132-(K132*M132))-O132</f>
        <v>0</v>
      </c>
      <c r="S132" s="55" t="s">
        <v>131</v>
      </c>
      <c r="T132" s="150" t="n">
        <v>0</v>
      </c>
      <c r="U132" s="150"/>
      <c r="V132" s="151" t="n">
        <v>0</v>
      </c>
      <c r="W132" s="151"/>
      <c r="X132" s="150" t="n">
        <v>0</v>
      </c>
      <c r="Y132" s="150"/>
      <c r="Z132" s="152" t="n">
        <f aca="false">(T132-(T132*V132))-X132</f>
        <v>0</v>
      </c>
      <c r="AB132" s="55" t="s">
        <v>131</v>
      </c>
      <c r="AC132" s="150" t="n">
        <v>0</v>
      </c>
      <c r="AD132" s="150"/>
      <c r="AE132" s="151" t="n">
        <v>0</v>
      </c>
      <c r="AF132" s="151"/>
      <c r="AG132" s="150" t="n">
        <v>0</v>
      </c>
      <c r="AH132" s="150"/>
      <c r="AI132" s="152" t="n">
        <f aca="false">(AC132-(AC132*AE132))-AG132</f>
        <v>0</v>
      </c>
    </row>
    <row r="133" customFormat="false" ht="17.35" hidden="false" customHeight="false" outlineLevel="0" collapsed="false">
      <c r="A133" s="55" t="s">
        <v>132</v>
      </c>
      <c r="B133" s="150" t="n">
        <v>0</v>
      </c>
      <c r="C133" s="150"/>
      <c r="D133" s="151" t="n">
        <v>0</v>
      </c>
      <c r="E133" s="151"/>
      <c r="F133" s="150" t="n">
        <v>0</v>
      </c>
      <c r="G133" s="150"/>
      <c r="H133" s="152" t="n">
        <f aca="false">(B133-(B133*D133))-F133</f>
        <v>0</v>
      </c>
      <c r="J133" s="55" t="s">
        <v>132</v>
      </c>
      <c r="K133" s="150" t="n">
        <v>0</v>
      </c>
      <c r="L133" s="150"/>
      <c r="M133" s="151" t="n">
        <v>0</v>
      </c>
      <c r="N133" s="151"/>
      <c r="O133" s="150" t="n">
        <v>0</v>
      </c>
      <c r="P133" s="150"/>
      <c r="Q133" s="152" t="n">
        <f aca="false">(K133-(K133*M133))-O133</f>
        <v>0</v>
      </c>
      <c r="S133" s="55" t="s">
        <v>132</v>
      </c>
      <c r="T133" s="150" t="n">
        <v>0</v>
      </c>
      <c r="U133" s="150"/>
      <c r="V133" s="151" t="n">
        <v>0</v>
      </c>
      <c r="W133" s="151"/>
      <c r="X133" s="150" t="n">
        <v>0</v>
      </c>
      <c r="Y133" s="150"/>
      <c r="Z133" s="152" t="n">
        <f aca="false">(T133-(T133*V133))-X133</f>
        <v>0</v>
      </c>
      <c r="AB133" s="55" t="s">
        <v>132</v>
      </c>
      <c r="AC133" s="150" t="n">
        <v>0</v>
      </c>
      <c r="AD133" s="150"/>
      <c r="AE133" s="151" t="n">
        <v>0</v>
      </c>
      <c r="AF133" s="151"/>
      <c r="AG133" s="150" t="n">
        <v>0</v>
      </c>
      <c r="AH133" s="150"/>
      <c r="AI133" s="152" t="n">
        <f aca="false">(AC133-(AC133*AE133))-AG133</f>
        <v>0</v>
      </c>
    </row>
    <row r="134" customFormat="false" ht="17.35" hidden="false" customHeight="false" outlineLevel="0" collapsed="false">
      <c r="A134" s="55"/>
      <c r="B134" s="25"/>
      <c r="C134" s="25"/>
      <c r="D134" s="25"/>
      <c r="E134" s="25"/>
      <c r="F134" s="25"/>
      <c r="G134" s="147"/>
      <c r="H134" s="148"/>
      <c r="J134" s="55"/>
      <c r="K134" s="25"/>
      <c r="L134" s="25"/>
      <c r="M134" s="25"/>
      <c r="N134" s="25"/>
      <c r="O134" s="25"/>
      <c r="P134" s="147"/>
      <c r="Q134" s="148"/>
      <c r="S134" s="55"/>
      <c r="T134" s="25"/>
      <c r="U134" s="25"/>
      <c r="V134" s="25"/>
      <c r="W134" s="25"/>
      <c r="X134" s="25"/>
      <c r="Y134" s="147"/>
      <c r="Z134" s="148"/>
      <c r="AB134" s="55"/>
      <c r="AC134" s="25"/>
      <c r="AD134" s="25"/>
      <c r="AE134" s="25"/>
      <c r="AF134" s="25"/>
      <c r="AG134" s="25"/>
      <c r="AH134" s="147"/>
      <c r="AI134" s="148"/>
    </row>
    <row r="135" customFormat="false" ht="19.7" hidden="false" customHeight="false" outlineLevel="0" collapsed="false">
      <c r="A135" s="153" t="s">
        <v>133</v>
      </c>
      <c r="B135" s="153"/>
      <c r="C135" s="153"/>
      <c r="D135" s="153"/>
      <c r="E135" s="153"/>
      <c r="F135" s="153"/>
      <c r="G135" s="29" t="n">
        <f aca="false">B121</f>
        <v>23958.33</v>
      </c>
      <c r="H135" s="154" t="n">
        <f aca="false">C125+E125+G125+H128</f>
        <v>25833.33</v>
      </c>
      <c r="J135" s="153" t="s">
        <v>133</v>
      </c>
      <c r="K135" s="153"/>
      <c r="L135" s="153"/>
      <c r="M135" s="153"/>
      <c r="N135" s="153"/>
      <c r="O135" s="153"/>
      <c r="P135" s="29" t="n">
        <f aca="false">H9</f>
        <v>0</v>
      </c>
      <c r="Q135" s="154" t="e">
        <f aca="false">L125+N125+P125+Q128</f>
        <v>#VALUE!</v>
      </c>
      <c r="S135" s="153" t="s">
        <v>133</v>
      </c>
      <c r="T135" s="153"/>
      <c r="U135" s="153"/>
      <c r="V135" s="153"/>
      <c r="W135" s="153"/>
      <c r="X135" s="153"/>
      <c r="Y135" s="29" t="n">
        <f aca="false">H9</f>
        <v>0</v>
      </c>
      <c r="Z135" s="154" t="e">
        <f aca="false">U125+W125+Y125+Z128</f>
        <v>#VALUE!</v>
      </c>
      <c r="AB135" s="153" t="s">
        <v>133</v>
      </c>
      <c r="AC135" s="153"/>
      <c r="AD135" s="153"/>
      <c r="AE135" s="153"/>
      <c r="AF135" s="153"/>
      <c r="AG135" s="153"/>
      <c r="AH135" s="29" t="n">
        <f aca="false">H9</f>
        <v>0</v>
      </c>
      <c r="AI135" s="154" t="e">
        <f aca="false">AD125+AF125+AH125+AI128</f>
        <v>#VALUE!</v>
      </c>
    </row>
    <row r="136" customFormat="false" ht="17.35" hidden="false" customHeight="false" outlineLevel="0" collapsed="false">
      <c r="A136" s="155" t="s">
        <v>134</v>
      </c>
      <c r="B136" s="155"/>
      <c r="C136" s="155"/>
      <c r="D136" s="155"/>
      <c r="E136" s="155"/>
      <c r="F136" s="155"/>
      <c r="G136" s="21" t="n">
        <f aca="false">H10</f>
        <v>0</v>
      </c>
      <c r="H136" s="20" t="n">
        <f aca="false">G136</f>
        <v>0</v>
      </c>
      <c r="J136" s="155" t="s">
        <v>134</v>
      </c>
      <c r="K136" s="155"/>
      <c r="L136" s="155"/>
      <c r="M136" s="155"/>
      <c r="N136" s="155"/>
      <c r="O136" s="155"/>
      <c r="P136" s="21" t="n">
        <f aca="false">H10</f>
        <v>0</v>
      </c>
      <c r="Q136" s="20" t="n">
        <f aca="false">P136</f>
        <v>0</v>
      </c>
      <c r="S136" s="155" t="s">
        <v>134</v>
      </c>
      <c r="T136" s="155"/>
      <c r="U136" s="155"/>
      <c r="V136" s="155"/>
      <c r="W136" s="155"/>
      <c r="X136" s="155"/>
      <c r="Y136" s="21" t="n">
        <f aca="false">H10</f>
        <v>0</v>
      </c>
      <c r="Z136" s="20" t="n">
        <f aca="false">Y136</f>
        <v>0</v>
      </c>
      <c r="AB136" s="155" t="s">
        <v>134</v>
      </c>
      <c r="AC136" s="155"/>
      <c r="AD136" s="155"/>
      <c r="AE136" s="155"/>
      <c r="AF136" s="155"/>
      <c r="AG136" s="155"/>
      <c r="AH136" s="21" t="n">
        <f aca="false">H10</f>
        <v>0</v>
      </c>
      <c r="AI136" s="20" t="n">
        <f aca="false">AH136</f>
        <v>0</v>
      </c>
    </row>
    <row r="137" customFormat="false" ht="17.35" hidden="false" customHeight="false" outlineLevel="0" collapsed="false">
      <c r="A137" s="155" t="s">
        <v>135</v>
      </c>
      <c r="B137" s="155"/>
      <c r="C137" s="155"/>
      <c r="D137" s="155"/>
      <c r="E137" s="155"/>
      <c r="F137" s="155"/>
      <c r="G137" s="20" t="n">
        <f aca="false">(G135+G136)*20%</f>
        <v>4791.666</v>
      </c>
      <c r="H137" s="20" t="n">
        <f aca="false">(H135+H136)*20%</f>
        <v>5166.666</v>
      </c>
      <c r="J137" s="155" t="s">
        <v>135</v>
      </c>
      <c r="K137" s="155"/>
      <c r="L137" s="155"/>
      <c r="M137" s="155"/>
      <c r="N137" s="155"/>
      <c r="O137" s="155"/>
      <c r="P137" s="21" t="n">
        <f aca="false">H11</f>
        <v>0</v>
      </c>
      <c r="Q137" s="20" t="e">
        <f aca="false">(Q135+Q136)*20%</f>
        <v>#VALUE!</v>
      </c>
      <c r="S137" s="155" t="s">
        <v>135</v>
      </c>
      <c r="T137" s="155"/>
      <c r="U137" s="155"/>
      <c r="V137" s="155"/>
      <c r="W137" s="155"/>
      <c r="X137" s="155"/>
      <c r="Y137" s="21" t="n">
        <f aca="false">H11</f>
        <v>0</v>
      </c>
      <c r="Z137" s="20" t="e">
        <f aca="false">(Z135+Z136)*20%</f>
        <v>#VALUE!</v>
      </c>
      <c r="AB137" s="155" t="s">
        <v>135</v>
      </c>
      <c r="AC137" s="155"/>
      <c r="AD137" s="155"/>
      <c r="AE137" s="155"/>
      <c r="AF137" s="155"/>
      <c r="AG137" s="155"/>
      <c r="AH137" s="21" t="n">
        <f aca="false">H11</f>
        <v>0</v>
      </c>
      <c r="AI137" s="20" t="e">
        <f aca="false">(AI135+AI136)*20%</f>
        <v>#VALUE!</v>
      </c>
    </row>
    <row r="138" customFormat="false" ht="17.35" hidden="false" customHeight="false" outlineLevel="0" collapsed="false">
      <c r="A138" s="155" t="s">
        <v>136</v>
      </c>
      <c r="B138" s="155"/>
      <c r="C138" s="155"/>
      <c r="D138" s="155"/>
      <c r="E138" s="155"/>
      <c r="F138" s="155"/>
      <c r="G138" s="21" t="n">
        <f aca="false">H12</f>
        <v>0</v>
      </c>
      <c r="H138" s="20" t="n">
        <v>0</v>
      </c>
      <c r="J138" s="155" t="s">
        <v>136</v>
      </c>
      <c r="K138" s="155"/>
      <c r="L138" s="155"/>
      <c r="M138" s="155"/>
      <c r="N138" s="155"/>
      <c r="O138" s="155"/>
      <c r="P138" s="21" t="n">
        <f aca="false">H12</f>
        <v>0</v>
      </c>
      <c r="Q138" s="20" t="n">
        <f aca="false">P138</f>
        <v>0</v>
      </c>
      <c r="S138" s="155" t="s">
        <v>136</v>
      </c>
      <c r="T138" s="155"/>
      <c r="U138" s="155"/>
      <c r="V138" s="155"/>
      <c r="W138" s="155"/>
      <c r="X138" s="155"/>
      <c r="Y138" s="21" t="n">
        <f aca="false">H12</f>
        <v>0</v>
      </c>
      <c r="Z138" s="20" t="n">
        <f aca="false">Y138</f>
        <v>0</v>
      </c>
      <c r="AB138" s="155" t="s">
        <v>136</v>
      </c>
      <c r="AC138" s="155"/>
      <c r="AD138" s="155"/>
      <c r="AE138" s="155"/>
      <c r="AF138" s="155"/>
      <c r="AG138" s="155"/>
      <c r="AH138" s="21" t="n">
        <f aca="false">H12</f>
        <v>0</v>
      </c>
      <c r="AI138" s="20" t="n">
        <f aca="false">AH138</f>
        <v>0</v>
      </c>
    </row>
    <row r="139" customFormat="false" ht="17.35" hidden="false" customHeight="false" outlineLevel="0" collapsed="false">
      <c r="A139" s="155" t="s">
        <v>137</v>
      </c>
      <c r="B139" s="155"/>
      <c r="C139" s="155"/>
      <c r="D139" s="155"/>
      <c r="E139" s="155"/>
      <c r="F139" s="155"/>
      <c r="G139" s="21" t="n">
        <f aca="false">H13</f>
        <v>0</v>
      </c>
      <c r="H139" s="20" t="n">
        <f aca="false">G139</f>
        <v>0</v>
      </c>
      <c r="J139" s="155" t="s">
        <v>137</v>
      </c>
      <c r="K139" s="155"/>
      <c r="L139" s="155"/>
      <c r="M139" s="155"/>
      <c r="N139" s="155"/>
      <c r="O139" s="155"/>
      <c r="P139" s="21" t="n">
        <f aca="false">H13</f>
        <v>0</v>
      </c>
      <c r="Q139" s="20" t="n">
        <f aca="false">P139</f>
        <v>0</v>
      </c>
      <c r="S139" s="155" t="s">
        <v>137</v>
      </c>
      <c r="T139" s="155"/>
      <c r="U139" s="155"/>
      <c r="V139" s="155"/>
      <c r="W139" s="155"/>
      <c r="X139" s="155"/>
      <c r="Y139" s="21" t="n">
        <f aca="false">H13</f>
        <v>0</v>
      </c>
      <c r="Z139" s="20" t="n">
        <f aca="false">Y139</f>
        <v>0</v>
      </c>
      <c r="AB139" s="155" t="s">
        <v>137</v>
      </c>
      <c r="AC139" s="155"/>
      <c r="AD139" s="155"/>
      <c r="AE139" s="155"/>
      <c r="AF139" s="155"/>
      <c r="AG139" s="155"/>
      <c r="AH139" s="21" t="n">
        <f aca="false">H13</f>
        <v>0</v>
      </c>
      <c r="AI139" s="20" t="n">
        <f aca="false">AH139</f>
        <v>0</v>
      </c>
    </row>
    <row r="140" customFormat="false" ht="17.35" hidden="false" customHeight="false" outlineLevel="0" collapsed="false">
      <c r="A140" s="155" t="s">
        <v>138</v>
      </c>
      <c r="B140" s="155"/>
      <c r="C140" s="155"/>
      <c r="D140" s="155"/>
      <c r="E140" s="155"/>
      <c r="F140" s="155"/>
      <c r="G140" s="21" t="n">
        <f aca="false">H14</f>
        <v>0</v>
      </c>
      <c r="H140" s="20" t="n">
        <v>0</v>
      </c>
      <c r="J140" s="155" t="s">
        <v>138</v>
      </c>
      <c r="K140" s="155"/>
      <c r="L140" s="155"/>
      <c r="M140" s="155"/>
      <c r="N140" s="155"/>
      <c r="O140" s="155"/>
      <c r="P140" s="21" t="n">
        <f aca="false">H14</f>
        <v>0</v>
      </c>
      <c r="Q140" s="20" t="n">
        <v>55</v>
      </c>
      <c r="S140" s="155" t="s">
        <v>138</v>
      </c>
      <c r="T140" s="155"/>
      <c r="U140" s="155"/>
      <c r="V140" s="155"/>
      <c r="W140" s="155"/>
      <c r="X140" s="155"/>
      <c r="Y140" s="21" t="n">
        <f aca="false">H14</f>
        <v>0</v>
      </c>
      <c r="Z140" s="20" t="n">
        <v>55</v>
      </c>
      <c r="AB140" s="155" t="s">
        <v>138</v>
      </c>
      <c r="AC140" s="155"/>
      <c r="AD140" s="155"/>
      <c r="AE140" s="155"/>
      <c r="AF140" s="155"/>
      <c r="AG140" s="155"/>
      <c r="AH140" s="21" t="n">
        <f aca="false">H14</f>
        <v>0</v>
      </c>
      <c r="AI140" s="20" t="n">
        <v>55</v>
      </c>
    </row>
    <row r="141" customFormat="false" ht="19.7" hidden="false" customHeight="false" outlineLevel="0" collapsed="false">
      <c r="A141" s="155" t="s">
        <v>139</v>
      </c>
      <c r="B141" s="155"/>
      <c r="C141" s="155"/>
      <c r="D141" s="155"/>
      <c r="E141" s="155"/>
      <c r="F141" s="155"/>
      <c r="G141" s="156" t="n">
        <f aca="false">(G135+G136+G139+G140+G137)-G138</f>
        <v>28749.996</v>
      </c>
      <c r="H141" s="156" t="n">
        <f aca="false">(H135+H136+H139+H140+H137)-H138</f>
        <v>30999.996</v>
      </c>
      <c r="J141" s="155" t="s">
        <v>139</v>
      </c>
      <c r="K141" s="155"/>
      <c r="L141" s="155"/>
      <c r="M141" s="155"/>
      <c r="N141" s="155"/>
      <c r="O141" s="155"/>
      <c r="P141" s="157" t="n">
        <f aca="false">H15</f>
        <v>0</v>
      </c>
      <c r="Q141" s="156" t="e">
        <f aca="false">(Q135+Q136+Q139+Q140+Q137)-Q138</f>
        <v>#VALUE!</v>
      </c>
      <c r="S141" s="155" t="s">
        <v>139</v>
      </c>
      <c r="T141" s="155"/>
      <c r="U141" s="155"/>
      <c r="V141" s="155"/>
      <c r="W141" s="155"/>
      <c r="X141" s="155"/>
      <c r="Y141" s="157" t="n">
        <f aca="false">H15</f>
        <v>0</v>
      </c>
      <c r="Z141" s="156" t="e">
        <f aca="false">(Z135+Z136+Z139+Z140+Z137)-Z138</f>
        <v>#VALUE!</v>
      </c>
      <c r="AB141" s="155" t="s">
        <v>139</v>
      </c>
      <c r="AC141" s="155"/>
      <c r="AD141" s="155"/>
      <c r="AE141" s="155"/>
      <c r="AF141" s="155"/>
      <c r="AG141" s="155"/>
      <c r="AH141" s="157" t="n">
        <f aca="false">H15</f>
        <v>0</v>
      </c>
      <c r="AI141" s="156" t="e">
        <f aca="false">(AI135+AI136+AI139+AI140+AI137)-AI138</f>
        <v>#VALUE!</v>
      </c>
    </row>
    <row r="142" customFormat="false" ht="17.35" hidden="false" customHeight="false" outlineLevel="0" collapsed="false">
      <c r="A142" s="155" t="s">
        <v>140</v>
      </c>
      <c r="B142" s="155"/>
      <c r="C142" s="155"/>
      <c r="D142" s="155"/>
      <c r="E142" s="155"/>
      <c r="F142" s="155"/>
      <c r="G142" s="21" t="n">
        <f aca="false">H16</f>
        <v>0</v>
      </c>
      <c r="H142" s="52" t="n">
        <f aca="false">G142</f>
        <v>0</v>
      </c>
      <c r="J142" s="155" t="s">
        <v>140</v>
      </c>
      <c r="K142" s="155"/>
      <c r="L142" s="155"/>
      <c r="M142" s="155"/>
      <c r="N142" s="155"/>
      <c r="O142" s="155"/>
      <c r="P142" s="21" t="n">
        <f aca="false">H16</f>
        <v>0</v>
      </c>
      <c r="Q142" s="52" t="n">
        <f aca="false">P142</f>
        <v>0</v>
      </c>
      <c r="S142" s="155" t="s">
        <v>140</v>
      </c>
      <c r="T142" s="155"/>
      <c r="U142" s="155"/>
      <c r="V142" s="155"/>
      <c r="W142" s="155"/>
      <c r="X142" s="155"/>
      <c r="Y142" s="21" t="n">
        <f aca="false">H16</f>
        <v>0</v>
      </c>
      <c r="Z142" s="52" t="n">
        <f aca="false">Y142</f>
        <v>0</v>
      </c>
      <c r="AB142" s="155" t="s">
        <v>140</v>
      </c>
      <c r="AC142" s="155"/>
      <c r="AD142" s="155"/>
      <c r="AE142" s="155"/>
      <c r="AF142" s="155"/>
      <c r="AG142" s="155"/>
      <c r="AH142" s="21" t="n">
        <f aca="false">H16</f>
        <v>0</v>
      </c>
      <c r="AI142" s="52" t="n">
        <f aca="false">AH142</f>
        <v>0</v>
      </c>
    </row>
    <row r="143" customFormat="false" ht="17.35" hidden="false" customHeight="false" outlineLevel="0" collapsed="false">
      <c r="A143" s="70" t="s">
        <v>141</v>
      </c>
      <c r="B143" s="70"/>
      <c r="C143" s="70"/>
      <c r="D143" s="70"/>
      <c r="E143" s="70"/>
      <c r="F143" s="70"/>
      <c r="G143" s="37"/>
      <c r="H143" s="20"/>
      <c r="J143" s="70" t="s">
        <v>141</v>
      </c>
      <c r="K143" s="70"/>
      <c r="L143" s="70"/>
      <c r="M143" s="70"/>
      <c r="N143" s="70"/>
      <c r="O143" s="70"/>
      <c r="P143" s="37"/>
      <c r="Q143" s="20"/>
      <c r="S143" s="70" t="s">
        <v>141</v>
      </c>
      <c r="T143" s="70"/>
      <c r="U143" s="70"/>
      <c r="V143" s="70"/>
      <c r="W143" s="70"/>
      <c r="X143" s="70"/>
      <c r="Y143" s="37"/>
      <c r="Z143" s="20"/>
      <c r="AB143" s="70" t="s">
        <v>141</v>
      </c>
      <c r="AC143" s="70"/>
      <c r="AD143" s="70"/>
      <c r="AE143" s="70"/>
      <c r="AF143" s="70"/>
      <c r="AG143" s="70"/>
      <c r="AH143" s="37"/>
      <c r="AI143" s="20"/>
    </row>
    <row r="144" customFormat="false" ht="17.35" hidden="false" customHeight="false" outlineLevel="0" collapsed="false">
      <c r="A144" s="158" t="s">
        <v>15</v>
      </c>
      <c r="B144" s="159" t="n">
        <v>0</v>
      </c>
      <c r="C144" s="159"/>
      <c r="D144" s="159"/>
      <c r="E144" s="159"/>
      <c r="F144" s="159"/>
      <c r="G144" s="21" t="n">
        <f aca="false">H18</f>
        <v>0</v>
      </c>
      <c r="H144" s="52" t="n">
        <v>0</v>
      </c>
      <c r="J144" s="158" t="s">
        <v>15</v>
      </c>
      <c r="K144" s="159" t="s">
        <v>142</v>
      </c>
      <c r="L144" s="159"/>
      <c r="M144" s="159"/>
      <c r="N144" s="159"/>
      <c r="O144" s="159"/>
      <c r="P144" s="21" t="n">
        <f aca="false">H18</f>
        <v>0</v>
      </c>
      <c r="Q144" s="52" t="n">
        <f aca="false">P144</f>
        <v>0</v>
      </c>
      <c r="S144" s="158" t="s">
        <v>15</v>
      </c>
      <c r="T144" s="159" t="s">
        <v>142</v>
      </c>
      <c r="U144" s="159"/>
      <c r="V144" s="159"/>
      <c r="W144" s="159"/>
      <c r="X144" s="159"/>
      <c r="Y144" s="21" t="n">
        <f aca="false">H18</f>
        <v>0</v>
      </c>
      <c r="Z144" s="52" t="n">
        <f aca="false">Y144</f>
        <v>0</v>
      </c>
      <c r="AB144" s="158" t="s">
        <v>15</v>
      </c>
      <c r="AC144" s="159" t="s">
        <v>142</v>
      </c>
      <c r="AD144" s="159"/>
      <c r="AE144" s="159"/>
      <c r="AF144" s="159"/>
      <c r="AG144" s="159"/>
      <c r="AH144" s="21" t="n">
        <f aca="false">H18</f>
        <v>0</v>
      </c>
      <c r="AI144" s="52" t="n">
        <f aca="false">AH144</f>
        <v>0</v>
      </c>
    </row>
    <row r="145" customFormat="false" ht="17.35" hidden="false" customHeight="false" outlineLevel="0" collapsed="false">
      <c r="A145" s="158" t="s">
        <v>17</v>
      </c>
      <c r="B145" s="159" t="s">
        <v>142</v>
      </c>
      <c r="C145" s="159"/>
      <c r="D145" s="159"/>
      <c r="E145" s="159"/>
      <c r="F145" s="159"/>
      <c r="G145" s="21" t="n">
        <f aca="false">H19</f>
        <v>0</v>
      </c>
      <c r="H145" s="52" t="n">
        <v>0</v>
      </c>
      <c r="I145" s="1" t="n">
        <f aca="false">(G142+G145+G146+G144)</f>
        <v>0</v>
      </c>
      <c r="J145" s="158" t="s">
        <v>17</v>
      </c>
      <c r="K145" s="159" t="s">
        <v>142</v>
      </c>
      <c r="L145" s="159"/>
      <c r="M145" s="159"/>
      <c r="N145" s="159"/>
      <c r="O145" s="159"/>
      <c r="P145" s="21" t="n">
        <f aca="false">H19</f>
        <v>0</v>
      </c>
      <c r="Q145" s="52" t="n">
        <f aca="false">P145</f>
        <v>0</v>
      </c>
      <c r="S145" s="158" t="s">
        <v>17</v>
      </c>
      <c r="T145" s="159" t="s">
        <v>142</v>
      </c>
      <c r="U145" s="159"/>
      <c r="V145" s="159"/>
      <c r="W145" s="159"/>
      <c r="X145" s="159"/>
      <c r="Y145" s="21" t="n">
        <f aca="false">H19</f>
        <v>0</v>
      </c>
      <c r="Z145" s="52" t="n">
        <f aca="false">Y145</f>
        <v>0</v>
      </c>
      <c r="AB145" s="158" t="s">
        <v>17</v>
      </c>
      <c r="AC145" s="159" t="s">
        <v>142</v>
      </c>
      <c r="AD145" s="159"/>
      <c r="AE145" s="159"/>
      <c r="AF145" s="159"/>
      <c r="AG145" s="159"/>
      <c r="AH145" s="21" t="n">
        <f aca="false">H19</f>
        <v>0</v>
      </c>
      <c r="AI145" s="52" t="n">
        <f aca="false">AH145</f>
        <v>0</v>
      </c>
    </row>
    <row r="146" customFormat="false" ht="17.35" hidden="false" customHeight="false" outlineLevel="0" collapsed="false">
      <c r="A146" s="160" t="s">
        <v>18</v>
      </c>
      <c r="B146" s="161" t="s">
        <v>142</v>
      </c>
      <c r="C146" s="161"/>
      <c r="D146" s="161"/>
      <c r="E146" s="161"/>
      <c r="F146" s="161"/>
      <c r="G146" s="21" t="n">
        <f aca="false">H20</f>
        <v>0</v>
      </c>
      <c r="H146" s="52" t="n">
        <v>0</v>
      </c>
      <c r="I146" s="1" t="n">
        <f aca="false">(H142+H144+H145+H146)</f>
        <v>0</v>
      </c>
      <c r="J146" s="160" t="s">
        <v>18</v>
      </c>
      <c r="K146" s="161" t="s">
        <v>142</v>
      </c>
      <c r="L146" s="161"/>
      <c r="M146" s="161"/>
      <c r="N146" s="161"/>
      <c r="O146" s="161"/>
      <c r="P146" s="21" t="n">
        <f aca="false">H20</f>
        <v>0</v>
      </c>
      <c r="Q146" s="52" t="n">
        <f aca="false">P146</f>
        <v>0</v>
      </c>
      <c r="S146" s="160" t="s">
        <v>18</v>
      </c>
      <c r="T146" s="161" t="s">
        <v>142</v>
      </c>
      <c r="U146" s="161"/>
      <c r="V146" s="161"/>
      <c r="W146" s="161"/>
      <c r="X146" s="161"/>
      <c r="Y146" s="21" t="n">
        <f aca="false">H20</f>
        <v>0</v>
      </c>
      <c r="Z146" s="52" t="n">
        <f aca="false">Y146</f>
        <v>0</v>
      </c>
      <c r="AB146" s="160" t="s">
        <v>18</v>
      </c>
      <c r="AC146" s="161" t="s">
        <v>142</v>
      </c>
      <c r="AD146" s="161"/>
      <c r="AE146" s="161"/>
      <c r="AF146" s="161"/>
      <c r="AG146" s="161"/>
      <c r="AH146" s="21" t="n">
        <f aca="false">H20</f>
        <v>0</v>
      </c>
      <c r="AI146" s="52" t="n">
        <f aca="false">AH146</f>
        <v>0</v>
      </c>
    </row>
    <row r="147" customFormat="false" ht="19.7" hidden="false" customHeight="false" outlineLevel="0" collapsed="false">
      <c r="A147" s="155" t="s">
        <v>143</v>
      </c>
      <c r="B147" s="155"/>
      <c r="C147" s="155"/>
      <c r="D147" s="155"/>
      <c r="E147" s="155"/>
      <c r="F147" s="155"/>
      <c r="G147" s="157" t="n">
        <f aca="false">G141-((G144*1.2)+(G145*1.2)+(G146*1.2)+(G142*1.2))</f>
        <v>28749.996</v>
      </c>
      <c r="H147" s="162" t="n">
        <f aca="false">H141-((H144*1.2)+(H145*1.2)+(H146*1.2)+(H142*1.2))</f>
        <v>30999.996</v>
      </c>
      <c r="J147" s="155" t="s">
        <v>143</v>
      </c>
      <c r="K147" s="155"/>
      <c r="L147" s="155"/>
      <c r="M147" s="155"/>
      <c r="N147" s="155"/>
      <c r="O147" s="155"/>
      <c r="P147" s="157" t="n">
        <f aca="false">P141-((P144*1.2)+(P145*1.2)+(P146*1.2)+(P142*1.2))</f>
        <v>0</v>
      </c>
      <c r="Q147" s="162" t="e">
        <f aca="false">Q141-((Q144*1.2)+(Q145*1.2)+(Q146*1.2)+(Q142*1.2))</f>
        <v>#VALUE!</v>
      </c>
      <c r="S147" s="155" t="s">
        <v>143</v>
      </c>
      <c r="T147" s="155"/>
      <c r="U147" s="155"/>
      <c r="V147" s="155"/>
      <c r="W147" s="155"/>
      <c r="X147" s="155"/>
      <c r="Y147" s="157" t="n">
        <f aca="false">Y141-((Y144*1.2)+(Y145*1.2)+(Y146*1.2)+(Y142*1.2))</f>
        <v>0</v>
      </c>
      <c r="Z147" s="162" t="e">
        <f aca="false">Z141-((Z144*1.2)+(Z145*1.2)+(Z146*1.2)+(Z142*1.2))</f>
        <v>#VALUE!</v>
      </c>
      <c r="AB147" s="155" t="s">
        <v>143</v>
      </c>
      <c r="AC147" s="155"/>
      <c r="AD147" s="155"/>
      <c r="AE147" s="155"/>
      <c r="AF147" s="155"/>
      <c r="AG147" s="155"/>
      <c r="AH147" s="157" t="n">
        <f aca="false">AH141-((AH144*1.2)+(AH145*1.2)+(AH146*1.2)+(AH142*1.2))</f>
        <v>0</v>
      </c>
      <c r="AI147" s="162" t="e">
        <f aca="false">AI141-((AI144*1.2)+(AI145*1.2)+(AI146*1.2)+(AI142*1.2))</f>
        <v>#VALUE!</v>
      </c>
    </row>
    <row r="148" customFormat="false" ht="17.35" hidden="false" customHeight="false" outlineLevel="0" collapsed="false">
      <c r="A148" s="155" t="s">
        <v>144</v>
      </c>
      <c r="B148" s="155"/>
      <c r="C148" s="155"/>
      <c r="D148" s="155"/>
      <c r="E148" s="155"/>
      <c r="F148" s="155"/>
      <c r="G148" s="21"/>
      <c r="H148" s="52" t="n">
        <f aca="false">((H147-G147)-(H137-G137))+((I146-I145)*0.2)</f>
        <v>1875</v>
      </c>
      <c r="I148" s="1" t="n">
        <f aca="false">(H148-G81)/1.2</f>
        <v>1562.5</v>
      </c>
      <c r="J148" s="155" t="s">
        <v>144</v>
      </c>
      <c r="K148" s="155"/>
      <c r="L148" s="155"/>
      <c r="M148" s="155"/>
      <c r="N148" s="155"/>
      <c r="O148" s="155"/>
      <c r="P148" s="21"/>
      <c r="Q148" s="52" t="e">
        <f aca="false">Q147-P147</f>
        <v>#VALUE!</v>
      </c>
      <c r="S148" s="155" t="s">
        <v>144</v>
      </c>
      <c r="T148" s="155"/>
      <c r="U148" s="155"/>
      <c r="V148" s="155"/>
      <c r="W148" s="155"/>
      <c r="X148" s="155"/>
      <c r="Y148" s="21"/>
      <c r="Z148" s="52" t="e">
        <f aca="false">Z147-Y147</f>
        <v>#VALUE!</v>
      </c>
      <c r="AB148" s="155" t="s">
        <v>144</v>
      </c>
      <c r="AC148" s="155"/>
      <c r="AD148" s="155"/>
      <c r="AE148" s="155"/>
      <c r="AF148" s="155"/>
      <c r="AG148" s="155"/>
      <c r="AH148" s="21"/>
      <c r="AI148" s="52" t="e">
        <f aca="false">AI147-AH147</f>
        <v>#VALUE!</v>
      </c>
    </row>
    <row r="149" customFormat="false" ht="17.35" hidden="false" customHeight="false" outlineLevel="0" collapsed="false">
      <c r="A149" s="55"/>
      <c r="B149" s="25"/>
      <c r="C149" s="25"/>
      <c r="D149" s="25"/>
      <c r="E149" s="45"/>
      <c r="F149" s="45"/>
      <c r="G149" s="45"/>
      <c r="H149" s="20"/>
      <c r="J149" s="55"/>
      <c r="K149" s="25"/>
      <c r="L149" s="25"/>
      <c r="M149" s="25"/>
      <c r="N149" s="45"/>
      <c r="O149" s="45"/>
      <c r="P149" s="45"/>
      <c r="Q149" s="20"/>
      <c r="S149" s="55"/>
      <c r="T149" s="25"/>
      <c r="U149" s="25"/>
      <c r="V149" s="25"/>
      <c r="W149" s="45"/>
      <c r="X149" s="45"/>
      <c r="Y149" s="45"/>
      <c r="Z149" s="20"/>
      <c r="AB149" s="55"/>
      <c r="AC149" s="25"/>
      <c r="AD149" s="25"/>
      <c r="AE149" s="25"/>
      <c r="AF149" s="45"/>
      <c r="AG149" s="45"/>
      <c r="AH149" s="45"/>
      <c r="AI149" s="20"/>
    </row>
    <row r="150" customFormat="false" ht="22.05" hidden="false" customHeight="false" outlineLevel="0" collapsed="false">
      <c r="A150" s="58" t="s">
        <v>145</v>
      </c>
      <c r="B150" s="58"/>
      <c r="C150" s="58"/>
      <c r="D150" s="58"/>
      <c r="E150" s="58"/>
      <c r="F150" s="58"/>
      <c r="G150" s="58"/>
      <c r="H150" s="58"/>
      <c r="J150" s="58" t="s">
        <v>145</v>
      </c>
      <c r="K150" s="58"/>
      <c r="L150" s="58"/>
      <c r="M150" s="58"/>
      <c r="N150" s="58"/>
      <c r="O150" s="58"/>
      <c r="P150" s="58"/>
      <c r="Q150" s="58"/>
      <c r="S150" s="58" t="s">
        <v>145</v>
      </c>
      <c r="T150" s="58"/>
      <c r="U150" s="58"/>
      <c r="V150" s="58"/>
      <c r="W150" s="58"/>
      <c r="X150" s="58"/>
      <c r="Y150" s="58"/>
      <c r="Z150" s="58"/>
      <c r="AB150" s="58" t="s">
        <v>145</v>
      </c>
      <c r="AC150" s="58"/>
      <c r="AD150" s="58"/>
      <c r="AE150" s="58"/>
      <c r="AF150" s="58"/>
      <c r="AG150" s="58"/>
      <c r="AH150" s="58"/>
      <c r="AI150" s="58"/>
    </row>
    <row r="151" customFormat="false" ht="17.35" hidden="false" customHeight="false" outlineLevel="0" collapsed="false">
      <c r="A151" s="55"/>
      <c r="B151" s="25"/>
      <c r="C151" s="25"/>
      <c r="D151" s="25"/>
      <c r="E151" s="45"/>
      <c r="F151" s="45"/>
      <c r="G151" s="45"/>
      <c r="H151" s="20"/>
      <c r="J151" s="55"/>
      <c r="K151" s="25"/>
      <c r="L151" s="25"/>
      <c r="M151" s="25"/>
      <c r="N151" s="45"/>
      <c r="O151" s="45"/>
      <c r="P151" s="45"/>
      <c r="Q151" s="20"/>
      <c r="S151" s="55"/>
      <c r="T151" s="25"/>
      <c r="U151" s="25"/>
      <c r="V151" s="25"/>
      <c r="W151" s="45"/>
      <c r="X151" s="45"/>
      <c r="Y151" s="45"/>
      <c r="Z151" s="20"/>
      <c r="AB151" s="55"/>
      <c r="AC151" s="25"/>
      <c r="AD151" s="25"/>
      <c r="AE151" s="25"/>
      <c r="AF151" s="45"/>
      <c r="AG151" s="45"/>
      <c r="AH151" s="45"/>
      <c r="AI151" s="20"/>
    </row>
    <row r="152" customFormat="false" ht="17.35" hidden="false" customHeight="false" outlineLevel="0" collapsed="false">
      <c r="A152" s="55" t="s">
        <v>146</v>
      </c>
      <c r="B152" s="25"/>
      <c r="C152" s="25"/>
      <c r="D152" s="45"/>
      <c r="E152" s="72" t="n">
        <v>2000.0</v>
      </c>
      <c r="F152" s="72"/>
      <c r="G152" s="72" t="n">
        <v>1000.0</v>
      </c>
      <c r="H152" s="72"/>
      <c r="J152" s="55" t="s">
        <v>146</v>
      </c>
      <c r="K152" s="25"/>
      <c r="L152" s="25"/>
      <c r="M152" s="45"/>
      <c r="N152" s="72" t="n">
        <v>10000</v>
      </c>
      <c r="O152" s="72"/>
      <c r="P152" s="72" t="n">
        <v>5000</v>
      </c>
      <c r="Q152" s="72"/>
      <c r="S152" s="55" t="s">
        <v>146</v>
      </c>
      <c r="T152" s="25"/>
      <c r="U152" s="25"/>
      <c r="V152" s="45"/>
      <c r="W152" s="72" t="n">
        <v>10000</v>
      </c>
      <c r="X152" s="72"/>
      <c r="Y152" s="72" t="n">
        <v>5000</v>
      </c>
      <c r="Z152" s="72"/>
      <c r="AB152" s="55" t="s">
        <v>146</v>
      </c>
      <c r="AC152" s="25"/>
      <c r="AD152" s="25"/>
      <c r="AE152" s="45"/>
      <c r="AF152" s="72" t="n">
        <v>10000</v>
      </c>
      <c r="AG152" s="72"/>
      <c r="AH152" s="72" t="n">
        <v>5000</v>
      </c>
      <c r="AI152" s="72"/>
    </row>
    <row r="153" customFormat="false" ht="17.35" hidden="false" customHeight="false" outlineLevel="0" collapsed="false">
      <c r="A153" s="55" t="s">
        <v>147</v>
      </c>
      <c r="B153" s="25"/>
      <c r="C153" s="25"/>
      <c r="D153" s="45"/>
      <c r="E153" s="38" t="n">
        <f aca="false">G153</f>
        <v>500</v>
      </c>
      <c r="F153" s="38"/>
      <c r="G153" s="72" t="n">
        <v>500.0</v>
      </c>
      <c r="H153" s="72"/>
      <c r="J153" s="55" t="s">
        <v>147</v>
      </c>
      <c r="K153" s="25"/>
      <c r="L153" s="25"/>
      <c r="M153" s="45"/>
      <c r="N153" s="38" t="n">
        <f aca="false">P153</f>
        <v>7000</v>
      </c>
      <c r="O153" s="38"/>
      <c r="P153" s="72" t="n">
        <v>7000</v>
      </c>
      <c r="Q153" s="72"/>
      <c r="S153" s="55" t="s">
        <v>147</v>
      </c>
      <c r="T153" s="25"/>
      <c r="U153" s="25"/>
      <c r="V153" s="45"/>
      <c r="W153" s="38" t="n">
        <f aca="false">Y153</f>
        <v>7000</v>
      </c>
      <c r="X153" s="38"/>
      <c r="Y153" s="72" t="n">
        <v>7000</v>
      </c>
      <c r="Z153" s="72"/>
      <c r="AB153" s="55" t="s">
        <v>147</v>
      </c>
      <c r="AC153" s="25"/>
      <c r="AD153" s="25"/>
      <c r="AE153" s="45"/>
      <c r="AF153" s="38" t="n">
        <f aca="false">AH153</f>
        <v>7000</v>
      </c>
      <c r="AG153" s="38"/>
      <c r="AH153" s="72" t="n">
        <v>7000</v>
      </c>
      <c r="AI153" s="72"/>
    </row>
    <row r="154" customFormat="false" ht="17.35" hidden="false" customHeight="false" outlineLevel="0" collapsed="false">
      <c r="A154" s="55" t="s">
        <v>148</v>
      </c>
      <c r="B154" s="25"/>
      <c r="C154" s="25"/>
      <c r="D154" s="45"/>
      <c r="E154" s="38" t="n">
        <f aca="false">E152-E153</f>
        <v>1500</v>
      </c>
      <c r="F154" s="38"/>
      <c r="G154" s="163" t="n">
        <f aca="false">G152-G153</f>
        <v>500</v>
      </c>
      <c r="H154" s="163"/>
      <c r="J154" s="55" t="s">
        <v>148</v>
      </c>
      <c r="K154" s="25"/>
      <c r="L154" s="25"/>
      <c r="M154" s="45"/>
      <c r="N154" s="38" t="n">
        <f aca="false">N152-N153</f>
        <v>3000</v>
      </c>
      <c r="O154" s="38"/>
      <c r="P154" s="163" t="n">
        <f aca="false">P152-P153</f>
        <v>-2000</v>
      </c>
      <c r="Q154" s="163"/>
      <c r="S154" s="55" t="s">
        <v>148</v>
      </c>
      <c r="T154" s="25"/>
      <c r="U154" s="25"/>
      <c r="V154" s="45"/>
      <c r="W154" s="38" t="n">
        <f aca="false">W152-W153</f>
        <v>3000</v>
      </c>
      <c r="X154" s="38"/>
      <c r="Y154" s="163" t="n">
        <f aca="false">Y152-Y153</f>
        <v>-2000</v>
      </c>
      <c r="Z154" s="163"/>
      <c r="AB154" s="55" t="s">
        <v>148</v>
      </c>
      <c r="AC154" s="25"/>
      <c r="AD154" s="25"/>
      <c r="AE154" s="45"/>
      <c r="AF154" s="38" t="n">
        <f aca="false">AF152-AF153</f>
        <v>3000</v>
      </c>
      <c r="AG154" s="38"/>
      <c r="AH154" s="163" t="n">
        <f aca="false">AH152-AH153</f>
        <v>-2000</v>
      </c>
      <c r="AI154" s="163"/>
    </row>
    <row r="155" customFormat="false" ht="17.35" hidden="false" customHeight="false" outlineLevel="0" collapsed="false">
      <c r="A155" s="55" t="s">
        <v>149</v>
      </c>
      <c r="B155" s="25"/>
      <c r="C155" s="25"/>
      <c r="D155" s="45"/>
      <c r="E155" s="38" t="n">
        <f aca="false">E154-G154</f>
        <v>1000</v>
      </c>
      <c r="F155" s="38"/>
      <c r="G155" s="45"/>
      <c r="H155" s="20"/>
      <c r="J155" s="55" t="s">
        <v>149</v>
      </c>
      <c r="K155" s="25"/>
      <c r="L155" s="25"/>
      <c r="M155" s="45"/>
      <c r="N155" s="38" t="n">
        <f aca="false">N154-P154</f>
        <v>5000</v>
      </c>
      <c r="O155" s="38"/>
      <c r="P155" s="45"/>
      <c r="Q155" s="20"/>
      <c r="S155" s="55" t="s">
        <v>149</v>
      </c>
      <c r="T155" s="25"/>
      <c r="U155" s="25"/>
      <c r="V155" s="45"/>
      <c r="W155" s="38" t="n">
        <f aca="false">W154-Y154</f>
        <v>5000</v>
      </c>
      <c r="X155" s="38"/>
      <c r="Y155" s="45"/>
      <c r="Z155" s="20"/>
      <c r="AB155" s="55" t="s">
        <v>149</v>
      </c>
      <c r="AC155" s="25"/>
      <c r="AD155" s="25"/>
      <c r="AE155" s="45"/>
      <c r="AF155" s="38" t="n">
        <f aca="false">AF154-AH154</f>
        <v>5000</v>
      </c>
      <c r="AG155" s="38"/>
      <c r="AH155" s="45"/>
      <c r="AI155" s="20"/>
    </row>
    <row r="156" customFormat="false" ht="17.35" hidden="false" customHeight="false" outlineLevel="0" collapsed="false">
      <c r="A156" s="55"/>
      <c r="B156" s="25"/>
      <c r="C156" s="25"/>
      <c r="D156" s="45"/>
      <c r="E156" s="25"/>
      <c r="F156" s="45"/>
      <c r="G156" s="45"/>
      <c r="H156" s="20"/>
      <c r="J156" s="55"/>
      <c r="K156" s="25"/>
      <c r="L156" s="25"/>
      <c r="M156" s="45"/>
      <c r="N156" s="25"/>
      <c r="O156" s="45"/>
      <c r="P156" s="45"/>
      <c r="Q156" s="20"/>
      <c r="S156" s="55"/>
      <c r="T156" s="25"/>
      <c r="U156" s="25"/>
      <c r="V156" s="45"/>
      <c r="W156" s="25"/>
      <c r="X156" s="45"/>
      <c r="Y156" s="45"/>
      <c r="Z156" s="20"/>
      <c r="AB156" s="55"/>
      <c r="AC156" s="25"/>
      <c r="AD156" s="25"/>
      <c r="AE156" s="45"/>
      <c r="AF156" s="25"/>
      <c r="AG156" s="45"/>
      <c r="AH156" s="45"/>
      <c r="AI156" s="20"/>
    </row>
    <row r="157" customFormat="false" ht="17.35" hidden="false" customHeight="false" outlineLevel="0" collapsed="false">
      <c r="A157" s="48" t="s">
        <v>150</v>
      </c>
      <c r="B157" s="49"/>
      <c r="C157" s="49"/>
      <c r="D157" s="93"/>
      <c r="E157" s="49"/>
      <c r="F157" s="93"/>
      <c r="G157" s="164" t="n">
        <f aca="false">A114</f>
        <v>2000</v>
      </c>
      <c r="H157" s="164"/>
      <c r="J157" s="48" t="s">
        <v>150</v>
      </c>
      <c r="K157" s="49"/>
      <c r="L157" s="49"/>
      <c r="M157" s="93"/>
      <c r="N157" s="49"/>
      <c r="O157" s="93"/>
      <c r="P157" s="164" t="n">
        <f aca="false">J114</f>
        <v>1000</v>
      </c>
      <c r="Q157" s="164"/>
      <c r="S157" s="48" t="s">
        <v>150</v>
      </c>
      <c r="T157" s="49"/>
      <c r="U157" s="49"/>
      <c r="V157" s="93"/>
      <c r="W157" s="49"/>
      <c r="X157" s="93"/>
      <c r="Y157" s="164" t="n">
        <f aca="false">S114</f>
        <v>1000</v>
      </c>
      <c r="Z157" s="164"/>
      <c r="AB157" s="48" t="s">
        <v>150</v>
      </c>
      <c r="AC157" s="49"/>
      <c r="AD157" s="49"/>
      <c r="AE157" s="93"/>
      <c r="AF157" s="49"/>
      <c r="AG157" s="93"/>
      <c r="AH157" s="164" t="n">
        <f aca="false">AB114</f>
        <v>1000</v>
      </c>
      <c r="AI157" s="164"/>
    </row>
    <row r="158" customFormat="false" ht="19.7" hidden="false" customHeight="false" outlineLevel="0" collapsed="false">
      <c r="A158" s="165" t="s">
        <v>151</v>
      </c>
      <c r="B158" s="25"/>
      <c r="C158" s="25"/>
      <c r="D158" s="94"/>
      <c r="E158" s="25"/>
      <c r="F158" s="94"/>
      <c r="G158" s="166" t="n">
        <f aca="false">H147-G154-G157</f>
        <v>28499.996</v>
      </c>
      <c r="H158" s="166"/>
      <c r="J158" s="165" t="s">
        <v>151</v>
      </c>
      <c r="K158" s="25"/>
      <c r="L158" s="25"/>
      <c r="M158" s="94"/>
      <c r="N158" s="25"/>
      <c r="O158" s="94"/>
      <c r="P158" s="166" t="e">
        <f aca="false">Q147-P154-P157</f>
        <v>#VALUE!</v>
      </c>
      <c r="Q158" s="166"/>
      <c r="S158" s="165" t="s">
        <v>151</v>
      </c>
      <c r="T158" s="25"/>
      <c r="U158" s="25"/>
      <c r="V158" s="94"/>
      <c r="W158" s="25"/>
      <c r="X158" s="94"/>
      <c r="Y158" s="166" t="e">
        <f aca="false">Z147-Y154-Y157</f>
        <v>#VALUE!</v>
      </c>
      <c r="Z158" s="166"/>
      <c r="AB158" s="165" t="s">
        <v>151</v>
      </c>
      <c r="AC158" s="25"/>
      <c r="AD158" s="25"/>
      <c r="AE158" s="94"/>
      <c r="AF158" s="25"/>
      <c r="AG158" s="94"/>
      <c r="AH158" s="166" t="e">
        <f aca="false">AI147-AH154-AH157</f>
        <v>#VALUE!</v>
      </c>
      <c r="AI158" s="166"/>
    </row>
    <row r="159" customFormat="false" ht="17.35" hidden="false" customHeight="false" outlineLevel="0" collapsed="false">
      <c r="A159" s="74" t="s">
        <v>152</v>
      </c>
      <c r="B159" s="75"/>
      <c r="C159" s="75"/>
      <c r="D159" s="116"/>
      <c r="E159" s="75"/>
      <c r="F159" s="116"/>
      <c r="G159" s="167" t="str">
        <f aca="false">B114</f>
        <v>239.99</v>
      </c>
      <c r="H159" s="167"/>
      <c r="J159" s="74" t="s">
        <v>152</v>
      </c>
      <c r="K159" s="75"/>
      <c r="L159" s="75"/>
      <c r="M159" s="116"/>
      <c r="N159" s="75"/>
      <c r="O159" s="116"/>
      <c r="P159" s="167" t="n">
        <f aca="false">K114</f>
        <v>239.99</v>
      </c>
      <c r="Q159" s="167"/>
      <c r="S159" s="74" t="s">
        <v>152</v>
      </c>
      <c r="T159" s="75"/>
      <c r="U159" s="75"/>
      <c r="V159" s="116"/>
      <c r="W159" s="75"/>
      <c r="X159" s="116"/>
      <c r="Y159" s="167" t="n">
        <f aca="false">T114</f>
        <v>199.99</v>
      </c>
      <c r="Z159" s="167"/>
      <c r="AB159" s="74" t="s">
        <v>152</v>
      </c>
      <c r="AC159" s="75"/>
      <c r="AD159" s="75"/>
      <c r="AE159" s="116"/>
      <c r="AF159" s="75"/>
      <c r="AG159" s="116"/>
      <c r="AH159" s="167" t="n">
        <f aca="false">AC114</f>
        <v>239.99</v>
      </c>
      <c r="AI159" s="167"/>
    </row>
    <row r="160" customFormat="false" ht="17.35" hidden="false" customHeight="false" outlineLevel="0" collapsed="false">
      <c r="A160" s="55"/>
      <c r="B160" s="25"/>
      <c r="C160" s="25"/>
      <c r="D160" s="25"/>
      <c r="E160" s="45"/>
      <c r="F160" s="45"/>
      <c r="G160" s="45"/>
      <c r="H160" s="20"/>
      <c r="J160" s="55"/>
      <c r="K160" s="25"/>
      <c r="L160" s="25"/>
      <c r="M160" s="25"/>
      <c r="N160" s="45"/>
      <c r="O160" s="45"/>
      <c r="P160" s="45"/>
      <c r="Q160" s="20"/>
      <c r="S160" s="55"/>
      <c r="T160" s="25"/>
      <c r="U160" s="25"/>
      <c r="V160" s="25"/>
      <c r="W160" s="45"/>
      <c r="X160" s="45"/>
      <c r="Y160" s="45"/>
      <c r="Z160" s="20"/>
      <c r="AB160" s="55"/>
      <c r="AC160" s="25"/>
      <c r="AD160" s="25"/>
      <c r="AE160" s="25"/>
      <c r="AF160" s="45"/>
      <c r="AG160" s="45"/>
      <c r="AH160" s="45"/>
      <c r="AI160" s="20"/>
    </row>
    <row r="161" customFormat="false" ht="17.35" hidden="false" customHeight="false" outlineLevel="0" collapsed="false">
      <c r="A161" s="55"/>
      <c r="B161" s="25"/>
      <c r="C161" s="25"/>
      <c r="D161" s="25"/>
      <c r="E161" s="45"/>
      <c r="F161" s="45"/>
      <c r="G161" s="45"/>
      <c r="H161" s="20"/>
      <c r="J161" s="55"/>
      <c r="K161" s="25"/>
      <c r="L161" s="25"/>
      <c r="M161" s="25"/>
      <c r="N161" s="45"/>
      <c r="O161" s="45"/>
      <c r="P161" s="45"/>
      <c r="Q161" s="20"/>
      <c r="S161" s="55"/>
      <c r="T161" s="25"/>
      <c r="U161" s="25"/>
      <c r="V161" s="25"/>
      <c r="W161" s="45"/>
      <c r="X161" s="45"/>
      <c r="Y161" s="45"/>
      <c r="Z161" s="20"/>
      <c r="AB161" s="55"/>
      <c r="AC161" s="25"/>
      <c r="AD161" s="25"/>
      <c r="AE161" s="25"/>
      <c r="AF161" s="45"/>
      <c r="AG161" s="45"/>
      <c r="AH161" s="45"/>
      <c r="AI161" s="20"/>
    </row>
    <row r="162" customFormat="false" ht="22.05" hidden="false" customHeight="false" outlineLevel="0" collapsed="false">
      <c r="A162" s="58" t="s">
        <v>153</v>
      </c>
      <c r="B162" s="58"/>
      <c r="C162" s="58"/>
      <c r="D162" s="58"/>
      <c r="E162" s="58"/>
      <c r="F162" s="58"/>
      <c r="G162" s="58"/>
      <c r="H162" s="58"/>
      <c r="J162" s="58" t="s">
        <v>153</v>
      </c>
      <c r="K162" s="58"/>
      <c r="L162" s="58"/>
      <c r="M162" s="58"/>
      <c r="N162" s="58"/>
      <c r="O162" s="58"/>
      <c r="P162" s="58"/>
      <c r="Q162" s="58"/>
      <c r="S162" s="58" t="s">
        <v>153</v>
      </c>
      <c r="T162" s="58"/>
      <c r="U162" s="58"/>
      <c r="V162" s="58"/>
      <c r="W162" s="58"/>
      <c r="X162" s="58"/>
      <c r="Y162" s="58"/>
      <c r="Z162" s="58"/>
      <c r="AB162" s="58" t="s">
        <v>153</v>
      </c>
      <c r="AC162" s="58"/>
      <c r="AD162" s="58"/>
      <c r="AE162" s="58"/>
      <c r="AF162" s="58"/>
      <c r="AG162" s="58"/>
      <c r="AH162" s="58"/>
      <c r="AI162" s="58"/>
    </row>
    <row r="163" customFormat="false" ht="17.35" hidden="false" customHeight="false" outlineLevel="0" collapsed="false">
      <c r="A163" s="55"/>
      <c r="B163" s="25"/>
      <c r="C163" s="25"/>
      <c r="D163" s="25"/>
      <c r="E163" s="45"/>
      <c r="F163" s="45"/>
      <c r="G163" s="45"/>
      <c r="H163" s="20"/>
      <c r="J163" s="55"/>
      <c r="K163" s="25"/>
      <c r="L163" s="25"/>
      <c r="M163" s="25"/>
      <c r="N163" s="45"/>
      <c r="O163" s="45"/>
      <c r="P163" s="45"/>
      <c r="Q163" s="20"/>
      <c r="S163" s="55"/>
      <c r="T163" s="25"/>
      <c r="U163" s="25"/>
      <c r="V163" s="25"/>
      <c r="W163" s="45"/>
      <c r="X163" s="45"/>
      <c r="Y163" s="45"/>
      <c r="Z163" s="20"/>
      <c r="AB163" s="55"/>
      <c r="AC163" s="25"/>
      <c r="AD163" s="25"/>
      <c r="AE163" s="25"/>
      <c r="AF163" s="45"/>
      <c r="AG163" s="45"/>
      <c r="AH163" s="45"/>
      <c r="AI163" s="20"/>
    </row>
    <row r="164" customFormat="false" ht="17.35" hidden="false" customHeight="false" outlineLevel="0" collapsed="false">
      <c r="A164" s="55" t="s">
        <v>29</v>
      </c>
      <c r="B164" s="168" t="n">
        <v>0</v>
      </c>
      <c r="C164" s="168"/>
      <c r="D164" s="25"/>
      <c r="E164" s="45"/>
      <c r="F164" s="45"/>
      <c r="G164" s="45"/>
      <c r="H164" s="20"/>
      <c r="J164" s="55" t="s">
        <v>29</v>
      </c>
      <c r="K164" s="168" t="n">
        <v>0</v>
      </c>
      <c r="L164" s="168"/>
      <c r="M164" s="25"/>
      <c r="N164" s="45"/>
      <c r="O164" s="45"/>
      <c r="P164" s="45"/>
      <c r="Q164" s="20"/>
      <c r="S164" s="55" t="s">
        <v>29</v>
      </c>
      <c r="T164" s="168" t="n">
        <v>0</v>
      </c>
      <c r="U164" s="168"/>
      <c r="V164" s="25"/>
      <c r="W164" s="45"/>
      <c r="X164" s="45"/>
      <c r="Y164" s="45"/>
      <c r="Z164" s="20"/>
      <c r="AB164" s="55" t="s">
        <v>29</v>
      </c>
      <c r="AC164" s="168" t="n">
        <v>0</v>
      </c>
      <c r="AD164" s="168"/>
      <c r="AE164" s="25"/>
      <c r="AF164" s="45"/>
      <c r="AG164" s="45"/>
      <c r="AH164" s="45"/>
      <c r="AI164" s="20"/>
    </row>
    <row r="165" customFormat="false" ht="17.35" hidden="false" customHeight="false" outlineLevel="0" collapsed="false">
      <c r="A165" s="55"/>
      <c r="B165" s="25"/>
      <c r="C165" s="25"/>
      <c r="D165" s="25"/>
      <c r="E165" s="45"/>
      <c r="F165" s="45"/>
      <c r="G165" s="45"/>
      <c r="H165" s="20"/>
      <c r="J165" s="55"/>
      <c r="K165" s="25"/>
      <c r="L165" s="25"/>
      <c r="M165" s="25"/>
      <c r="N165" s="45"/>
      <c r="O165" s="45"/>
      <c r="P165" s="45"/>
      <c r="Q165" s="20"/>
      <c r="S165" s="55"/>
      <c r="T165" s="25"/>
      <c r="U165" s="25"/>
      <c r="V165" s="25"/>
      <c r="W165" s="45"/>
      <c r="X165" s="45"/>
      <c r="Y165" s="45"/>
      <c r="Z165" s="20"/>
      <c r="AB165" s="55"/>
      <c r="AC165" s="25"/>
      <c r="AD165" s="25"/>
      <c r="AE165" s="25"/>
      <c r="AF165" s="45"/>
      <c r="AG165" s="45"/>
      <c r="AH165" s="45"/>
      <c r="AI165" s="20"/>
    </row>
    <row r="166" customFormat="false" ht="17.35" hidden="false" customHeight="false" outlineLevel="0" collapsed="false">
      <c r="A166" s="169" t="s">
        <v>154</v>
      </c>
      <c r="B166" s="170" t="s">
        <v>155</v>
      </c>
      <c r="C166" s="170"/>
      <c r="D166" s="170"/>
      <c r="E166" s="170" t="s">
        <v>156</v>
      </c>
      <c r="F166" s="45"/>
      <c r="G166" s="45"/>
      <c r="H166" s="20"/>
      <c r="J166" s="169" t="s">
        <v>154</v>
      </c>
      <c r="K166" s="170" t="s">
        <v>155</v>
      </c>
      <c r="L166" s="170"/>
      <c r="M166" s="170"/>
      <c r="N166" s="170" t="s">
        <v>156</v>
      </c>
      <c r="O166" s="45"/>
      <c r="P166" s="45"/>
      <c r="Q166" s="20"/>
      <c r="S166" s="169" t="s">
        <v>154</v>
      </c>
      <c r="T166" s="170" t="s">
        <v>155</v>
      </c>
      <c r="U166" s="170"/>
      <c r="V166" s="170"/>
      <c r="W166" s="170" t="s">
        <v>156</v>
      </c>
      <c r="X166" s="45"/>
      <c r="Y166" s="45"/>
      <c r="Z166" s="20"/>
      <c r="AB166" s="169" t="s">
        <v>154</v>
      </c>
      <c r="AC166" s="170" t="s">
        <v>155</v>
      </c>
      <c r="AD166" s="170"/>
      <c r="AE166" s="170"/>
      <c r="AF166" s="170" t="s">
        <v>156</v>
      </c>
      <c r="AG166" s="45"/>
      <c r="AH166" s="45"/>
      <c r="AI166" s="20"/>
    </row>
    <row r="167" customFormat="false" ht="17.35" hidden="false" customHeight="false" outlineLevel="0" collapsed="false">
      <c r="A167" s="171" t="n">
        <f aca="false">B95</f>
        <v>2504.93972800316</v>
      </c>
      <c r="B167" s="172" t="n">
        <f aca="false">B94</f>
        <v>33</v>
      </c>
      <c r="C167" s="170"/>
      <c r="D167" s="170"/>
      <c r="E167" s="172" t="n">
        <f aca="false">B96</f>
        <v>2537.93972800316</v>
      </c>
      <c r="F167" s="45"/>
      <c r="G167" s="45"/>
      <c r="H167" s="20"/>
      <c r="J167" s="173" t="e">
        <f aca="false">K95</f>
        <v>#VALUE!</v>
      </c>
      <c r="K167" s="172" t="n">
        <f aca="false">K94</f>
        <v>35.75</v>
      </c>
      <c r="L167" s="170"/>
      <c r="M167" s="170"/>
      <c r="N167" s="172" t="e">
        <f aca="false">K96</f>
        <v>#VALUE!</v>
      </c>
      <c r="O167" s="45"/>
      <c r="P167" s="45"/>
      <c r="Q167" s="20"/>
      <c r="S167" s="173" t="e">
        <f aca="false">T95</f>
        <v>#VALUE!</v>
      </c>
      <c r="T167" s="172" t="n">
        <f aca="false">T94</f>
        <v>30</v>
      </c>
      <c r="U167" s="170"/>
      <c r="V167" s="170"/>
      <c r="W167" s="172" t="e">
        <f aca="false">T96</f>
        <v>#VALUE!</v>
      </c>
      <c r="X167" s="45"/>
      <c r="Y167" s="45"/>
      <c r="Z167" s="20"/>
      <c r="AB167" s="173" t="e">
        <f aca="false">AC95</f>
        <v>#VALUE!</v>
      </c>
      <c r="AC167" s="172" t="n">
        <f aca="false">AC94</f>
        <v>36</v>
      </c>
      <c r="AD167" s="170"/>
      <c r="AE167" s="170"/>
      <c r="AF167" s="172" t="e">
        <f aca="false">AC96</f>
        <v>#VALUE!</v>
      </c>
      <c r="AG167" s="45"/>
      <c r="AH167" s="45"/>
      <c r="AI167" s="20"/>
    </row>
    <row r="168" customFormat="false" ht="17.35" hidden="false" customHeight="false" outlineLevel="0" collapsed="false">
      <c r="A168" s="55"/>
      <c r="B168" s="25"/>
      <c r="C168" s="25"/>
      <c r="D168" s="25"/>
      <c r="E168" s="45"/>
      <c r="F168" s="45"/>
      <c r="G168" s="45"/>
      <c r="H168" s="20"/>
      <c r="J168" s="55"/>
      <c r="K168" s="25"/>
      <c r="L168" s="25"/>
      <c r="M168" s="25"/>
      <c r="N168" s="45"/>
      <c r="O168" s="45"/>
      <c r="P168" s="45"/>
      <c r="Q168" s="20"/>
      <c r="S168" s="55"/>
      <c r="T168" s="25"/>
      <c r="U168" s="25"/>
      <c r="V168" s="25"/>
      <c r="W168" s="45"/>
      <c r="X168" s="45"/>
      <c r="Y168" s="45"/>
      <c r="Z168" s="20"/>
      <c r="AB168" s="55"/>
      <c r="AC168" s="25"/>
      <c r="AD168" s="25"/>
      <c r="AE168" s="25"/>
      <c r="AF168" s="45"/>
      <c r="AG168" s="45"/>
      <c r="AH168" s="45"/>
      <c r="AI168" s="20"/>
    </row>
    <row r="169" customFormat="false" ht="17.35" hidden="false" customHeight="false" outlineLevel="0" collapsed="false">
      <c r="A169" s="55" t="s">
        <v>28</v>
      </c>
      <c r="B169" s="25" t="s">
        <v>33</v>
      </c>
      <c r="C169" s="25"/>
      <c r="D169" s="45"/>
      <c r="E169" s="25" t="s">
        <v>157</v>
      </c>
      <c r="F169" s="45"/>
      <c r="G169" s="45"/>
      <c r="H169" s="20"/>
      <c r="J169" s="55" t="s">
        <v>28</v>
      </c>
      <c r="K169" s="25" t="s">
        <v>33</v>
      </c>
      <c r="L169" s="25"/>
      <c r="M169" s="45"/>
      <c r="N169" s="25" t="s">
        <v>157</v>
      </c>
      <c r="O169" s="45"/>
      <c r="P169" s="45"/>
      <c r="Q169" s="20"/>
      <c r="S169" s="55" t="s">
        <v>28</v>
      </c>
      <c r="T169" s="25" t="s">
        <v>33</v>
      </c>
      <c r="U169" s="25"/>
      <c r="V169" s="45"/>
      <c r="W169" s="25" t="s">
        <v>157</v>
      </c>
      <c r="X169" s="45"/>
      <c r="Y169" s="45"/>
      <c r="Z169" s="20"/>
      <c r="AB169" s="55" t="s">
        <v>28</v>
      </c>
      <c r="AC169" s="25" t="s">
        <v>33</v>
      </c>
      <c r="AD169" s="25"/>
      <c r="AE169" s="45"/>
      <c r="AF169" s="25" t="s">
        <v>157</v>
      </c>
      <c r="AG169" s="45"/>
      <c r="AH169" s="45"/>
      <c r="AI169" s="20"/>
    </row>
    <row r="170" customFormat="false" ht="17.35" hidden="false" customHeight="false" outlineLevel="0" collapsed="false">
      <c r="A170" s="63" t="n">
        <f aca="false">K29</f>
        <v>12</v>
      </c>
      <c r="B170" s="174" t="n">
        <f aca="false">K30</f>
        <v>10000</v>
      </c>
      <c r="C170" s="175"/>
      <c r="D170" s="45"/>
      <c r="E170" s="73" t="n">
        <f aca="false">IF(A111="YES", A40, 0)</f>
        <v>0</v>
      </c>
      <c r="F170" s="45"/>
      <c r="G170" s="45"/>
      <c r="H170" s="20"/>
      <c r="J170" s="63" t="n">
        <f aca="false">K29</f>
        <v>12</v>
      </c>
      <c r="K170" s="176" t="n">
        <f aca="false">K30</f>
        <v>10000</v>
      </c>
      <c r="L170" s="175"/>
      <c r="M170" s="45"/>
      <c r="N170" s="73" t="n">
        <f aca="false">IF(A111="YES", A40, 0)</f>
        <v>0</v>
      </c>
      <c r="O170" s="45"/>
      <c r="P170" s="45"/>
      <c r="Q170" s="20"/>
      <c r="S170" s="63" t="n">
        <f aca="false">K29</f>
        <v>12</v>
      </c>
      <c r="T170" s="176" t="n">
        <f aca="false">K30</f>
        <v>10000</v>
      </c>
      <c r="U170" s="175"/>
      <c r="V170" s="45"/>
      <c r="W170" s="73" t="n">
        <f aca="false">IF(A111="YES", A40, 0)</f>
        <v>0</v>
      </c>
      <c r="X170" s="45"/>
      <c r="Y170" s="45"/>
      <c r="Z170" s="20"/>
      <c r="AB170" s="63" t="n">
        <f aca="false">K29</f>
        <v>12</v>
      </c>
      <c r="AC170" s="176" t="n">
        <f aca="false">K30</f>
        <v>10000</v>
      </c>
      <c r="AD170" s="175"/>
      <c r="AE170" s="45"/>
      <c r="AF170" s="73" t="n">
        <f aca="false">IF(A111="YES", A40, 0)</f>
        <v>0</v>
      </c>
      <c r="AG170" s="45"/>
      <c r="AH170" s="45"/>
      <c r="AI170" s="20"/>
    </row>
    <row r="171" customFormat="false" ht="17.35" hidden="false" customHeight="false" outlineLevel="0" collapsed="false">
      <c r="A171" s="55"/>
      <c r="B171" s="25"/>
      <c r="C171" s="25"/>
      <c r="D171" s="45"/>
      <c r="E171" s="25"/>
      <c r="F171" s="45"/>
      <c r="G171" s="45"/>
      <c r="H171" s="20"/>
      <c r="J171" s="55"/>
      <c r="K171" s="25"/>
      <c r="L171" s="25"/>
      <c r="M171" s="45"/>
      <c r="N171" s="25"/>
      <c r="O171" s="45"/>
      <c r="P171" s="45"/>
      <c r="Q171" s="20"/>
      <c r="S171" s="55"/>
      <c r="T171" s="25"/>
      <c r="U171" s="25"/>
      <c r="V171" s="45"/>
      <c r="W171" s="25"/>
      <c r="X171" s="45"/>
      <c r="Y171" s="45"/>
      <c r="Z171" s="20"/>
      <c r="AB171" s="55"/>
      <c r="AC171" s="25"/>
      <c r="AD171" s="25"/>
      <c r="AE171" s="45"/>
      <c r="AF171" s="25"/>
      <c r="AG171" s="45"/>
      <c r="AH171" s="45"/>
      <c r="AI171" s="20"/>
    </row>
    <row r="172" customFormat="false" ht="17.35" hidden="false" customHeight="false" outlineLevel="0" collapsed="false">
      <c r="A172" s="55" t="s">
        <v>158</v>
      </c>
      <c r="B172" s="25" t="s">
        <v>159</v>
      </c>
      <c r="C172" s="25"/>
      <c r="D172" s="45"/>
      <c r="E172" s="25" t="s">
        <v>160</v>
      </c>
      <c r="F172" s="45"/>
      <c r="G172" s="45"/>
      <c r="H172" s="20"/>
      <c r="J172" s="55" t="s">
        <v>158</v>
      </c>
      <c r="K172" s="25" t="s">
        <v>159</v>
      </c>
      <c r="L172" s="25"/>
      <c r="M172" s="45"/>
      <c r="N172" s="25" t="s">
        <v>160</v>
      </c>
      <c r="O172" s="45"/>
      <c r="P172" s="45"/>
      <c r="Q172" s="20"/>
      <c r="S172" s="55" t="s">
        <v>158</v>
      </c>
      <c r="T172" s="25" t="s">
        <v>159</v>
      </c>
      <c r="U172" s="25"/>
      <c r="V172" s="45"/>
      <c r="W172" s="25" t="s">
        <v>160</v>
      </c>
      <c r="X172" s="45"/>
      <c r="Y172" s="45"/>
      <c r="Z172" s="20"/>
      <c r="AB172" s="55" t="s">
        <v>158</v>
      </c>
      <c r="AC172" s="25" t="s">
        <v>159</v>
      </c>
      <c r="AD172" s="25"/>
      <c r="AE172" s="45"/>
      <c r="AF172" s="25" t="s">
        <v>160</v>
      </c>
      <c r="AG172" s="45"/>
      <c r="AH172" s="45"/>
      <c r="AI172" s="20"/>
    </row>
    <row r="173" customFormat="false" ht="17.35" hidden="false" customHeight="false" outlineLevel="0" collapsed="false">
      <c r="A173" s="69" t="n">
        <f aca="false">H141-H137-H139-H140</f>
        <v>25833.33</v>
      </c>
      <c r="B173" s="37" t="n">
        <f aca="false">H137</f>
        <v>5166.666</v>
      </c>
      <c r="C173" s="67"/>
      <c r="D173" s="45"/>
      <c r="E173" s="73" t="n">
        <f aca="false">H139+H140</f>
        <v>0</v>
      </c>
      <c r="F173" s="45"/>
      <c r="G173" s="45"/>
      <c r="H173" s="20"/>
      <c r="J173" s="69" t="e">
        <f aca="false">Q141-Q137-Q139-Q140</f>
        <v>#VALUE!</v>
      </c>
      <c r="K173" s="37" t="e">
        <f aca="false">Q137</f>
        <v>#VALUE!</v>
      </c>
      <c r="L173" s="67"/>
      <c r="M173" s="45"/>
      <c r="N173" s="73" t="n">
        <f aca="false">Q139+Q140</f>
        <v>55</v>
      </c>
      <c r="O173" s="45"/>
      <c r="P173" s="45"/>
      <c r="Q173" s="20"/>
      <c r="S173" s="69" t="e">
        <f aca="false">Z141-Z137-Z139-Z140</f>
        <v>#VALUE!</v>
      </c>
      <c r="T173" s="37" t="e">
        <f aca="false">Z137</f>
        <v>#VALUE!</v>
      </c>
      <c r="U173" s="67"/>
      <c r="V173" s="45"/>
      <c r="W173" s="73" t="n">
        <f aca="false">Z139+Z140</f>
        <v>55</v>
      </c>
      <c r="X173" s="45"/>
      <c r="Y173" s="45"/>
      <c r="Z173" s="20"/>
      <c r="AB173" s="69" t="e">
        <f aca="false">AI141-AI137-AI139-AI140</f>
        <v>#VALUE!</v>
      </c>
      <c r="AC173" s="37" t="e">
        <f aca="false">AI137</f>
        <v>#VALUE!</v>
      </c>
      <c r="AD173" s="67"/>
      <c r="AE173" s="45"/>
      <c r="AF173" s="73" t="n">
        <f aca="false">AI139+AI140</f>
        <v>55</v>
      </c>
      <c r="AG173" s="45"/>
      <c r="AH173" s="45"/>
      <c r="AI173" s="20"/>
    </row>
    <row r="174" customFormat="false" ht="17.35" hidden="false" customHeight="false" outlineLevel="0" collapsed="false">
      <c r="A174" s="55"/>
      <c r="B174" s="25"/>
      <c r="C174" s="25"/>
      <c r="D174" s="45"/>
      <c r="E174" s="25"/>
      <c r="F174" s="45"/>
      <c r="G174" s="45"/>
      <c r="H174" s="20"/>
      <c r="J174" s="55"/>
      <c r="K174" s="25"/>
      <c r="L174" s="25"/>
      <c r="M174" s="45"/>
      <c r="N174" s="25"/>
      <c r="O174" s="45"/>
      <c r="P174" s="45"/>
      <c r="Q174" s="20"/>
      <c r="S174" s="55"/>
      <c r="T174" s="25"/>
      <c r="U174" s="25"/>
      <c r="V174" s="45"/>
      <c r="W174" s="25"/>
      <c r="X174" s="45"/>
      <c r="Y174" s="45"/>
      <c r="Z174" s="20"/>
      <c r="AB174" s="55"/>
      <c r="AC174" s="25"/>
      <c r="AD174" s="25"/>
      <c r="AE174" s="45"/>
      <c r="AF174" s="25"/>
      <c r="AG174" s="45"/>
      <c r="AH174" s="45"/>
      <c r="AI174" s="20"/>
    </row>
    <row r="175" customFormat="false" ht="17.35" hidden="false" customHeight="false" outlineLevel="0" collapsed="false">
      <c r="A175" s="55" t="s">
        <v>161</v>
      </c>
      <c r="B175" s="25" t="s">
        <v>108</v>
      </c>
      <c r="C175" s="25"/>
      <c r="D175" s="45"/>
      <c r="E175" s="25" t="s">
        <v>109</v>
      </c>
      <c r="F175" s="45"/>
      <c r="G175" s="45"/>
      <c r="H175" s="20"/>
      <c r="J175" s="55" t="s">
        <v>161</v>
      </c>
      <c r="K175" s="25" t="s">
        <v>108</v>
      </c>
      <c r="L175" s="25"/>
      <c r="M175" s="45"/>
      <c r="N175" s="25" t="s">
        <v>109</v>
      </c>
      <c r="O175" s="45"/>
      <c r="P175" s="45"/>
      <c r="Q175" s="20"/>
      <c r="S175" s="55" t="s">
        <v>161</v>
      </c>
      <c r="T175" s="25" t="s">
        <v>108</v>
      </c>
      <c r="U175" s="25"/>
      <c r="V175" s="45"/>
      <c r="W175" s="25" t="s">
        <v>109</v>
      </c>
      <c r="X175" s="45"/>
      <c r="Y175" s="45"/>
      <c r="Z175" s="20"/>
      <c r="AB175" s="55" t="s">
        <v>161</v>
      </c>
      <c r="AC175" s="25" t="s">
        <v>108</v>
      </c>
      <c r="AD175" s="25"/>
      <c r="AE175" s="45"/>
      <c r="AF175" s="25" t="s">
        <v>109</v>
      </c>
      <c r="AG175" s="45"/>
      <c r="AH175" s="45"/>
      <c r="AI175" s="20"/>
    </row>
    <row r="176" customFormat="false" ht="17.35" hidden="false" customHeight="false" outlineLevel="0" collapsed="false">
      <c r="A176" s="69" t="n">
        <f aca="false">H147</f>
        <v>30999.996</v>
      </c>
      <c r="B176" s="37" t="n">
        <f aca="false">B111</f>
        <v>1000</v>
      </c>
      <c r="C176" s="37"/>
      <c r="D176" s="45"/>
      <c r="E176" s="37" t="n">
        <f aca="false">E111</f>
        <v>1000</v>
      </c>
      <c r="F176" s="45"/>
      <c r="G176" s="45"/>
      <c r="H176" s="177"/>
      <c r="J176" s="69" t="e">
        <f aca="false">Q141</f>
        <v>#VALUE!</v>
      </c>
      <c r="K176" s="37" t="n">
        <f aca="false">K111</f>
        <v>1000</v>
      </c>
      <c r="L176" s="37"/>
      <c r="M176" s="45"/>
      <c r="N176" s="37" t="n">
        <f aca="false">N111</f>
        <v>0</v>
      </c>
      <c r="O176" s="45"/>
      <c r="P176" s="45"/>
      <c r="Q176" s="177"/>
      <c r="S176" s="69" t="e">
        <f aca="false">Z141</f>
        <v>#VALUE!</v>
      </c>
      <c r="T176" s="37" t="n">
        <f aca="false">T111</f>
        <v>1000</v>
      </c>
      <c r="U176" s="37"/>
      <c r="V176" s="45"/>
      <c r="W176" s="37" t="n">
        <f aca="false">W111</f>
        <v>0</v>
      </c>
      <c r="X176" s="45"/>
      <c r="Y176" s="45"/>
      <c r="Z176" s="177"/>
      <c r="AB176" s="69" t="e">
        <f aca="false">AI141</f>
        <v>#VALUE!</v>
      </c>
      <c r="AC176" s="37" t="n">
        <f aca="false">AC111</f>
        <v>1000</v>
      </c>
      <c r="AD176" s="37"/>
      <c r="AE176" s="45"/>
      <c r="AF176" s="37" t="n">
        <f aca="false">AF111</f>
        <v>0</v>
      </c>
      <c r="AG176" s="45"/>
      <c r="AH176" s="45"/>
      <c r="AI176" s="177"/>
    </row>
    <row r="177" customFormat="false" ht="17.35" hidden="false" customHeight="false" outlineLevel="0" collapsed="false">
      <c r="A177" s="55"/>
      <c r="B177" s="25"/>
      <c r="C177" s="25"/>
      <c r="D177" s="45"/>
      <c r="E177" s="25"/>
      <c r="F177" s="45"/>
      <c r="G177" s="45"/>
      <c r="H177" s="20"/>
      <c r="J177" s="55"/>
      <c r="K177" s="25"/>
      <c r="L177" s="25"/>
      <c r="M177" s="45"/>
      <c r="N177" s="25"/>
      <c r="O177" s="45"/>
      <c r="P177" s="45"/>
      <c r="Q177" s="20"/>
      <c r="S177" s="55"/>
      <c r="T177" s="25"/>
      <c r="U177" s="25"/>
      <c r="V177" s="45"/>
      <c r="W177" s="25"/>
      <c r="X177" s="45"/>
      <c r="Y177" s="45"/>
      <c r="Z177" s="20"/>
      <c r="AB177" s="55"/>
      <c r="AC177" s="25"/>
      <c r="AD177" s="25"/>
      <c r="AE177" s="45"/>
      <c r="AF177" s="25"/>
      <c r="AG177" s="45"/>
      <c r="AH177" s="45"/>
      <c r="AI177" s="20"/>
    </row>
    <row r="178" customFormat="false" ht="17.35" hidden="false" customHeight="false" outlineLevel="0" collapsed="false">
      <c r="A178" s="55" t="s">
        <v>110</v>
      </c>
      <c r="B178" s="25" t="s">
        <v>146</v>
      </c>
      <c r="C178" s="25"/>
      <c r="D178" s="45"/>
      <c r="E178" s="25" t="s">
        <v>151</v>
      </c>
      <c r="F178" s="45"/>
      <c r="G178" s="45"/>
      <c r="H178" s="20"/>
      <c r="J178" s="55" t="s">
        <v>110</v>
      </c>
      <c r="K178" s="25" t="s">
        <v>146</v>
      </c>
      <c r="L178" s="25"/>
      <c r="M178" s="45"/>
      <c r="N178" s="25" t="s">
        <v>151</v>
      </c>
      <c r="O178" s="45"/>
      <c r="P178" s="45"/>
      <c r="Q178" s="20"/>
      <c r="S178" s="55" t="s">
        <v>110</v>
      </c>
      <c r="T178" s="25" t="s">
        <v>146</v>
      </c>
      <c r="U178" s="25"/>
      <c r="V178" s="45"/>
      <c r="W178" s="25" t="s">
        <v>151</v>
      </c>
      <c r="X178" s="45"/>
      <c r="Y178" s="45"/>
      <c r="Z178" s="20"/>
      <c r="AB178" s="55" t="s">
        <v>110</v>
      </c>
      <c r="AC178" s="25" t="s">
        <v>146</v>
      </c>
      <c r="AD178" s="25"/>
      <c r="AE178" s="45"/>
      <c r="AF178" s="25" t="s">
        <v>151</v>
      </c>
      <c r="AG178" s="45"/>
      <c r="AH178" s="45"/>
      <c r="AI178" s="20"/>
    </row>
    <row r="179" customFormat="false" ht="17.35" hidden="false" customHeight="false" outlineLevel="0" collapsed="false">
      <c r="A179" s="70" t="n">
        <f aca="false">B176+E176</f>
        <v>2000</v>
      </c>
      <c r="B179" s="37" t="n">
        <f aca="false">G154</f>
        <v>500</v>
      </c>
      <c r="C179" s="37"/>
      <c r="D179" s="45"/>
      <c r="E179" s="37" t="n">
        <f aca="false">A176-A179-B179</f>
        <v>28499.996</v>
      </c>
      <c r="F179" s="45"/>
      <c r="G179" s="45"/>
      <c r="H179" s="177"/>
      <c r="J179" s="70" t="n">
        <f aca="false">K176+N176</f>
        <v>1000</v>
      </c>
      <c r="K179" s="37" t="n">
        <f aca="false">P154</f>
        <v>-2000</v>
      </c>
      <c r="L179" s="37"/>
      <c r="M179" s="45"/>
      <c r="N179" s="37" t="e">
        <f aca="false">J176-J179-K179</f>
        <v>#VALUE!</v>
      </c>
      <c r="O179" s="45"/>
      <c r="P179" s="45"/>
      <c r="Q179" s="177"/>
      <c r="S179" s="70" t="n">
        <f aca="false">T176+W176</f>
        <v>1000</v>
      </c>
      <c r="T179" s="37" t="n">
        <f aca="false">Y154</f>
        <v>-2000</v>
      </c>
      <c r="U179" s="37"/>
      <c r="V179" s="45"/>
      <c r="W179" s="37" t="e">
        <f aca="false">S176-S179-T179</f>
        <v>#VALUE!</v>
      </c>
      <c r="X179" s="45"/>
      <c r="Y179" s="45"/>
      <c r="Z179" s="177"/>
      <c r="AB179" s="70" t="n">
        <f aca="false">AC176+AF176</f>
        <v>1000</v>
      </c>
      <c r="AC179" s="37" t="n">
        <f aca="false">AH154</f>
        <v>-2000</v>
      </c>
      <c r="AD179" s="37"/>
      <c r="AE179" s="45"/>
      <c r="AF179" s="37" t="e">
        <f aca="false">AB176-AB179-AC179</f>
        <v>#VALUE!</v>
      </c>
      <c r="AG179" s="45"/>
      <c r="AH179" s="45"/>
      <c r="AI179" s="177"/>
    </row>
    <row r="180" customFormat="false" ht="17.35" hidden="false" customHeight="false" outlineLevel="0" collapsed="false">
      <c r="A180" s="55"/>
      <c r="B180" s="25"/>
      <c r="C180" s="25"/>
      <c r="D180" s="45"/>
      <c r="E180" s="25"/>
      <c r="F180" s="45"/>
      <c r="G180" s="45"/>
      <c r="H180" s="20"/>
      <c r="J180" s="55"/>
      <c r="K180" s="25"/>
      <c r="L180" s="25"/>
      <c r="M180" s="45"/>
      <c r="N180" s="25"/>
      <c r="O180" s="45"/>
      <c r="P180" s="45"/>
      <c r="Q180" s="20"/>
      <c r="S180" s="55"/>
      <c r="T180" s="25"/>
      <c r="U180" s="25"/>
      <c r="V180" s="45"/>
      <c r="W180" s="25"/>
      <c r="X180" s="45"/>
      <c r="Y180" s="45"/>
      <c r="Z180" s="20"/>
      <c r="AB180" s="55"/>
      <c r="AC180" s="25"/>
      <c r="AD180" s="25"/>
      <c r="AE180" s="45"/>
      <c r="AF180" s="25"/>
      <c r="AG180" s="45"/>
      <c r="AH180" s="45"/>
      <c r="AI180" s="20"/>
    </row>
    <row r="181" customFormat="false" ht="17.35" hidden="false" customHeight="false" outlineLevel="0" collapsed="false">
      <c r="A181" s="55" t="s">
        <v>162</v>
      </c>
      <c r="B181" s="25" t="s">
        <v>152</v>
      </c>
      <c r="C181" s="25"/>
      <c r="D181" s="45"/>
      <c r="E181" s="25" t="s">
        <v>163</v>
      </c>
      <c r="F181" s="45"/>
      <c r="G181" s="45"/>
      <c r="H181" s="20"/>
      <c r="J181" s="55" t="s">
        <v>162</v>
      </c>
      <c r="K181" s="25" t="s">
        <v>152</v>
      </c>
      <c r="L181" s="25"/>
      <c r="M181" s="45"/>
      <c r="N181" s="25" t="s">
        <v>163</v>
      </c>
      <c r="O181" s="45"/>
      <c r="P181" s="45"/>
      <c r="Q181" s="20"/>
      <c r="S181" s="55" t="s">
        <v>162</v>
      </c>
      <c r="T181" s="25" t="s">
        <v>152</v>
      </c>
      <c r="U181" s="25"/>
      <c r="V181" s="45"/>
      <c r="W181" s="25" t="s">
        <v>163</v>
      </c>
      <c r="X181" s="45"/>
      <c r="Y181" s="45"/>
      <c r="Z181" s="20"/>
      <c r="AB181" s="55" t="s">
        <v>162</v>
      </c>
      <c r="AC181" s="25" t="s">
        <v>152</v>
      </c>
      <c r="AD181" s="25"/>
      <c r="AE181" s="45"/>
      <c r="AF181" s="25" t="s">
        <v>163</v>
      </c>
      <c r="AG181" s="45"/>
      <c r="AH181" s="45"/>
      <c r="AI181" s="20"/>
    </row>
    <row r="182" customFormat="false" ht="17.35" hidden="false" customHeight="false" outlineLevel="0" collapsed="false">
      <c r="A182" s="70" t="n">
        <f aca="false">(A167*B59)+E185-E179-A185</f>
        <v>1592.28073603796</v>
      </c>
      <c r="B182" s="37" t="str">
        <f aca="false">B114</f>
        <v>239.99</v>
      </c>
      <c r="C182" s="37"/>
      <c r="D182" s="45"/>
      <c r="E182" s="37" t="n">
        <f aca="false">E179+A182+B182+A185</f>
        <v>30342.266736038</v>
      </c>
      <c r="F182" s="45"/>
      <c r="G182" s="45"/>
      <c r="H182" s="177"/>
      <c r="J182" s="70" t="e">
        <f aca="false">(J167*K59)+N185-N179-J185</f>
        <v>#VALUE!</v>
      </c>
      <c r="K182" s="37" t="n">
        <f aca="false">K114</f>
        <v>239.99</v>
      </c>
      <c r="L182" s="37"/>
      <c r="M182" s="45"/>
      <c r="N182" s="37" t="e">
        <f aca="false">N179+J182+K182+J185</f>
        <v>#VALUE!</v>
      </c>
      <c r="O182" s="45"/>
      <c r="P182" s="45"/>
      <c r="Q182" s="177"/>
      <c r="S182" s="70" t="e">
        <f aca="false">(S167*T59)+W185-W179-S185</f>
        <v>#VALUE!</v>
      </c>
      <c r="T182" s="37" t="n">
        <f aca="false">T114</f>
        <v>199.99</v>
      </c>
      <c r="U182" s="37"/>
      <c r="V182" s="45"/>
      <c r="W182" s="37" t="e">
        <f aca="false">W179+S182+T182+S185</f>
        <v>#VALUE!</v>
      </c>
      <c r="X182" s="45"/>
      <c r="Y182" s="45"/>
      <c r="Z182" s="177"/>
      <c r="AB182" s="70" t="e">
        <f aca="false">(AB167*AC59)+AF185-AF179-AB185</f>
        <v>#VALUE!</v>
      </c>
      <c r="AC182" s="37" t="n">
        <f aca="false">AC114</f>
        <v>239.99</v>
      </c>
      <c r="AD182" s="37"/>
      <c r="AE182" s="45"/>
      <c r="AF182" s="37" t="e">
        <f aca="false">AF179+AB182+AC182+AB185</f>
        <v>#VALUE!</v>
      </c>
      <c r="AG182" s="45"/>
      <c r="AH182" s="45"/>
      <c r="AI182" s="177"/>
    </row>
    <row r="183" customFormat="false" ht="17.35" hidden="false" customHeight="false" outlineLevel="0" collapsed="false">
      <c r="A183" s="55"/>
      <c r="B183" s="25"/>
      <c r="C183" s="25"/>
      <c r="D183" s="45"/>
      <c r="E183" s="25"/>
      <c r="F183" s="45"/>
      <c r="G183" s="45"/>
      <c r="H183" s="20"/>
      <c r="J183" s="55"/>
      <c r="K183" s="25"/>
      <c r="L183" s="25"/>
      <c r="M183" s="45"/>
      <c r="N183" s="25"/>
      <c r="O183" s="45"/>
      <c r="P183" s="45"/>
      <c r="Q183" s="20"/>
      <c r="S183" s="55"/>
      <c r="T183" s="25"/>
      <c r="U183" s="25"/>
      <c r="V183" s="45"/>
      <c r="W183" s="25"/>
      <c r="X183" s="45"/>
      <c r="Y183" s="45"/>
      <c r="Z183" s="20"/>
      <c r="AB183" s="55"/>
      <c r="AC183" s="25"/>
      <c r="AD183" s="25"/>
      <c r="AE183" s="45"/>
      <c r="AF183" s="25"/>
      <c r="AG183" s="45"/>
      <c r="AH183" s="45"/>
      <c r="AI183" s="20"/>
    </row>
    <row r="184" customFormat="false" ht="17.35" hidden="false" customHeight="false" outlineLevel="0" collapsed="false">
      <c r="A184" s="55" t="s">
        <v>164</v>
      </c>
      <c r="B184" s="25" t="s">
        <v>165</v>
      </c>
      <c r="C184" s="25"/>
      <c r="D184" s="45"/>
      <c r="E184" s="25" t="s">
        <v>166</v>
      </c>
      <c r="F184" s="45"/>
      <c r="G184" s="45"/>
      <c r="H184" s="20"/>
      <c r="J184" s="55" t="s">
        <v>164</v>
      </c>
      <c r="K184" s="25" t="s">
        <v>165</v>
      </c>
      <c r="L184" s="25"/>
      <c r="M184" s="45"/>
      <c r="N184" s="25" t="s">
        <v>166</v>
      </c>
      <c r="O184" s="45"/>
      <c r="P184" s="45"/>
      <c r="Q184" s="20"/>
      <c r="S184" s="55" t="s">
        <v>164</v>
      </c>
      <c r="T184" s="25" t="s">
        <v>165</v>
      </c>
      <c r="U184" s="25"/>
      <c r="V184" s="45"/>
      <c r="W184" s="25" t="s">
        <v>166</v>
      </c>
      <c r="X184" s="45"/>
      <c r="Y184" s="45"/>
      <c r="Z184" s="20"/>
      <c r="AB184" s="55" t="s">
        <v>164</v>
      </c>
      <c r="AC184" s="25" t="s">
        <v>165</v>
      </c>
      <c r="AD184" s="25"/>
      <c r="AE184" s="45"/>
      <c r="AF184" s="25" t="s">
        <v>166</v>
      </c>
      <c r="AG184" s="45"/>
      <c r="AH184" s="45"/>
      <c r="AI184" s="20"/>
    </row>
    <row r="185" customFormat="false" ht="17.35" hidden="false" customHeight="false" outlineLevel="0" collapsed="false">
      <c r="A185" s="70" t="n">
        <f aca="false">B60</f>
        <v>10</v>
      </c>
      <c r="B185" s="37" t="n">
        <f aca="false">A179+(B182)</f>
        <v>2239.99</v>
      </c>
      <c r="C185" s="37"/>
      <c r="D185" s="45"/>
      <c r="E185" s="37" t="n">
        <f aca="false">E167+A185</f>
        <v>2547.93972800316</v>
      </c>
      <c r="F185" s="45"/>
      <c r="G185" s="45"/>
      <c r="H185" s="177"/>
      <c r="J185" s="70" t="n">
        <f aca="false">K60</f>
        <v>20</v>
      </c>
      <c r="K185" s="37" t="n">
        <f aca="false">J179+K182</f>
        <v>1239.99</v>
      </c>
      <c r="L185" s="37"/>
      <c r="M185" s="45"/>
      <c r="N185" s="37" t="n">
        <f aca="false">N170+J185</f>
        <v>20</v>
      </c>
      <c r="O185" s="45"/>
      <c r="P185" s="45"/>
      <c r="Q185" s="177"/>
      <c r="S185" s="70" t="n">
        <f aca="false">T60</f>
        <v>10</v>
      </c>
      <c r="T185" s="37" t="n">
        <f aca="false">S179+T182</f>
        <v>1199.99</v>
      </c>
      <c r="U185" s="37"/>
      <c r="V185" s="45"/>
      <c r="W185" s="37" t="n">
        <f aca="false">W170+S185</f>
        <v>10</v>
      </c>
      <c r="X185" s="45"/>
      <c r="Y185" s="45"/>
      <c r="Z185" s="177"/>
      <c r="AB185" s="70" t="n">
        <f aca="false">AC60</f>
        <v>10</v>
      </c>
      <c r="AC185" s="37" t="n">
        <f aca="false">AB179+AC182</f>
        <v>1239.99</v>
      </c>
      <c r="AD185" s="37"/>
      <c r="AE185" s="45"/>
      <c r="AF185" s="37" t="n">
        <f aca="false">AF170+AB185</f>
        <v>10</v>
      </c>
      <c r="AG185" s="45"/>
      <c r="AH185" s="45"/>
      <c r="AI185" s="177"/>
    </row>
    <row r="186" customFormat="false" ht="17.35" hidden="false" customHeight="false" outlineLevel="0" collapsed="false">
      <c r="A186" s="55"/>
      <c r="B186" s="25"/>
      <c r="C186" s="25"/>
      <c r="D186" s="25"/>
      <c r="E186" s="45"/>
      <c r="F186" s="45"/>
      <c r="G186" s="45"/>
      <c r="H186" s="20"/>
      <c r="J186" s="55"/>
      <c r="K186" s="25"/>
      <c r="L186" s="25"/>
      <c r="M186" s="25"/>
      <c r="N186" s="45"/>
      <c r="O186" s="45"/>
      <c r="P186" s="45"/>
      <c r="Q186" s="20"/>
      <c r="S186" s="55"/>
      <c r="T186" s="25"/>
      <c r="U186" s="25"/>
      <c r="V186" s="25"/>
      <c r="W186" s="45"/>
      <c r="X186" s="178"/>
      <c r="Y186" s="178"/>
      <c r="Z186" s="20"/>
      <c r="AB186" s="55"/>
      <c r="AC186" s="25"/>
      <c r="AD186" s="25"/>
      <c r="AE186" s="25"/>
      <c r="AF186" s="45"/>
      <c r="AG186" s="45"/>
      <c r="AH186" s="45"/>
      <c r="AI186" s="20"/>
    </row>
    <row r="187" customFormat="false" ht="17.35" hidden="false" customHeight="false" outlineLevel="0" collapsed="false">
      <c r="A187" s="55" t="s">
        <v>167</v>
      </c>
      <c r="B187" s="25" t="s">
        <v>168</v>
      </c>
      <c r="C187" s="25"/>
      <c r="D187" s="25"/>
      <c r="E187" s="38" t="s">
        <v>169</v>
      </c>
      <c r="F187" s="45"/>
      <c r="G187" s="45"/>
      <c r="H187" s="20"/>
      <c r="J187" s="55" t="s">
        <v>167</v>
      </c>
      <c r="K187" s="25" t="s">
        <v>168</v>
      </c>
      <c r="L187" s="25"/>
      <c r="M187" s="25"/>
      <c r="N187" s="38" t="s">
        <v>169</v>
      </c>
      <c r="O187" s="45"/>
      <c r="P187" s="45"/>
      <c r="Q187" s="20"/>
      <c r="S187" s="55" t="s">
        <v>167</v>
      </c>
      <c r="T187" s="25" t="s">
        <v>168</v>
      </c>
      <c r="U187" s="25"/>
      <c r="V187" s="25"/>
      <c r="W187" s="38" t="s">
        <v>169</v>
      </c>
      <c r="X187" s="178"/>
      <c r="Y187" s="178"/>
      <c r="Z187" s="20"/>
      <c r="AB187" s="55" t="s">
        <v>167</v>
      </c>
      <c r="AC187" s="25" t="s">
        <v>168</v>
      </c>
      <c r="AD187" s="25"/>
      <c r="AE187" s="25"/>
      <c r="AF187" s="38" t="s">
        <v>169</v>
      </c>
      <c r="AG187" s="178"/>
      <c r="AH187" s="178"/>
      <c r="AI187" s="20"/>
    </row>
    <row r="188" customFormat="false" ht="17.35" hidden="false" customHeight="false" outlineLevel="0" collapsed="false">
      <c r="A188" s="70" t="n">
        <f aca="false">IF(E105="YES", B61*0.000002, 0)*100*1.2</f>
        <v>0</v>
      </c>
      <c r="B188" s="37" t="n">
        <f aca="false">(G158*B67)/1.2</f>
        <v>118.749983333333</v>
      </c>
      <c r="C188" s="25"/>
      <c r="D188" s="25"/>
      <c r="E188" s="37" t="n">
        <f aca="false">(E40*A108)*0.1</f>
        <v>5.5</v>
      </c>
      <c r="F188" s="45"/>
      <c r="G188" s="45"/>
      <c r="H188" s="20"/>
      <c r="J188" s="70" t="n">
        <f aca="false">IF(N105="YES", H15*0.000002, 0)</f>
        <v>0</v>
      </c>
      <c r="K188" s="37" t="e">
        <f aca="false">(P158*K67)/1.2</f>
        <v>#VALUE!</v>
      </c>
      <c r="L188" s="25"/>
      <c r="M188" s="25"/>
      <c r="N188" s="37" t="n">
        <f aca="false">(E40*J108)*0.1</f>
        <v>8.25</v>
      </c>
      <c r="O188" s="45"/>
      <c r="P188" s="45"/>
      <c r="Q188" s="20"/>
      <c r="S188" s="70" t="n">
        <f aca="false">IF(W105="YES", Z15*0.000002, 0)</f>
        <v>0</v>
      </c>
      <c r="T188" s="37" t="e">
        <f aca="false">(Y158*T67)/1.2</f>
        <v>#VALUE!</v>
      </c>
      <c r="U188" s="25"/>
      <c r="V188" s="25"/>
      <c r="W188" s="37" t="n">
        <f aca="false">(E40*S108)*0.1</f>
        <v>5.5</v>
      </c>
      <c r="X188" s="178"/>
      <c r="Y188" s="178"/>
      <c r="Z188" s="20"/>
      <c r="AB188" s="70" t="n">
        <f aca="false">IF(AF105="YES", AI15*0.000002, 0)</f>
        <v>0</v>
      </c>
      <c r="AC188" s="37" t="e">
        <f aca="false">(AH158*AC67)/1.2</f>
        <v>#VALUE!</v>
      </c>
      <c r="AD188" s="25"/>
      <c r="AE188" s="25"/>
      <c r="AF188" s="37" t="n">
        <f aca="false">(E40*AB108)*0.1</f>
        <v>5.5</v>
      </c>
      <c r="AG188" s="178"/>
      <c r="AH188" s="178"/>
      <c r="AI188" s="20"/>
    </row>
    <row r="189" customFormat="false" ht="17.35" hidden="false" customHeight="false" outlineLevel="0" collapsed="false">
      <c r="A189" s="70"/>
      <c r="B189" s="37"/>
      <c r="C189" s="25"/>
      <c r="D189" s="25"/>
      <c r="E189" s="45"/>
      <c r="F189" s="45"/>
      <c r="G189" s="45"/>
      <c r="H189" s="20"/>
      <c r="J189" s="70"/>
      <c r="K189" s="37"/>
      <c r="L189" s="25"/>
      <c r="M189" s="25"/>
      <c r="N189" s="45"/>
      <c r="O189" s="45"/>
      <c r="P189" s="45"/>
      <c r="Q189" s="20"/>
      <c r="S189" s="70"/>
      <c r="T189" s="37"/>
      <c r="U189" s="25"/>
      <c r="V189" s="25"/>
      <c r="W189" s="45"/>
      <c r="X189" s="178"/>
      <c r="Y189" s="178"/>
      <c r="Z189" s="20"/>
      <c r="AB189" s="70"/>
      <c r="AC189" s="37"/>
      <c r="AD189" s="25"/>
      <c r="AE189" s="25"/>
      <c r="AF189" s="45"/>
      <c r="AG189" s="178"/>
      <c r="AH189" s="178"/>
      <c r="AI189" s="20"/>
    </row>
    <row r="190" customFormat="false" ht="17.35" hidden="false" customHeight="false" outlineLevel="0" collapsed="false">
      <c r="A190" s="78" t="s">
        <v>170</v>
      </c>
      <c r="B190" s="38" t="s">
        <v>171</v>
      </c>
      <c r="C190" s="25"/>
      <c r="D190" s="25"/>
      <c r="E190" s="38" t="s">
        <v>172</v>
      </c>
      <c r="F190" s="45"/>
      <c r="G190" s="45"/>
      <c r="H190" s="20"/>
      <c r="J190" s="78" t="s">
        <v>170</v>
      </c>
      <c r="K190" s="38" t="s">
        <v>171</v>
      </c>
      <c r="L190" s="25"/>
      <c r="M190" s="25"/>
      <c r="N190" s="38" t="s">
        <v>172</v>
      </c>
      <c r="O190" s="45"/>
      <c r="P190" s="45"/>
      <c r="Q190" s="20"/>
      <c r="S190" s="78" t="s">
        <v>170</v>
      </c>
      <c r="T190" s="38" t="s">
        <v>171</v>
      </c>
      <c r="U190" s="25"/>
      <c r="V190" s="25"/>
      <c r="W190" s="38" t="s">
        <v>172</v>
      </c>
      <c r="X190" s="178"/>
      <c r="Y190" s="178"/>
      <c r="Z190" s="20"/>
      <c r="AB190" s="78" t="s">
        <v>170</v>
      </c>
      <c r="AC190" s="38" t="s">
        <v>171</v>
      </c>
      <c r="AD190" s="25"/>
      <c r="AE190" s="25"/>
      <c r="AF190" s="38" t="s">
        <v>172</v>
      </c>
      <c r="AG190" s="178"/>
      <c r="AH190" s="178"/>
      <c r="AI190" s="20"/>
    </row>
    <row r="191" customFormat="false" ht="17.35" hidden="false" customHeight="false" outlineLevel="0" collapsed="false">
      <c r="A191" s="70" t="n">
        <f aca="false">B182/1.2-100</f>
        <v>99.9916666666667</v>
      </c>
      <c r="B191" s="37" t="n">
        <f aca="false">B188+E188+A191</f>
        <v>224.24165</v>
      </c>
      <c r="C191" s="25"/>
      <c r="D191" s="25"/>
      <c r="E191" s="37" t="n">
        <f aca="false">H148</f>
        <v>1875</v>
      </c>
      <c r="F191" s="45"/>
      <c r="G191" s="45"/>
      <c r="H191" s="20"/>
      <c r="J191" s="70" t="n">
        <f aca="false">K185-100</f>
        <v>1139.99</v>
      </c>
      <c r="K191" s="37" t="e">
        <f aca="false">K188+N188+J191</f>
        <v>#VALUE!</v>
      </c>
      <c r="L191" s="25"/>
      <c r="M191" s="25"/>
      <c r="N191" s="37" t="e">
        <f aca="false">Q148</f>
        <v>#VALUE!</v>
      </c>
      <c r="O191" s="45"/>
      <c r="P191" s="45"/>
      <c r="Q191" s="20"/>
      <c r="S191" s="70" t="n">
        <f aca="false">T185-100</f>
        <v>1099.99</v>
      </c>
      <c r="T191" s="37" t="e">
        <f aca="false">T188+W188+S191</f>
        <v>#VALUE!</v>
      </c>
      <c r="U191" s="25"/>
      <c r="V191" s="25"/>
      <c r="W191" s="37" t="e">
        <f aca="false">Z148</f>
        <v>#VALUE!</v>
      </c>
      <c r="X191" s="178"/>
      <c r="Y191" s="178"/>
      <c r="Z191" s="20"/>
      <c r="AB191" s="70" t="n">
        <f aca="false">AC185-100</f>
        <v>1139.99</v>
      </c>
      <c r="AC191" s="37" t="e">
        <f aca="false">AC188+AF188+AB191</f>
        <v>#VALUE!</v>
      </c>
      <c r="AD191" s="25"/>
      <c r="AE191" s="25"/>
      <c r="AF191" s="37" t="e">
        <f aca="false">AI148</f>
        <v>#VALUE!</v>
      </c>
      <c r="AG191" s="178"/>
      <c r="AH191" s="178"/>
      <c r="AI191" s="20"/>
    </row>
    <row r="192" customFormat="false" ht="17.35" hidden="false" customHeight="false" outlineLevel="0" collapsed="false">
      <c r="A192" s="55"/>
      <c r="B192" s="25"/>
      <c r="C192" s="25"/>
      <c r="D192" s="25"/>
      <c r="E192" s="45"/>
      <c r="F192" s="45"/>
      <c r="G192" s="45"/>
      <c r="H192" s="20"/>
      <c r="J192" s="55"/>
      <c r="K192" s="25"/>
      <c r="L192" s="25"/>
      <c r="M192" s="25"/>
      <c r="N192" s="45"/>
      <c r="O192" s="45"/>
      <c r="P192" s="45"/>
      <c r="Q192" s="20"/>
      <c r="S192" s="55"/>
      <c r="T192" s="25"/>
      <c r="U192" s="25"/>
      <c r="V192" s="25"/>
      <c r="W192" s="45"/>
      <c r="X192" s="45"/>
      <c r="Y192" s="45"/>
      <c r="Z192" s="20"/>
      <c r="AB192" s="55"/>
      <c r="AC192" s="25"/>
      <c r="AD192" s="25"/>
      <c r="AE192" s="25"/>
      <c r="AF192" s="45"/>
      <c r="AG192" s="45"/>
      <c r="AH192" s="45"/>
      <c r="AI192" s="20"/>
    </row>
    <row r="193" customFormat="false" ht="17.35" hidden="false" customHeight="false" outlineLevel="0" collapsed="false">
      <c r="A193" s="83" t="s">
        <v>173</v>
      </c>
      <c r="B193" s="25"/>
      <c r="C193" s="25"/>
      <c r="D193" s="84"/>
      <c r="E193" s="84"/>
      <c r="F193" s="84"/>
      <c r="G193" s="84"/>
      <c r="H193" s="85"/>
      <c r="J193" s="83" t="s">
        <v>173</v>
      </c>
      <c r="K193" s="25"/>
      <c r="L193" s="25"/>
      <c r="M193" s="84"/>
      <c r="N193" s="84"/>
      <c r="O193" s="84"/>
      <c r="P193" s="84"/>
      <c r="Q193" s="85"/>
      <c r="S193" s="83" t="s">
        <v>173</v>
      </c>
      <c r="T193" s="25"/>
      <c r="U193" s="25"/>
      <c r="V193" s="84"/>
      <c r="W193" s="84"/>
      <c r="X193" s="84"/>
      <c r="Y193" s="84"/>
      <c r="Z193" s="85"/>
      <c r="AB193" s="83" t="s">
        <v>173</v>
      </c>
      <c r="AC193" s="25"/>
      <c r="AD193" s="25"/>
      <c r="AE193" s="84"/>
      <c r="AF193" s="84"/>
      <c r="AG193" s="84"/>
      <c r="AH193" s="84"/>
      <c r="AI193" s="85"/>
    </row>
    <row r="194" customFormat="false" ht="17.35" hidden="false" customHeight="false" outlineLevel="0" collapsed="false">
      <c r="A194" s="55"/>
      <c r="B194" s="87"/>
      <c r="C194" s="87"/>
      <c r="D194" s="25"/>
      <c r="E194" s="45"/>
      <c r="F194" s="45"/>
      <c r="G194" s="45"/>
      <c r="H194" s="20"/>
      <c r="J194" s="55"/>
      <c r="K194" s="87"/>
      <c r="L194" s="87"/>
      <c r="M194" s="25"/>
      <c r="N194" s="45"/>
      <c r="O194" s="45"/>
      <c r="P194" s="45"/>
      <c r="Q194" s="20"/>
      <c r="S194" s="55"/>
      <c r="T194" s="87"/>
      <c r="U194" s="87"/>
      <c r="V194" s="25"/>
      <c r="W194" s="45"/>
      <c r="X194" s="45"/>
      <c r="Y194" s="45"/>
      <c r="Z194" s="20"/>
      <c r="AB194" s="55"/>
      <c r="AC194" s="87"/>
      <c r="AD194" s="87"/>
      <c r="AE194" s="25"/>
      <c r="AF194" s="45"/>
      <c r="AG194" s="45"/>
      <c r="AH194" s="45"/>
      <c r="AI194" s="20"/>
    </row>
    <row r="195" customFormat="false" ht="19.7" hidden="false" customHeight="false" outlineLevel="0" collapsed="false">
      <c r="A195" s="88" t="s">
        <v>28</v>
      </c>
      <c r="B195" s="89" t="s">
        <v>33</v>
      </c>
      <c r="C195" s="89"/>
      <c r="D195" s="89"/>
      <c r="E195" s="45"/>
      <c r="F195" s="45"/>
      <c r="G195" s="45"/>
      <c r="H195" s="20"/>
      <c r="J195" s="88" t="s">
        <v>28</v>
      </c>
      <c r="K195" s="89" t="s">
        <v>33</v>
      </c>
      <c r="L195" s="89"/>
      <c r="M195" s="89"/>
      <c r="N195" s="45"/>
      <c r="O195" s="45"/>
      <c r="P195" s="45"/>
      <c r="Q195" s="20"/>
      <c r="S195" s="88" t="s">
        <v>28</v>
      </c>
      <c r="T195" s="89" t="s">
        <v>33</v>
      </c>
      <c r="U195" s="89"/>
      <c r="V195" s="89"/>
      <c r="W195" s="45"/>
      <c r="X195" s="45"/>
      <c r="Y195" s="45"/>
      <c r="Z195" s="20"/>
      <c r="AB195" s="88" t="s">
        <v>28</v>
      </c>
      <c r="AC195" s="89" t="s">
        <v>33</v>
      </c>
      <c r="AD195" s="89"/>
      <c r="AE195" s="89"/>
      <c r="AF195" s="45"/>
      <c r="AG195" s="45"/>
      <c r="AH195" s="45"/>
      <c r="AI195" s="20"/>
    </row>
    <row r="196" customFormat="false" ht="19.5" hidden="false" customHeight="true" outlineLevel="0" collapsed="false">
      <c r="A196" s="88"/>
      <c r="B196" s="90" t="n">
        <f aca="false">K30</f>
        <v>10000</v>
      </c>
      <c r="C196" s="90"/>
      <c r="D196" s="90"/>
      <c r="E196" s="45"/>
      <c r="F196" s="45"/>
      <c r="G196" s="45"/>
      <c r="H196" s="20"/>
      <c r="J196" s="88"/>
      <c r="K196" s="90" t="n">
        <f aca="false">K30</f>
        <v>10000</v>
      </c>
      <c r="L196" s="90"/>
      <c r="M196" s="90"/>
      <c r="N196" s="45"/>
      <c r="O196" s="45"/>
      <c r="P196" s="45"/>
      <c r="Q196" s="20"/>
      <c r="S196" s="88"/>
      <c r="T196" s="90" t="n">
        <f aca="false">K30</f>
        <v>10000</v>
      </c>
      <c r="U196" s="90"/>
      <c r="V196" s="90"/>
      <c r="W196" s="45"/>
      <c r="X196" s="45"/>
      <c r="Y196" s="45"/>
      <c r="Z196" s="20"/>
      <c r="AB196" s="88"/>
      <c r="AC196" s="90" t="n">
        <f aca="false">K30</f>
        <v>10000</v>
      </c>
      <c r="AD196" s="90"/>
      <c r="AE196" s="90"/>
      <c r="AF196" s="45"/>
      <c r="AG196" s="45"/>
      <c r="AH196" s="45"/>
      <c r="AI196" s="20"/>
    </row>
    <row r="197" customFormat="false" ht="17.35" hidden="false" customHeight="false" outlineLevel="0" collapsed="false">
      <c r="A197" s="91" t="n">
        <f aca="false">K29</f>
        <v>12</v>
      </c>
      <c r="B197" s="92" t="n">
        <f aca="false">B96</f>
        <v>2537.93972800316</v>
      </c>
      <c r="C197" s="92"/>
      <c r="D197" s="92"/>
      <c r="E197" s="45"/>
      <c r="F197" s="45"/>
      <c r="G197" s="45"/>
      <c r="H197" s="20"/>
      <c r="J197" s="91" t="n">
        <f aca="false">K29</f>
        <v>12</v>
      </c>
      <c r="K197" s="92" t="e">
        <f aca="false">K96</f>
        <v>#VALUE!</v>
      </c>
      <c r="L197" s="92"/>
      <c r="M197" s="92"/>
      <c r="N197" s="45"/>
      <c r="O197" s="45"/>
      <c r="P197" s="45"/>
      <c r="Q197" s="20"/>
      <c r="S197" s="91" t="n">
        <f aca="false">K29</f>
        <v>12</v>
      </c>
      <c r="T197" s="92" t="e">
        <f aca="false">T96</f>
        <v>#VALUE!</v>
      </c>
      <c r="U197" s="92"/>
      <c r="V197" s="92"/>
      <c r="W197" s="45"/>
      <c r="X197" s="45"/>
      <c r="Y197" s="45"/>
      <c r="Z197" s="20"/>
      <c r="AB197" s="91" t="n">
        <f aca="false">K29</f>
        <v>12</v>
      </c>
      <c r="AC197" s="92" t="e">
        <f aca="false">AC96</f>
        <v>#VALUE!</v>
      </c>
      <c r="AD197" s="92"/>
      <c r="AE197" s="92"/>
      <c r="AF197" s="45"/>
      <c r="AG197" s="45"/>
      <c r="AH197" s="45"/>
      <c r="AI197" s="20"/>
    </row>
    <row r="198" customFormat="false" ht="17.35" hidden="false" customHeight="false" outlineLevel="0" collapsed="false">
      <c r="A198" s="55"/>
      <c r="B198" s="25"/>
      <c r="C198" s="25"/>
      <c r="D198" s="25"/>
      <c r="E198" s="45"/>
      <c r="F198" s="45"/>
      <c r="G198" s="45"/>
      <c r="H198" s="20"/>
      <c r="J198" s="55"/>
      <c r="K198" s="25"/>
      <c r="L198" s="25"/>
      <c r="M198" s="25"/>
      <c r="N198" s="45"/>
      <c r="O198" s="45"/>
      <c r="P198" s="45"/>
      <c r="Q198" s="20"/>
      <c r="S198" s="55"/>
      <c r="T198" s="25"/>
      <c r="U198" s="25"/>
      <c r="V198" s="25"/>
      <c r="W198" s="45"/>
      <c r="X198" s="45"/>
      <c r="Y198" s="45"/>
      <c r="Z198" s="20"/>
      <c r="AB198" s="55"/>
      <c r="AC198" s="25"/>
      <c r="AD198" s="25"/>
      <c r="AE198" s="25"/>
      <c r="AF198" s="45"/>
      <c r="AG198" s="45"/>
      <c r="AH198" s="45"/>
      <c r="AI198" s="20"/>
    </row>
    <row r="199" customFormat="false" ht="17.35" hidden="false" customHeight="false" outlineLevel="0" collapsed="false">
      <c r="A199" s="55"/>
      <c r="B199" s="25"/>
      <c r="C199" s="25"/>
      <c r="D199" s="25"/>
      <c r="E199" s="45"/>
      <c r="F199" s="45"/>
      <c r="G199" s="45"/>
      <c r="H199" s="20"/>
      <c r="J199" s="55"/>
      <c r="K199" s="25"/>
      <c r="L199" s="25"/>
      <c r="M199" s="25"/>
      <c r="N199" s="45"/>
      <c r="O199" s="45"/>
      <c r="P199" s="45"/>
      <c r="Q199" s="20"/>
      <c r="S199" s="55"/>
      <c r="T199" s="25"/>
      <c r="U199" s="25"/>
      <c r="V199" s="25"/>
      <c r="W199" s="45"/>
      <c r="X199" s="45"/>
      <c r="Y199" s="45"/>
      <c r="Z199" s="20"/>
      <c r="AB199" s="55"/>
      <c r="AC199" s="25"/>
      <c r="AD199" s="25"/>
      <c r="AE199" s="25"/>
      <c r="AF199" s="45"/>
      <c r="AG199" s="45"/>
      <c r="AH199" s="45"/>
      <c r="AI199" s="20"/>
    </row>
    <row r="200" customFormat="false" ht="17.35" hidden="false" customHeight="false" outlineLevel="0" collapsed="false">
      <c r="A200" s="55"/>
      <c r="B200" s="25"/>
      <c r="C200" s="25"/>
      <c r="D200" s="25"/>
      <c r="E200" s="45"/>
      <c r="F200" s="45"/>
      <c r="G200" s="45"/>
      <c r="H200" s="20"/>
      <c r="J200" s="55"/>
      <c r="K200" s="25"/>
      <c r="L200" s="25"/>
      <c r="M200" s="25"/>
      <c r="N200" s="45"/>
      <c r="O200" s="45"/>
      <c r="P200" s="45"/>
      <c r="Q200" s="20"/>
      <c r="S200" s="55"/>
      <c r="T200" s="25"/>
      <c r="U200" s="25"/>
      <c r="V200" s="25"/>
      <c r="W200" s="45"/>
      <c r="X200" s="45"/>
      <c r="Y200" s="45"/>
      <c r="Z200" s="20"/>
      <c r="AB200" s="55"/>
      <c r="AC200" s="25"/>
      <c r="AD200" s="25"/>
      <c r="AE200" s="25"/>
      <c r="AF200" s="45"/>
      <c r="AG200" s="45"/>
      <c r="AH200" s="45"/>
      <c r="AI200" s="20"/>
    </row>
    <row r="201" customFormat="false" ht="17.35" hidden="false" customHeight="false" outlineLevel="0" collapsed="false">
      <c r="A201" s="55"/>
      <c r="B201" s="25"/>
      <c r="C201" s="25"/>
      <c r="D201" s="25"/>
      <c r="E201" s="45"/>
      <c r="F201" s="45"/>
      <c r="G201" s="45"/>
      <c r="H201" s="20"/>
      <c r="J201" s="55"/>
      <c r="K201" s="25"/>
      <c r="L201" s="25"/>
      <c r="M201" s="25"/>
      <c r="N201" s="45"/>
      <c r="O201" s="45"/>
      <c r="P201" s="45"/>
      <c r="Q201" s="20"/>
      <c r="S201" s="55"/>
      <c r="T201" s="25"/>
      <c r="U201" s="25"/>
      <c r="V201" s="25"/>
      <c r="W201" s="45"/>
      <c r="X201" s="45"/>
      <c r="Y201" s="45"/>
      <c r="Z201" s="20"/>
      <c r="AB201" s="55"/>
      <c r="AC201" s="25"/>
      <c r="AD201" s="25"/>
      <c r="AE201" s="25"/>
      <c r="AF201" s="45"/>
      <c r="AG201" s="45"/>
      <c r="AH201" s="45"/>
      <c r="AI201" s="20"/>
    </row>
    <row r="202" customFormat="false" ht="17.35" hidden="false" customHeight="false" outlineLevel="0" collapsed="false">
      <c r="A202" s="74"/>
      <c r="B202" s="75"/>
      <c r="C202" s="75"/>
      <c r="D202" s="75"/>
      <c r="E202" s="75"/>
      <c r="F202" s="75"/>
      <c r="G202" s="75"/>
      <c r="H202" s="82"/>
      <c r="J202" s="74"/>
      <c r="K202" s="75"/>
      <c r="L202" s="75"/>
      <c r="M202" s="75"/>
      <c r="N202" s="75"/>
      <c r="O202" s="75"/>
      <c r="P202" s="75"/>
      <c r="Q202" s="82"/>
      <c r="S202" s="74"/>
      <c r="T202" s="75"/>
      <c r="U202" s="75"/>
      <c r="V202" s="75"/>
      <c r="W202" s="75"/>
      <c r="X202" s="75"/>
      <c r="Y202" s="75"/>
      <c r="Z202" s="82"/>
      <c r="AB202" s="74"/>
      <c r="AC202" s="75"/>
      <c r="AD202" s="75"/>
      <c r="AE202" s="75"/>
      <c r="AF202" s="75"/>
      <c r="AG202" s="75"/>
      <c r="AH202" s="75"/>
      <c r="AI202" s="82"/>
    </row>
    <row r="206" customFormat="false" ht="22.05" hidden="false" customHeight="false" outlineLevel="0" collapsed="false">
      <c r="A206" s="179" t="s">
        <v>153</v>
      </c>
      <c r="B206" s="179"/>
      <c r="C206" s="179"/>
      <c r="D206" s="179"/>
      <c r="E206" s="179"/>
      <c r="F206" s="179"/>
      <c r="G206" s="179"/>
      <c r="H206" s="179"/>
    </row>
    <row r="207" customFormat="false" ht="17.35" hidden="false" customHeight="false" outlineLevel="0" collapsed="false">
      <c r="A207" s="55"/>
      <c r="B207" s="25"/>
      <c r="C207" s="25"/>
      <c r="D207" s="25"/>
      <c r="E207" s="94"/>
      <c r="F207" s="94"/>
      <c r="G207" s="94"/>
      <c r="H207" s="20"/>
    </row>
    <row r="208" customFormat="false" ht="17.35" hidden="false" customHeight="false" outlineLevel="0" collapsed="false">
      <c r="A208" s="180" t="s">
        <v>98</v>
      </c>
      <c r="B208" s="181" t="s">
        <v>174</v>
      </c>
      <c r="C208" s="181"/>
      <c r="D208" s="181"/>
      <c r="E208" s="181" t="s">
        <v>175</v>
      </c>
      <c r="F208" s="182"/>
      <c r="G208" s="94"/>
      <c r="H208" s="20"/>
    </row>
    <row r="209" customFormat="false" ht="17.35" hidden="false" customHeight="false" outlineLevel="0" collapsed="false">
      <c r="A209" s="169" t="s">
        <v>207</v>
      </c>
      <c r="B209" s="170" t="n">
        <f aca="false">A197</f>
        <v>12</v>
      </c>
      <c r="C209" s="170"/>
      <c r="D209" s="170"/>
      <c r="E209" s="170" t="n">
        <f aca="false">B196</f>
        <v>10000</v>
      </c>
      <c r="F209" s="182"/>
      <c r="G209" s="94"/>
      <c r="H209" s="20"/>
    </row>
    <row r="210" customFormat="false" ht="17.35" hidden="false" customHeight="false" outlineLevel="0" collapsed="false">
      <c r="A210" s="55"/>
      <c r="B210" s="25"/>
      <c r="C210" s="25"/>
      <c r="D210" s="25"/>
      <c r="E210" s="94"/>
      <c r="F210" s="94"/>
      <c r="G210" s="94"/>
      <c r="H210" s="20"/>
    </row>
    <row r="211" customFormat="false" ht="17.35" hidden="false" customHeight="false" outlineLevel="0" collapsed="false">
      <c r="A211" s="180" t="s">
        <v>154</v>
      </c>
      <c r="B211" s="181" t="s">
        <v>155</v>
      </c>
      <c r="C211" s="181"/>
      <c r="D211" s="181"/>
      <c r="E211" s="181" t="s">
        <v>156</v>
      </c>
      <c r="F211" s="94"/>
      <c r="G211" s="94"/>
      <c r="H211" s="20"/>
    </row>
    <row r="212" customFormat="false" ht="17.35" hidden="false" customHeight="false" outlineLevel="0" collapsed="false">
      <c r="A212" s="173" t="n">
        <f aca="false">A167</f>
        <v>2504.93972800316</v>
      </c>
      <c r="B212" s="172" t="n">
        <f aca="false">B167</f>
        <v>33</v>
      </c>
      <c r="C212" s="170"/>
      <c r="D212" s="170"/>
      <c r="E212" s="172" t="n">
        <f aca="false">E167</f>
        <v>2537.93972800316</v>
      </c>
      <c r="F212" s="94"/>
      <c r="G212" s="94"/>
      <c r="H212" s="20"/>
    </row>
    <row r="213" customFormat="false" ht="17.35" hidden="false" customHeight="false" outlineLevel="0" collapsed="false">
      <c r="A213" s="55"/>
      <c r="B213" s="25"/>
      <c r="C213" s="25"/>
      <c r="D213" s="25"/>
      <c r="E213" s="94"/>
      <c r="F213" s="94"/>
      <c r="G213" s="94"/>
      <c r="H213" s="20"/>
    </row>
    <row r="214" customFormat="false" ht="17.35" hidden="false" customHeight="false" outlineLevel="0" collapsed="false">
      <c r="A214" s="55" t="s">
        <v>158</v>
      </c>
      <c r="B214" s="25" t="s">
        <v>159</v>
      </c>
      <c r="C214" s="25"/>
      <c r="D214" s="94"/>
      <c r="E214" s="25" t="s">
        <v>160</v>
      </c>
      <c r="F214" s="94"/>
      <c r="G214" s="94"/>
      <c r="H214" s="20"/>
    </row>
    <row r="215" customFormat="false" ht="17.35" hidden="false" customHeight="false" outlineLevel="0" collapsed="false">
      <c r="A215" s="69" t="n">
        <f aca="false">A173</f>
        <v>25833.33</v>
      </c>
      <c r="B215" s="37" t="n">
        <f aca="false">B173</f>
        <v>5166.666</v>
      </c>
      <c r="C215" s="67"/>
      <c r="D215" s="94"/>
      <c r="E215" s="73" t="n">
        <f aca="false">E173</f>
        <v>0</v>
      </c>
      <c r="F215" s="94"/>
      <c r="G215" s="94"/>
      <c r="H215" s="20"/>
    </row>
    <row r="216" customFormat="false" ht="17.35" hidden="false" customHeight="false" outlineLevel="0" collapsed="false">
      <c r="A216" s="55"/>
      <c r="B216" s="25"/>
      <c r="C216" s="25"/>
      <c r="D216" s="94"/>
      <c r="E216" s="25"/>
      <c r="F216" s="94"/>
      <c r="G216" s="94"/>
      <c r="H216" s="20"/>
    </row>
    <row r="217" customFormat="false" ht="17.35" hidden="false" customHeight="false" outlineLevel="0" collapsed="false">
      <c r="A217" s="55" t="s">
        <v>161</v>
      </c>
      <c r="B217" s="25" t="s">
        <v>108</v>
      </c>
      <c r="C217" s="25"/>
      <c r="D217" s="94"/>
      <c r="E217" s="25" t="s">
        <v>109</v>
      </c>
      <c r="F217" s="94"/>
      <c r="G217" s="94"/>
      <c r="H217" s="20"/>
    </row>
    <row r="218" customFormat="false" ht="17.35" hidden="false" customHeight="false" outlineLevel="0" collapsed="false">
      <c r="A218" s="69" t="n">
        <f aca="false">A176</f>
        <v>30999.996</v>
      </c>
      <c r="B218" s="37" t="n">
        <f aca="false">B176</f>
        <v>1000</v>
      </c>
      <c r="C218" s="37"/>
      <c r="D218" s="94"/>
      <c r="E218" s="37" t="n">
        <f aca="false">E176</f>
        <v>1000</v>
      </c>
      <c r="F218" s="94"/>
      <c r="G218" s="94"/>
      <c r="H218" s="177"/>
    </row>
    <row r="219" customFormat="false" ht="17.35" hidden="false" customHeight="false" outlineLevel="0" collapsed="false">
      <c r="A219" s="55"/>
      <c r="B219" s="25"/>
      <c r="C219" s="25"/>
      <c r="D219" s="94"/>
      <c r="E219" s="25"/>
      <c r="F219" s="94"/>
      <c r="G219" s="94"/>
      <c r="H219" s="20"/>
    </row>
    <row r="220" customFormat="false" ht="17.35" hidden="false" customHeight="false" outlineLevel="0" collapsed="false">
      <c r="A220" s="55" t="s">
        <v>110</v>
      </c>
      <c r="B220" s="25" t="s">
        <v>146</v>
      </c>
      <c r="C220" s="25"/>
      <c r="D220" s="94"/>
      <c r="E220" s="25" t="s">
        <v>151</v>
      </c>
      <c r="F220" s="94"/>
      <c r="G220" s="94"/>
      <c r="H220" s="20"/>
    </row>
    <row r="221" customFormat="false" ht="17.35" hidden="false" customHeight="false" outlineLevel="0" collapsed="false">
      <c r="A221" s="70" t="n">
        <f aca="false">A179</f>
        <v>2000</v>
      </c>
      <c r="B221" s="37" t="n">
        <f aca="false">B179</f>
        <v>500</v>
      </c>
      <c r="C221" s="37"/>
      <c r="D221" s="94"/>
      <c r="E221" s="37" t="n">
        <f aca="false">E179</f>
        <v>28499.996</v>
      </c>
      <c r="F221" s="94"/>
      <c r="G221" s="94"/>
      <c r="H221" s="177"/>
    </row>
    <row r="222" customFormat="false" ht="17.35" hidden="false" customHeight="false" outlineLevel="0" collapsed="false">
      <c r="A222" s="55"/>
      <c r="B222" s="25"/>
      <c r="C222" s="25"/>
      <c r="D222" s="94"/>
      <c r="E222" s="25"/>
      <c r="F222" s="94"/>
      <c r="G222" s="94"/>
      <c r="H222" s="20"/>
    </row>
    <row r="223" customFormat="false" ht="17.35" hidden="false" customHeight="false" outlineLevel="0" collapsed="false">
      <c r="A223" s="55" t="s">
        <v>162</v>
      </c>
      <c r="B223" s="25" t="s">
        <v>152</v>
      </c>
      <c r="C223" s="25"/>
      <c r="D223" s="94"/>
      <c r="E223" s="25" t="s">
        <v>163</v>
      </c>
      <c r="F223" s="94"/>
      <c r="G223" s="94"/>
      <c r="H223" s="20"/>
    </row>
    <row r="224" customFormat="false" ht="17.35" hidden="false" customHeight="false" outlineLevel="0" collapsed="false">
      <c r="A224" s="70" t="n">
        <f aca="false">A182</f>
        <v>1592.28073603796</v>
      </c>
      <c r="B224" s="37" t="str">
        <f aca="false">B182</f>
        <v>239.99</v>
      </c>
      <c r="C224" s="37"/>
      <c r="D224" s="94"/>
      <c r="E224" s="37" t="n">
        <f aca="false">E182</f>
        <v>30342.266736038</v>
      </c>
      <c r="F224" s="94"/>
      <c r="G224" s="94"/>
      <c r="H224" s="177"/>
    </row>
    <row r="225" customFormat="false" ht="17.35" hidden="false" customHeight="false" outlineLevel="0" collapsed="false">
      <c r="A225" s="55"/>
      <c r="B225" s="25"/>
      <c r="C225" s="25"/>
      <c r="D225" s="94"/>
      <c r="E225" s="25"/>
      <c r="F225" s="94"/>
      <c r="G225" s="94"/>
      <c r="H225" s="20"/>
    </row>
    <row r="226" customFormat="false" ht="17.35" hidden="false" customHeight="false" outlineLevel="0" collapsed="false">
      <c r="A226" s="55" t="s">
        <v>164</v>
      </c>
      <c r="B226" s="25" t="s">
        <v>165</v>
      </c>
      <c r="C226" s="25"/>
      <c r="D226" s="94"/>
      <c r="E226" s="25" t="s">
        <v>177</v>
      </c>
      <c r="F226" s="94"/>
      <c r="G226" s="94"/>
      <c r="H226" s="20"/>
    </row>
    <row r="227" customFormat="false" ht="17.35" hidden="false" customHeight="false" outlineLevel="0" collapsed="false">
      <c r="A227" s="70" t="n">
        <f aca="false">A185</f>
        <v>10</v>
      </c>
      <c r="B227" s="37" t="n">
        <f aca="false">B185</f>
        <v>2239.99</v>
      </c>
      <c r="C227" s="37"/>
      <c r="D227" s="94"/>
      <c r="E227" s="37" t="n">
        <f aca="false">B59</f>
        <v>11</v>
      </c>
      <c r="F227" s="94"/>
      <c r="G227" s="94"/>
      <c r="H227" s="177"/>
    </row>
    <row r="228" customFormat="false" ht="17.35" hidden="false" customHeight="false" outlineLevel="0" collapsed="false">
      <c r="A228" s="55"/>
      <c r="B228" s="25"/>
      <c r="C228" s="25"/>
      <c r="D228" s="25"/>
      <c r="E228" s="94"/>
      <c r="F228" s="94"/>
      <c r="G228" s="94"/>
      <c r="H228" s="20"/>
    </row>
    <row r="229" customFormat="false" ht="17.35" hidden="false" customHeight="false" outlineLevel="0" collapsed="false">
      <c r="A229" s="55" t="s">
        <v>154</v>
      </c>
      <c r="B229" s="25" t="s">
        <v>155</v>
      </c>
      <c r="C229" s="25"/>
      <c r="D229" s="25"/>
      <c r="E229" s="25" t="s">
        <v>156</v>
      </c>
      <c r="F229" s="94"/>
      <c r="G229" s="94"/>
      <c r="H229" s="20"/>
    </row>
    <row r="230" customFormat="false" ht="17.35" hidden="false" customHeight="false" outlineLevel="0" collapsed="false">
      <c r="A230" s="70" t="n">
        <f aca="false">A167</f>
        <v>2504.93972800316</v>
      </c>
      <c r="B230" s="37" t="n">
        <f aca="false">B167</f>
        <v>33</v>
      </c>
      <c r="C230" s="67"/>
      <c r="D230" s="67"/>
      <c r="E230" s="37" t="n">
        <f aca="false">E167</f>
        <v>2537.93972800316</v>
      </c>
      <c r="F230" s="94"/>
      <c r="G230" s="94"/>
      <c r="H230" s="20"/>
    </row>
    <row r="231" customFormat="false" ht="17.35" hidden="false" customHeight="false" outlineLevel="0" collapsed="false">
      <c r="A231" s="55"/>
      <c r="B231" s="25"/>
      <c r="C231" s="25"/>
      <c r="D231" s="25"/>
      <c r="E231" s="94"/>
      <c r="F231" s="94"/>
      <c r="G231" s="94"/>
      <c r="H231" s="20"/>
    </row>
    <row r="232" customFormat="false" ht="17.35" hidden="false" customHeight="false" outlineLevel="0" collapsed="false">
      <c r="A232" s="55" t="s">
        <v>157</v>
      </c>
      <c r="B232" s="25" t="s">
        <v>179</v>
      </c>
      <c r="C232" s="25"/>
      <c r="D232" s="25"/>
      <c r="E232" s="25" t="s">
        <v>181</v>
      </c>
      <c r="F232" s="94"/>
      <c r="G232" s="94"/>
      <c r="H232" s="20"/>
    </row>
    <row r="233" customFormat="false" ht="17.35" hidden="false" customHeight="false" outlineLevel="0" collapsed="false">
      <c r="A233" s="70" t="n">
        <f aca="false">E170</f>
        <v>0</v>
      </c>
      <c r="B233" s="37" t="n">
        <f aca="false">E185</f>
        <v>2547.93972800316</v>
      </c>
      <c r="C233" s="25"/>
      <c r="D233" s="25"/>
      <c r="E233" s="37" t="n">
        <f aca="false">A188</f>
        <v>0</v>
      </c>
      <c r="F233" s="94"/>
      <c r="G233" s="94"/>
      <c r="H233" s="20"/>
    </row>
    <row r="234" customFormat="false" ht="17.35" hidden="false" customHeight="false" outlineLevel="0" collapsed="false">
      <c r="A234" s="70"/>
      <c r="B234" s="37"/>
      <c r="C234" s="25"/>
      <c r="D234" s="25"/>
      <c r="E234" s="37"/>
      <c r="F234" s="94"/>
      <c r="G234" s="94"/>
      <c r="H234" s="20"/>
    </row>
    <row r="235" customFormat="false" ht="17.35" hidden="false" customHeight="false" outlineLevel="0" collapsed="false">
      <c r="A235" s="78" t="s">
        <v>102</v>
      </c>
      <c r="B235" s="37"/>
      <c r="C235" s="25"/>
      <c r="D235" s="25"/>
      <c r="E235" s="37"/>
      <c r="F235" s="94"/>
      <c r="G235" s="94"/>
      <c r="H235" s="20"/>
    </row>
    <row r="236" customFormat="false" ht="17.35" hidden="false" customHeight="false" outlineLevel="0" collapsed="false">
      <c r="A236" s="70"/>
      <c r="B236" s="37"/>
      <c r="C236" s="25"/>
      <c r="D236" s="25"/>
      <c r="E236" s="37"/>
      <c r="F236" s="94"/>
      <c r="G236" s="94"/>
      <c r="H236" s="20"/>
    </row>
    <row r="237" customFormat="false" ht="17.35" hidden="false" customHeight="false" outlineLevel="0" collapsed="false">
      <c r="A237" s="70"/>
      <c r="B237" s="37"/>
      <c r="C237" s="25"/>
      <c r="D237" s="25"/>
      <c r="E237" s="37"/>
      <c r="F237" s="94"/>
      <c r="G237" s="94"/>
      <c r="H237" s="20"/>
    </row>
    <row r="238" customFormat="false" ht="22.05" hidden="false" customHeight="false" outlineLevel="0" collapsed="false">
      <c r="A238" s="184" t="s">
        <v>183</v>
      </c>
      <c r="B238" s="184"/>
      <c r="C238" s="184"/>
      <c r="D238" s="184"/>
      <c r="E238" s="184"/>
      <c r="F238" s="184"/>
      <c r="G238" s="184"/>
      <c r="H238" s="184"/>
    </row>
    <row r="239" customFormat="false" ht="17.35" hidden="false" customHeight="false" outlineLevel="0" collapsed="false">
      <c r="A239" s="55" t="s">
        <v>184</v>
      </c>
      <c r="B239" s="25" t="s">
        <v>168</v>
      </c>
      <c r="C239" s="25"/>
      <c r="D239" s="25"/>
      <c r="E239" s="38" t="s">
        <v>169</v>
      </c>
      <c r="F239" s="94"/>
      <c r="G239" s="94"/>
      <c r="H239" s="20"/>
    </row>
    <row r="240" customFormat="false" ht="17.35" hidden="false" customHeight="false" outlineLevel="0" collapsed="false">
      <c r="A240" s="70" t="n">
        <f aca="false">H148</f>
        <v>1875</v>
      </c>
      <c r="B240" s="37" t="n">
        <f aca="false">B68</f>
        <v>118.749983333333</v>
      </c>
      <c r="C240" s="25"/>
      <c r="D240" s="25"/>
      <c r="E240" s="37" t="n">
        <f aca="false">E188</f>
        <v>5.5</v>
      </c>
      <c r="F240" s="94"/>
      <c r="G240" s="94"/>
      <c r="H240" s="20"/>
    </row>
    <row r="241" customFormat="false" ht="17.35" hidden="false" customHeight="false" outlineLevel="0" collapsed="false">
      <c r="A241" s="70"/>
      <c r="B241" s="37"/>
      <c r="C241" s="25"/>
      <c r="D241" s="25"/>
      <c r="E241" s="94"/>
      <c r="F241" s="94"/>
      <c r="G241" s="94"/>
      <c r="H241" s="20"/>
    </row>
    <row r="242" customFormat="false" ht="17.35" hidden="false" customHeight="false" outlineLevel="0" collapsed="false">
      <c r="A242" s="78" t="s">
        <v>170</v>
      </c>
      <c r="B242" s="38" t="s">
        <v>171</v>
      </c>
      <c r="C242" s="25"/>
      <c r="D242" s="25"/>
      <c r="E242" s="38"/>
      <c r="F242" s="94"/>
      <c r="G242" s="94"/>
      <c r="H242" s="20"/>
    </row>
    <row r="243" customFormat="false" ht="17.35" hidden="false" customHeight="false" outlineLevel="0" collapsed="false">
      <c r="A243" s="70" t="n">
        <f aca="false">A191</f>
        <v>99.9916666666667</v>
      </c>
      <c r="B243" s="37" t="n">
        <f aca="false">B240+E240+A243+A240</f>
        <v>2099.24165</v>
      </c>
      <c r="C243" s="25"/>
      <c r="D243" s="25"/>
      <c r="E243" s="37"/>
      <c r="F243" s="94"/>
      <c r="G243" s="94"/>
      <c r="H243" s="20"/>
    </row>
    <row r="244" customFormat="false" ht="17.35" hidden="false" customHeight="false" outlineLevel="0" collapsed="false">
      <c r="A244" s="55"/>
      <c r="B244" s="25"/>
      <c r="C244" s="25"/>
      <c r="D244" s="25"/>
      <c r="E244" s="94"/>
      <c r="F244" s="94"/>
      <c r="G244" s="94"/>
      <c r="H244" s="20"/>
    </row>
    <row r="245" customFormat="false" ht="17.35" hidden="false" customHeight="false" outlineLevel="0" collapsed="false">
      <c r="A245" s="74"/>
      <c r="B245" s="75"/>
      <c r="C245" s="75"/>
      <c r="D245" s="75"/>
      <c r="E245" s="75"/>
      <c r="F245" s="75"/>
      <c r="G245" s="75"/>
      <c r="H245" s="82"/>
    </row>
    <row r="251" customFormat="false" ht="22.05" hidden="false" customHeight="false" outlineLevel="0" collapsed="false">
      <c r="A251" s="179" t="s">
        <v>185</v>
      </c>
      <c r="B251" s="179"/>
      <c r="C251" s="179"/>
      <c r="D251" s="179"/>
      <c r="E251" s="179"/>
      <c r="F251" s="179"/>
      <c r="G251" s="179"/>
      <c r="H251" s="179"/>
    </row>
    <row r="252" customFormat="false" ht="17.35" hidden="false" customHeight="false" outlineLevel="0" collapsed="false">
      <c r="A252" s="55"/>
      <c r="B252" s="178"/>
      <c r="C252" s="178"/>
      <c r="D252" s="178"/>
      <c r="E252" s="45"/>
      <c r="F252" s="45"/>
      <c r="G252" s="45"/>
      <c r="H252" s="20"/>
    </row>
    <row r="253" customFormat="false" ht="17.35" hidden="false" customHeight="false" outlineLevel="0" collapsed="false">
      <c r="A253" s="180" t="s">
        <v>186</v>
      </c>
      <c r="B253" s="185" t="n">
        <f aca="false">K35</f>
        <v>0.065</v>
      </c>
      <c r="C253" s="186"/>
      <c r="D253" s="187" t="s">
        <v>187</v>
      </c>
      <c r="E253" s="187"/>
      <c r="F253" s="185" t="n">
        <f aca="false">B83</f>
        <v>0.0995</v>
      </c>
      <c r="G253" s="45"/>
      <c r="H253" s="20"/>
    </row>
    <row r="254" customFormat="false" ht="17.35" hidden="false" customHeight="false" outlineLevel="0" collapsed="false">
      <c r="A254" s="180" t="s">
        <v>188</v>
      </c>
      <c r="B254" s="188"/>
      <c r="C254" s="186"/>
      <c r="D254" s="187" t="s">
        <v>189</v>
      </c>
      <c r="E254" s="187"/>
      <c r="F254" s="188" t="n">
        <f aca="false">F261+F267+F269+B270+B271</f>
        <v>142.49998</v>
      </c>
      <c r="G254" s="45"/>
      <c r="H254" s="20"/>
    </row>
    <row r="255" customFormat="false" ht="17.35" hidden="false" customHeight="false" outlineLevel="0" collapsed="false">
      <c r="A255" s="180" t="s">
        <v>190</v>
      </c>
      <c r="B255" s="188" t="n">
        <f aca="false">F262+B263</f>
        <v>154.991666666667</v>
      </c>
      <c r="C255" s="186"/>
      <c r="D255" s="187" t="s">
        <v>191</v>
      </c>
      <c r="E255" s="187"/>
      <c r="F255" s="188" t="n">
        <f aca="false">(B254-F254)+B255</f>
        <v>12.4916866666667</v>
      </c>
      <c r="G255" s="45"/>
      <c r="H255" s="20"/>
    </row>
    <row r="256" customFormat="false" ht="17.35" hidden="false" customHeight="false" outlineLevel="0" collapsed="false">
      <c r="A256" s="189"/>
      <c r="B256" s="187"/>
      <c r="C256" s="190"/>
      <c r="D256" s="190"/>
      <c r="E256" s="190"/>
      <c r="F256" s="190"/>
      <c r="G256" s="191"/>
      <c r="H256" s="192"/>
    </row>
    <row r="257" customFormat="false" ht="17.35" hidden="false" customHeight="false" outlineLevel="0" collapsed="false">
      <c r="A257" s="55" t="s">
        <v>186</v>
      </c>
      <c r="B257" s="193" t="n">
        <f aca="false">B253</f>
        <v>0.065</v>
      </c>
      <c r="C257" s="186"/>
      <c r="D257" s="186"/>
      <c r="E257" s="186"/>
      <c r="F257" s="186"/>
      <c r="G257" s="45"/>
      <c r="H257" s="20"/>
    </row>
    <row r="258" customFormat="false" ht="17.35" hidden="false" customHeight="false" outlineLevel="0" collapsed="false">
      <c r="A258" s="194"/>
      <c r="B258" s="195"/>
      <c r="C258" s="196"/>
      <c r="D258" s="196"/>
      <c r="E258" s="191"/>
      <c r="F258" s="191"/>
      <c r="G258" s="191"/>
      <c r="H258" s="192"/>
    </row>
    <row r="259" customFormat="false" ht="17.35" hidden="false" customHeight="false" outlineLevel="0" collapsed="false">
      <c r="A259" s="55" t="s">
        <v>192</v>
      </c>
      <c r="B259" s="193" t="n">
        <f aca="false">B64</f>
        <v>0.024</v>
      </c>
      <c r="C259" s="178"/>
      <c r="D259" s="38" t="s">
        <v>193</v>
      </c>
      <c r="E259" s="38"/>
      <c r="F259" s="193" t="n">
        <v>0</v>
      </c>
      <c r="G259" s="45"/>
      <c r="H259" s="20"/>
    </row>
    <row r="260" customFormat="false" ht="17.35" hidden="false" customHeight="false" outlineLevel="0" collapsed="false">
      <c r="A260" s="123" t="s">
        <v>187</v>
      </c>
      <c r="B260" s="197" t="n">
        <f aca="false">B83</f>
        <v>0.0995</v>
      </c>
      <c r="C260" s="198"/>
      <c r="D260" s="38" t="s">
        <v>188</v>
      </c>
      <c r="E260" s="38"/>
      <c r="F260" s="199" t="n">
        <f aca="false">(B89*B59)-(C89*B59)</f>
        <v>27554.3370080348</v>
      </c>
      <c r="G260" s="45"/>
      <c r="H260" s="20"/>
    </row>
    <row r="261" customFormat="false" ht="17.35" hidden="false" customHeight="false" outlineLevel="0" collapsed="false">
      <c r="A261" s="55" t="s">
        <v>194</v>
      </c>
      <c r="B261" s="197" t="n">
        <f aca="false">B67</f>
        <v>0.005</v>
      </c>
      <c r="C261" s="178"/>
      <c r="D261" s="38" t="s">
        <v>194</v>
      </c>
      <c r="E261" s="38"/>
      <c r="F261" s="152" t="n">
        <f aca="false">B68*1.2</f>
        <v>142.49998</v>
      </c>
      <c r="G261" s="45"/>
      <c r="H261" s="20"/>
    </row>
    <row r="262" customFormat="false" ht="17.35" hidden="false" customHeight="false" outlineLevel="0" collapsed="false">
      <c r="A262" s="55" t="s">
        <v>195</v>
      </c>
      <c r="B262" s="193" t="n">
        <f aca="false">A108</f>
        <v>0.2</v>
      </c>
      <c r="C262" s="178"/>
      <c r="D262" s="38" t="s">
        <v>195</v>
      </c>
      <c r="E262" s="38"/>
      <c r="F262" s="199" t="n">
        <f aca="false">E240*10</f>
        <v>55</v>
      </c>
      <c r="G262" s="45"/>
      <c r="H262" s="20"/>
    </row>
    <row r="263" customFormat="false" ht="17.35" hidden="false" customHeight="false" outlineLevel="0" collapsed="false">
      <c r="A263" s="55" t="s">
        <v>196</v>
      </c>
      <c r="B263" s="199" t="n">
        <f aca="false">A243</f>
        <v>99.9916666666667</v>
      </c>
      <c r="C263" s="178"/>
      <c r="D263" s="200" t="s">
        <v>191</v>
      </c>
      <c r="E263" s="200"/>
      <c r="F263" s="199" t="n">
        <f aca="false">(B254-F254)+B255</f>
        <v>12.4916866666667</v>
      </c>
      <c r="G263" s="45"/>
      <c r="H263" s="20"/>
    </row>
    <row r="264" customFormat="false" ht="17.35" hidden="false" customHeight="false" outlineLevel="0" collapsed="false">
      <c r="A264" s="70"/>
      <c r="B264" s="201"/>
      <c r="C264" s="178"/>
      <c r="D264" s="178"/>
      <c r="E264" s="201"/>
      <c r="F264" s="45"/>
      <c r="G264" s="45"/>
      <c r="H264" s="20"/>
    </row>
    <row r="265" customFormat="false" ht="22.05" hidden="false" customHeight="false" outlineLevel="0" collapsed="false">
      <c r="A265" s="184" t="s">
        <v>197</v>
      </c>
      <c r="B265" s="184"/>
      <c r="C265" s="184"/>
      <c r="D265" s="184"/>
      <c r="E265" s="184"/>
      <c r="F265" s="184"/>
      <c r="G265" s="184"/>
      <c r="H265" s="184"/>
    </row>
    <row r="266" customFormat="false" ht="17.35" hidden="false" customHeight="false" outlineLevel="0" collapsed="false">
      <c r="A266" s="55" t="s">
        <v>198</v>
      </c>
      <c r="B266" s="152" t="n">
        <v>0</v>
      </c>
      <c r="C266" s="178"/>
      <c r="D266" s="202" t="s">
        <v>199</v>
      </c>
      <c r="E266" s="202"/>
      <c r="F266" s="152" t="n">
        <v>0</v>
      </c>
      <c r="G266" s="45"/>
      <c r="H266" s="20"/>
    </row>
    <row r="267" customFormat="false" ht="17.35" hidden="false" customHeight="false" outlineLevel="0" collapsed="false">
      <c r="A267" s="70"/>
      <c r="B267" s="199"/>
      <c r="C267" s="178"/>
      <c r="D267" s="38" t="s">
        <v>200</v>
      </c>
      <c r="E267" s="38"/>
      <c r="F267" s="199" t="n">
        <f aca="false">B266+F266*B209</f>
        <v>0</v>
      </c>
      <c r="G267" s="45"/>
      <c r="H267" s="20"/>
    </row>
    <row r="268" customFormat="false" ht="17.35" hidden="false" customHeight="false" outlineLevel="0" collapsed="false">
      <c r="A268" s="78" t="s">
        <v>201</v>
      </c>
      <c r="B268" s="203" t="s">
        <v>4</v>
      </c>
      <c r="C268" s="178"/>
      <c r="D268" s="38" t="s">
        <v>202</v>
      </c>
      <c r="E268" s="38"/>
      <c r="F268" s="203" t="n">
        <f aca="false">B70</f>
        <v>0</v>
      </c>
      <c r="G268" s="45"/>
      <c r="H268" s="20"/>
    </row>
    <row r="269" customFormat="false" ht="17.35" hidden="false" customHeight="false" outlineLevel="0" collapsed="false">
      <c r="A269" s="78"/>
      <c r="B269" s="204"/>
      <c r="C269" s="178"/>
      <c r="D269" s="38" t="s">
        <v>203</v>
      </c>
      <c r="E269" s="38"/>
      <c r="F269" s="199" t="n">
        <f aca="false">B91</f>
        <v>0</v>
      </c>
      <c r="G269" s="45"/>
      <c r="H269" s="20"/>
    </row>
    <row r="270" customFormat="false" ht="17.35" hidden="false" customHeight="false" outlineLevel="0" collapsed="false">
      <c r="A270" s="78" t="s">
        <v>204</v>
      </c>
      <c r="B270" s="152" t="n">
        <v>0</v>
      </c>
      <c r="C270" s="178"/>
      <c r="D270" s="178"/>
      <c r="E270" s="201"/>
      <c r="F270" s="45"/>
      <c r="G270" s="45"/>
      <c r="H270" s="20"/>
    </row>
    <row r="271" customFormat="false" ht="17.35" hidden="false" customHeight="false" outlineLevel="0" collapsed="false">
      <c r="A271" s="55" t="s">
        <v>205</v>
      </c>
      <c r="B271" s="152" t="n">
        <v>0</v>
      </c>
      <c r="C271" s="178"/>
      <c r="D271" s="178"/>
      <c r="E271" s="45"/>
      <c r="F271" s="45"/>
      <c r="G271" s="45"/>
      <c r="H271" s="20"/>
      <c r="J271" s="1" t="n">
        <v>4</v>
      </c>
    </row>
    <row r="272" customFormat="false" ht="17.35" hidden="false" customHeight="false" outlineLevel="0" collapsed="false">
      <c r="A272" s="74"/>
      <c r="B272" s="75"/>
      <c r="C272" s="75"/>
      <c r="D272" s="75"/>
      <c r="E272" s="75"/>
      <c r="F272" s="75"/>
      <c r="G272" s="75"/>
      <c r="H272" s="82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60">
    <mergeCell ref="A1:F1"/>
    <mergeCell ref="D7:E18"/>
    <mergeCell ref="A16:C18"/>
    <mergeCell ref="A19:D19"/>
    <mergeCell ref="A21:D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operator="between" showDropDown="false" showErrorMessage="true" showInputMessage="true" sqref="B105 K105 T105 AC105" type="list">
      <formula1>#ref!</formula1>
      <formula2>0</formula2>
    </dataValidation>
    <dataValidation allowBlank="true" operator="between" showDropDown="false" showErrorMessage="true" showInputMessage="true" sqref="A144:A146 J144:J146 S144:S146 AB144:AB146" type="list">
      <formula1>#ref!</formula1>
      <formula2>0</formula2>
    </dataValidation>
    <dataValidation allowBlank="true" operator="between" showDropDown="false" showErrorMessage="true" showInputMessage="true" sqref="B108:D108 K108:M108 T108:V108 AC108:AE108" type="list">
      <formula1>#ref!</formula1>
      <formula2>0</formula2>
    </dataValidation>
    <dataValidation allowBlank="true" operator="between" showDropDown="false" showErrorMessage="true" showInputMessage="true" sqref="N105 W105 AF105 J111 S111 AB111" type="list">
      <formula1>#ref!</formula1>
      <formula2>0</formula2>
    </dataValidation>
    <dataValidation allowBlank="true" operator="between" showDropDown="false" showErrorMessage="true" showInputMessage="true" sqref="B26 E105 A111" type="list">
      <formula1>HirePurchaseNonRegulated!$K$9:$K$10</formula1>
      <formula2>0</formula2>
    </dataValidation>
    <dataValidation allowBlank="true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37" colorId="64" zoomScale="75" zoomScaleNormal="75" zoomScalePageLayoutView="100" workbookViewId="0">
      <selection pane="topLeft" activeCell="B87" activeCellId="0" sqref="B87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396" t="s">
        <v>324</v>
      </c>
      <c r="B1" s="396"/>
      <c r="C1" s="396"/>
      <c r="D1" s="396"/>
      <c r="E1" s="396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8.75" hidden="false" customHeight="true" outlineLevel="0" collapsed="false">
      <c r="A2" s="261"/>
      <c r="B2" s="474" t="s">
        <v>115</v>
      </c>
      <c r="C2" s="474" t="s">
        <v>116</v>
      </c>
      <c r="D2" s="474" t="s">
        <v>117</v>
      </c>
      <c r="E2" s="399" t="s">
        <v>118</v>
      </c>
      <c r="F2" s="19"/>
      <c r="G2" s="19"/>
      <c r="H2" s="19"/>
      <c r="I2" s="19" t="s">
        <v>9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8.75" hidden="false" customHeight="true" outlineLevel="0" collapsed="false">
      <c r="A3" s="209" t="s">
        <v>121</v>
      </c>
      <c r="B3" s="363" t="n">
        <v>46854.17</v>
      </c>
      <c r="C3" s="475" t="n">
        <v>0</v>
      </c>
      <c r="D3" s="363" t="n">
        <v>833.33</v>
      </c>
      <c r="E3" s="476" t="n">
        <v>0</v>
      </c>
      <c r="F3" s="19"/>
      <c r="G3" s="19" t="n">
        <v>25000</v>
      </c>
      <c r="H3" s="19"/>
      <c r="I3" s="19" t="s">
        <v>10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8.75" hidden="false" customHeight="true" outlineLevel="0" collapsed="false">
      <c r="A4" s="209" t="s">
        <v>122</v>
      </c>
      <c r="B4" s="0" t="n">
        <v>0</v>
      </c>
      <c r="C4" s="0" t="n">
        <v>0</v>
      </c>
      <c r="D4" s="0" t="n">
        <v>0</v>
      </c>
      <c r="E4" s="260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8.75" hidden="false" customHeight="true" outlineLevel="0" collapsed="false">
      <c r="A5" s="209" t="s">
        <v>123</v>
      </c>
      <c r="B5" s="475" t="n">
        <v>0</v>
      </c>
      <c r="C5" s="475" t="n">
        <v>0</v>
      </c>
      <c r="D5" s="475" t="n">
        <v>0</v>
      </c>
      <c r="E5" s="273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8.75" hidden="false" customHeight="true" outlineLevel="0" collapsed="false">
      <c r="A6" s="209" t="s">
        <v>124</v>
      </c>
      <c r="B6" s="79" t="n">
        <f aca="false">(B3*B4/100)+B5</f>
        <v>0</v>
      </c>
      <c r="C6" s="79" t="n">
        <f aca="false">(C3*C4/100)+C5</f>
        <v>0</v>
      </c>
      <c r="D6" s="79" t="n">
        <f aca="false">(D3*D4/100)+D5</f>
        <v>0</v>
      </c>
      <c r="E6" s="273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8.75" hidden="false" customHeight="true" outlineLevel="0" collapsed="false">
      <c r="A7" s="209" t="s">
        <v>125</v>
      </c>
      <c r="B7" s="79" t="n">
        <f aca="false">B3-B6</f>
        <v>46854.17</v>
      </c>
      <c r="C7" s="79" t="n">
        <f aca="false">C3-C6</f>
        <v>0</v>
      </c>
      <c r="D7" s="79" t="n">
        <f aca="false">D3-D6</f>
        <v>833.33</v>
      </c>
      <c r="E7" s="273"/>
      <c r="F7" s="19"/>
      <c r="G7" s="368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8.75" hidden="false" customHeight="true" outlineLevel="0" collapsed="false">
      <c r="A8" s="209"/>
      <c r="B8" s="207"/>
      <c r="C8" s="207"/>
      <c r="D8" s="207"/>
      <c r="E8" s="210"/>
      <c r="F8" s="19"/>
      <c r="G8" s="369" t="n">
        <f aca="false">G9*100/B3</f>
        <v>-222.685622218897</v>
      </c>
      <c r="H8" s="19"/>
      <c r="I8" s="26" t="s">
        <v>3</v>
      </c>
      <c r="J8" s="27" t="n">
        <f aca="false">E13+E14</f>
        <v>640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8.75" hidden="false" customHeight="true" outlineLevel="0" collapsed="false">
      <c r="A9" s="402" t="s">
        <v>133</v>
      </c>
      <c r="B9" s="402"/>
      <c r="C9" s="402"/>
      <c r="D9" s="402"/>
      <c r="E9" s="477" t="n">
        <f aca="false">(B7+C7+D7+E3)</f>
        <v>47687.5</v>
      </c>
      <c r="F9" s="19"/>
      <c r="G9" s="368" t="n">
        <f aca="false">E9-G11</f>
        <v>-104337.5</v>
      </c>
      <c r="H9" s="19"/>
      <c r="I9" s="27"/>
      <c r="J9" s="27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8.75" hidden="false" customHeight="true" outlineLevel="0" collapsed="false">
      <c r="A10" s="404" t="s">
        <v>134</v>
      </c>
      <c r="B10" s="404"/>
      <c r="C10" s="404"/>
      <c r="D10" s="404"/>
      <c r="E10" s="476" t="n">
        <v>550</v>
      </c>
      <c r="F10" s="19"/>
      <c r="G10" s="368"/>
      <c r="H10" s="19"/>
      <c r="I10" s="32" t="s">
        <v>1</v>
      </c>
      <c r="J10" s="27" t="n">
        <f aca="false">E15-E11-J8</f>
        <v>48237.5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8.75" hidden="false" customHeight="true" outlineLevel="0" collapsed="false">
      <c r="A11" s="404" t="s">
        <v>135</v>
      </c>
      <c r="B11" s="404"/>
      <c r="C11" s="404"/>
      <c r="D11" s="404"/>
      <c r="E11" s="273" t="n">
        <f aca="false">( E9 + E10 ) * 0.2</f>
        <v>9647.5</v>
      </c>
      <c r="F11" s="19"/>
      <c r="G11" s="368" t="n">
        <f aca="false">G13/1.2</f>
        <v>152025</v>
      </c>
      <c r="H11" s="19"/>
      <c r="I11" s="27"/>
      <c r="J11" s="27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8.75" hidden="false" customHeight="true" outlineLevel="0" collapsed="false">
      <c r="A12" s="404" t="s">
        <v>136</v>
      </c>
      <c r="B12" s="404"/>
      <c r="C12" s="404"/>
      <c r="D12" s="404"/>
      <c r="E12" s="476" t="n"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8.75" hidden="false" customHeight="true" outlineLevel="0" collapsed="false">
      <c r="A13" s="404" t="s">
        <v>137</v>
      </c>
      <c r="B13" s="404"/>
      <c r="C13" s="404"/>
      <c r="D13" s="404"/>
      <c r="E13" s="476" t="n">
        <v>585</v>
      </c>
      <c r="F13" s="19"/>
      <c r="G13" s="368" t="n">
        <f aca="false">G15-E14-E13-E12</f>
        <v>182430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8.75" hidden="false" customHeight="true" outlineLevel="0" collapsed="false">
      <c r="A14" s="404" t="s">
        <v>138</v>
      </c>
      <c r="B14" s="404"/>
      <c r="C14" s="404"/>
      <c r="D14" s="404"/>
      <c r="E14" s="476" t="n">
        <v>55</v>
      </c>
      <c r="F14" s="19"/>
      <c r="G14" s="19" t="s">
        <v>13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8.75" hidden="false" customHeight="true" outlineLevel="0" collapsed="false">
      <c r="A15" s="404" t="s">
        <v>139</v>
      </c>
      <c r="B15" s="404"/>
      <c r="C15" s="404"/>
      <c r="D15" s="404"/>
      <c r="E15" s="478" t="n">
        <f aca="false">(E9+E10+E13+E14+E11) - E12</f>
        <v>58525</v>
      </c>
      <c r="F15" s="19"/>
      <c r="G15" s="205" t="n">
        <v>183070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8.75" hidden="false" customHeight="true" outlineLevel="0" collapsed="false">
      <c r="A16" s="404" t="s">
        <v>140</v>
      </c>
      <c r="B16" s="404"/>
      <c r="C16" s="404"/>
      <c r="D16" s="404"/>
      <c r="E16" s="476" t="n">
        <v>0</v>
      </c>
      <c r="F16" s="19"/>
      <c r="G16" s="370" t="n">
        <f aca="false">(B3+C3+E10)*1.2</f>
        <v>56885.004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6" t="s">
        <v>15</v>
      </c>
      <c r="Z16" s="19"/>
    </row>
    <row r="17" customFormat="false" ht="18.75" hidden="false" customHeight="true" outlineLevel="0" collapsed="false">
      <c r="A17" s="349" t="s">
        <v>141</v>
      </c>
      <c r="B17" s="349"/>
      <c r="C17" s="349"/>
      <c r="D17" s="349"/>
      <c r="E17" s="210" t="n">
        <v>0</v>
      </c>
      <c r="F17" s="19"/>
      <c r="G17" s="19" t="s">
        <v>16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6" t="s">
        <v>17</v>
      </c>
      <c r="Z17" s="19"/>
    </row>
    <row r="18" customFormat="false" ht="18.75" hidden="false" customHeight="true" outlineLevel="0" collapsed="false">
      <c r="A18" s="405" t="s">
        <v>15</v>
      </c>
      <c r="B18" s="406" t="s">
        <v>142</v>
      </c>
      <c r="C18" s="406"/>
      <c r="D18" s="406"/>
      <c r="E18" s="479" t="n">
        <v>0</v>
      </c>
      <c r="F18" s="19"/>
      <c r="G18" s="205" t="n">
        <f aca="false">(B3+C3+D3+E3+E10)*1.2</f>
        <v>57885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6" t="s">
        <v>18</v>
      </c>
      <c r="Z18" s="19"/>
    </row>
    <row r="19" customFormat="false" ht="18.75" hidden="false" customHeight="true" outlineLevel="0" collapsed="false">
      <c r="A19" s="405" t="s">
        <v>17</v>
      </c>
      <c r="B19" s="406" t="s">
        <v>142</v>
      </c>
      <c r="C19" s="406"/>
      <c r="D19" s="406"/>
      <c r="E19" s="479" t="n"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 t="s">
        <v>9</v>
      </c>
    </row>
    <row r="20" customFormat="false" ht="18.75" hidden="false" customHeight="true" outlineLevel="0" collapsed="false">
      <c r="A20" s="405" t="s">
        <v>18</v>
      </c>
      <c r="B20" s="406" t="s">
        <v>142</v>
      </c>
      <c r="C20" s="406"/>
      <c r="D20" s="406"/>
      <c r="E20" s="479" t="n"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 t="s">
        <v>10</v>
      </c>
    </row>
    <row r="21" customFormat="false" ht="18.75" hidden="false" customHeight="true" outlineLevel="0" collapsed="false">
      <c r="A21" s="407" t="s">
        <v>143</v>
      </c>
      <c r="B21" s="407"/>
      <c r="C21" s="407"/>
      <c r="D21" s="407"/>
      <c r="E21" s="480" t="n">
        <f aca="false">E15-((E18*1.2)+(E19*1.2)+(E20*1.2)+(E16*1.2))</f>
        <v>58525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8.75" hidden="false" customHeight="true" outlineLevel="0" collapsed="false">
      <c r="A22" s="207"/>
      <c r="B22" s="207"/>
      <c r="C22" s="207"/>
      <c r="D22" s="207"/>
      <c r="E22" s="207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8.75" hidden="false" customHeight="true" outlineLevel="0" collapsed="false">
      <c r="A23" s="207"/>
      <c r="B23" s="207"/>
      <c r="C23" s="207"/>
      <c r="D23" s="207"/>
      <c r="E23" s="207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45.75" hidden="false" customHeight="true" outlineLevel="0" collapsed="false">
      <c r="A24" s="208" t="s">
        <v>21</v>
      </c>
      <c r="B24" s="208"/>
      <c r="C24" s="208"/>
      <c r="D24" s="208"/>
      <c r="E24" s="20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8.75" hidden="false" customHeight="true" outlineLevel="0" collapsed="false">
      <c r="A25" s="209"/>
      <c r="B25" s="207"/>
      <c r="C25" s="207"/>
      <c r="D25" s="207"/>
      <c r="E25" s="21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8.75" hidden="false" customHeight="true" outlineLevel="0" collapsed="false">
      <c r="A26" s="214" t="s">
        <v>22</v>
      </c>
      <c r="B26" s="216" t="s">
        <v>9</v>
      </c>
      <c r="C26" s="207"/>
      <c r="D26" s="207"/>
      <c r="E26" s="210"/>
      <c r="F26" s="19"/>
      <c r="G26" s="212" t="s">
        <v>23</v>
      </c>
      <c r="H26" s="212" t="s">
        <v>24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8.75" hidden="false" customHeight="true" outlineLevel="0" collapsed="false">
      <c r="A27" s="209"/>
      <c r="B27" s="207"/>
      <c r="C27" s="207"/>
      <c r="D27" s="207"/>
      <c r="E27" s="210"/>
      <c r="F27" s="19"/>
      <c r="G27" s="213" t="s">
        <v>25</v>
      </c>
      <c r="H27" s="213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8.75" hidden="false" customHeight="true" outlineLevel="0" collapsed="false">
      <c r="A28" s="211" t="s">
        <v>153</v>
      </c>
      <c r="B28" s="211"/>
      <c r="C28" s="211"/>
      <c r="D28" s="211"/>
      <c r="E28" s="211"/>
      <c r="F28" s="19"/>
      <c r="G28" s="213" t="s">
        <v>27</v>
      </c>
      <c r="H28" s="213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8.75" hidden="false" customHeight="true" outlineLevel="0" collapsed="false">
      <c r="A29" s="209"/>
      <c r="B29" s="207"/>
      <c r="C29" s="207"/>
      <c r="D29" s="207"/>
      <c r="E29" s="210"/>
      <c r="F29" s="19"/>
      <c r="G29" s="212" t="s">
        <v>214</v>
      </c>
      <c r="H29" s="371" t="n">
        <v>35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8.75" hidden="false" customHeight="true" outlineLevel="0" collapsed="false">
      <c r="A30" s="209" t="s">
        <v>29</v>
      </c>
      <c r="B30" s="168" t="s">
        <v>30</v>
      </c>
      <c r="C30" s="168"/>
      <c r="D30" s="207"/>
      <c r="E30" s="210"/>
      <c r="F30" s="19"/>
      <c r="G30" s="212" t="s">
        <v>31</v>
      </c>
      <c r="H30" s="371" t="n">
        <v>35000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8.75" hidden="false" customHeight="true" outlineLevel="0" collapsed="false">
      <c r="A31" s="209"/>
      <c r="B31" s="207"/>
      <c r="C31" s="207"/>
      <c r="D31" s="207"/>
      <c r="E31" s="210"/>
      <c r="F31" s="19"/>
      <c r="G31" s="212" t="s">
        <v>32</v>
      </c>
      <c r="H31" s="62" t="n">
        <v>18000</v>
      </c>
      <c r="I31" s="228" t="n">
        <f aca="false">IF(C107="YES",H31,0)</f>
        <v>18000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8.75" hidden="false" customHeight="true" outlineLevel="0" collapsed="false">
      <c r="A32" s="209" t="s">
        <v>28</v>
      </c>
      <c r="B32" s="207" t="s">
        <v>33</v>
      </c>
      <c r="C32" s="207"/>
      <c r="D32" s="372" t="s">
        <v>34</v>
      </c>
      <c r="E32" s="210"/>
      <c r="F32" s="19"/>
      <c r="G32" s="212" t="s">
        <v>35</v>
      </c>
      <c r="I32" s="62" t="n">
        <v>4689.3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31.6" hidden="false" customHeight="true" outlineLevel="0" collapsed="false">
      <c r="A33" s="222" t="n">
        <f aca="false">A52</f>
        <v>35</v>
      </c>
      <c r="B33" s="174" t="n">
        <v>10000</v>
      </c>
      <c r="C33" s="223"/>
      <c r="D33" s="373" t="n">
        <f aca="false">H48</f>
        <v>1282.52199265886</v>
      </c>
      <c r="E33" s="210"/>
      <c r="F33" s="19"/>
      <c r="G33" s="213" t="s">
        <v>36</v>
      </c>
      <c r="H33" s="374" t="n">
        <f aca="false">E21-E11+((E16*20%)+(E19*20%)+(E20*20%))</f>
        <v>48877.5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8.75" hidden="false" customHeight="true" outlineLevel="0" collapsed="false">
      <c r="A34" s="209"/>
      <c r="B34" s="207"/>
      <c r="C34" s="207"/>
      <c r="D34" s="207"/>
      <c r="E34" s="210"/>
      <c r="F34" s="19"/>
      <c r="G34" s="19" t="s">
        <v>316</v>
      </c>
      <c r="H34" s="19" t="n">
        <f aca="false">H29</f>
        <v>35</v>
      </c>
      <c r="I34" s="19" t="n">
        <v>43957.29</v>
      </c>
      <c r="J34" s="19" t="n">
        <v>841.24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8.75" hidden="false" customHeight="true" outlineLevel="0" collapsed="false">
      <c r="A35" s="209" t="s">
        <v>37</v>
      </c>
      <c r="B35" s="207" t="s">
        <v>38</v>
      </c>
      <c r="C35" s="207"/>
      <c r="D35" s="207" t="s">
        <v>39</v>
      </c>
      <c r="E35" s="210"/>
      <c r="F35" s="19"/>
      <c r="G35" s="225" t="s">
        <v>40</v>
      </c>
      <c r="H35" s="226" t="n">
        <v>0.065</v>
      </c>
      <c r="I35" s="19" t="n">
        <v>46215.83</v>
      </c>
      <c r="J35" s="19" t="n">
        <v>909.69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8.75" hidden="false" customHeight="true" outlineLevel="0" collapsed="false">
      <c r="A36" s="69" t="n">
        <f aca="false">H47</f>
        <v>1148.54199265886</v>
      </c>
      <c r="B36" s="37" t="n">
        <f aca="false">IF(B26="YES", H42, "")</f>
        <v>133.98</v>
      </c>
      <c r="C36" s="215"/>
      <c r="D36" s="232" t="n">
        <f aca="false">I31</f>
        <v>18000</v>
      </c>
      <c r="E36" s="210"/>
      <c r="F36" s="19"/>
      <c r="G36" s="19"/>
      <c r="H36" s="19"/>
      <c r="I36" s="19" t="n">
        <f aca="false">I35-I34</f>
        <v>2258.54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8.75" hidden="false" customHeight="true" outlineLevel="0" collapsed="false">
      <c r="A37" s="70"/>
      <c r="B37" s="37"/>
      <c r="C37" s="215"/>
      <c r="D37" s="37"/>
      <c r="E37" s="210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8.75" hidden="false" customHeight="true" outlineLevel="0" collapsed="false">
      <c r="A38" s="209"/>
      <c r="B38" s="207"/>
      <c r="C38" s="207"/>
      <c r="D38" s="207"/>
      <c r="E38" s="210"/>
      <c r="F38" s="19"/>
      <c r="G38" s="237" t="s">
        <v>42</v>
      </c>
      <c r="H38" s="237"/>
      <c r="I38" s="22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8.75" hidden="false" customHeight="true" outlineLevel="0" collapsed="false">
      <c r="A39" s="209" t="s">
        <v>43</v>
      </c>
      <c r="B39" s="207" t="s">
        <v>44</v>
      </c>
      <c r="C39" s="207"/>
      <c r="D39" s="207" t="s">
        <v>45</v>
      </c>
      <c r="E39" s="210"/>
      <c r="F39" s="19"/>
      <c r="G39" s="19" t="s">
        <v>46</v>
      </c>
      <c r="H39" s="228" t="n">
        <f aca="false">H33</f>
        <v>48877.5</v>
      </c>
      <c r="I39" s="228" t="n">
        <f aca="false">(I48*H46)+H44</f>
        <v>52613.796519141</v>
      </c>
      <c r="J39" s="22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8.75" hidden="false" customHeight="true" outlineLevel="0" collapsed="false">
      <c r="A40" s="72" t="n">
        <f aca="false">D36*A45/100</f>
        <v>18000</v>
      </c>
      <c r="B40" s="72" t="n">
        <f aca="false">IF(B26="YES",H42,"0")</f>
        <v>133.98</v>
      </c>
      <c r="C40" s="72"/>
      <c r="D40" s="232" t="n">
        <f aca="false">I32</f>
        <v>4689.3</v>
      </c>
      <c r="E40" s="210"/>
      <c r="F40" s="19"/>
      <c r="G40" s="19" t="s">
        <v>47</v>
      </c>
      <c r="H40" s="228" t="n">
        <f aca="false">A40/1.2</f>
        <v>15000</v>
      </c>
      <c r="I40" s="228" t="n">
        <f aca="false">H39-I39</f>
        <v>-3736.29651914099</v>
      </c>
      <c r="J40" s="19" t="n">
        <v>30000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8.75" hidden="false" customHeight="true" outlineLevel="0" collapsed="false">
      <c r="A41" s="209"/>
      <c r="B41" s="207"/>
      <c r="C41" s="207"/>
      <c r="D41" s="207"/>
      <c r="E41" s="210"/>
      <c r="F41" s="19"/>
      <c r="G41" s="19" t="s">
        <v>48</v>
      </c>
      <c r="H41" s="235" t="n">
        <f aca="false">H35/12</f>
        <v>0.00541666666666667</v>
      </c>
      <c r="I41" s="22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8.75" hidden="false" customHeight="true" outlineLevel="0" collapsed="false">
      <c r="A42" s="209"/>
      <c r="B42" s="207"/>
      <c r="C42" s="207"/>
      <c r="D42" s="207"/>
      <c r="E42" s="210"/>
      <c r="F42" s="19"/>
      <c r="G42" s="19" t="s">
        <v>49</v>
      </c>
      <c r="H42" s="228" t="n">
        <f aca="false">(I32/H34)*(C45/100)</f>
        <v>133.98</v>
      </c>
      <c r="I42" s="22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8.75" hidden="false" customHeight="true" outlineLevel="0" collapsed="false">
      <c r="A43" s="255"/>
      <c r="B43" s="256"/>
      <c r="C43" s="256"/>
      <c r="D43" s="256"/>
      <c r="E43" s="257"/>
      <c r="F43" s="19"/>
      <c r="G43" s="19" t="s">
        <v>50</v>
      </c>
      <c r="H43" s="19"/>
      <c r="I43" s="22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8.75" hidden="false" customHeight="true" outlineLevel="0" collapsed="false">
      <c r="A44" s="375" t="s">
        <v>51</v>
      </c>
      <c r="B44" s="207"/>
      <c r="C44" s="339" t="s">
        <v>52</v>
      </c>
      <c r="D44" s="339"/>
      <c r="E44" s="210"/>
      <c r="F44" s="19"/>
      <c r="G44" s="19" t="s">
        <v>317</v>
      </c>
      <c r="H44" s="228" t="n">
        <f aca="false">(H40/(1+H41)^(H34+1))</f>
        <v>12349.016529922</v>
      </c>
      <c r="I44" s="228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8.75" hidden="false" customHeight="true" outlineLevel="0" collapsed="false">
      <c r="A45" s="376" t="n">
        <v>100</v>
      </c>
      <c r="B45" s="207"/>
      <c r="C45" s="377" t="n">
        <v>100</v>
      </c>
      <c r="D45" s="377"/>
      <c r="E45" s="210"/>
      <c r="F45" s="19"/>
      <c r="G45" s="19" t="s">
        <v>318</v>
      </c>
      <c r="H45" s="228" t="n">
        <f aca="false">(H39-H44)</f>
        <v>36528.483470078</v>
      </c>
      <c r="I45" s="22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8.75" hidden="false" customHeight="true" outlineLevel="0" collapsed="false">
      <c r="A46" s="252"/>
      <c r="B46" s="253"/>
      <c r="C46" s="253"/>
      <c r="D46" s="253"/>
      <c r="E46" s="254"/>
      <c r="F46" s="19"/>
      <c r="G46" s="19" t="s">
        <v>319</v>
      </c>
      <c r="H46" s="228" t="n">
        <f aca="false">((1-(1/((1+H41)^H34)))/H41)</f>
        <v>31.8042210938366</v>
      </c>
      <c r="I46" s="22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8.75" hidden="false" customHeight="true" outlineLevel="0" collapsed="false">
      <c r="A47" s="209"/>
      <c r="B47" s="207"/>
      <c r="C47" s="207"/>
      <c r="D47" s="207"/>
      <c r="E47" s="210"/>
      <c r="F47" s="19"/>
      <c r="G47" s="19" t="s">
        <v>56</v>
      </c>
      <c r="H47" s="228" t="n">
        <f aca="false">H45/H46</f>
        <v>1148.54199265886</v>
      </c>
      <c r="I47" s="22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8.75" hidden="false" customHeight="true" outlineLevel="0" collapsed="false">
      <c r="A48" s="243" t="s">
        <v>57</v>
      </c>
      <c r="B48" s="207"/>
      <c r="C48" s="207"/>
      <c r="D48" s="244"/>
      <c r="E48" s="245"/>
      <c r="F48" s="19"/>
      <c r="G48" s="378" t="s">
        <v>58</v>
      </c>
      <c r="H48" s="228" t="n">
        <f aca="false">IF(B26="YES", H47+H42, H47)</f>
        <v>1282.52199265886</v>
      </c>
      <c r="I48" s="228" t="n">
        <f aca="false">I49-H42</f>
        <v>1266.02</v>
      </c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8.75" hidden="false" customHeight="true" outlineLevel="0" collapsed="false">
      <c r="A49" s="209"/>
      <c r="B49" s="246"/>
      <c r="C49" s="246"/>
      <c r="D49" s="207"/>
      <c r="E49" s="210"/>
      <c r="F49" s="19"/>
      <c r="G49" s="19" t="s">
        <v>59</v>
      </c>
      <c r="H49" s="247"/>
      <c r="I49" s="228" t="n">
        <v>1400</v>
      </c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8.75" hidden="false" customHeight="true" outlineLevel="0" collapsed="false">
      <c r="A50" s="248" t="s">
        <v>28</v>
      </c>
      <c r="B50" s="249" t="s">
        <v>33</v>
      </c>
      <c r="C50" s="249"/>
      <c r="D50" s="207"/>
      <c r="E50" s="210"/>
      <c r="F50" s="19"/>
      <c r="G50" s="19"/>
      <c r="H50" s="19"/>
      <c r="I50" s="22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8.75" hidden="false" customHeight="true" outlineLevel="0" collapsed="false">
      <c r="A51" s="248"/>
      <c r="B51" s="250" t="n">
        <f aca="false">H30</f>
        <v>35000</v>
      </c>
      <c r="C51" s="250"/>
      <c r="D51" s="207"/>
      <c r="E51" s="210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8.75" hidden="false" customHeight="true" outlineLevel="0" collapsed="false">
      <c r="A52" s="251" t="n">
        <f aca="false">H29</f>
        <v>35</v>
      </c>
      <c r="B52" s="92" t="n">
        <f aca="false">H48</f>
        <v>1282.52199265886</v>
      </c>
      <c r="C52" s="92"/>
      <c r="D52" s="207"/>
      <c r="E52" s="210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8.75" hidden="false" customHeight="true" outlineLevel="0" collapsed="false">
      <c r="A53" s="209"/>
      <c r="B53" s="207"/>
      <c r="C53" s="207"/>
      <c r="D53" s="207"/>
      <c r="E53" s="210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8.75" hidden="false" customHeight="true" outlineLevel="0" collapsed="false">
      <c r="A54" s="252"/>
      <c r="B54" s="253"/>
      <c r="C54" s="253"/>
      <c r="D54" s="253"/>
      <c r="E54" s="254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8.75" hidden="false" customHeight="true" outlineLevel="0" collapsed="false">
      <c r="A55" s="207"/>
      <c r="B55" s="207"/>
      <c r="C55" s="207"/>
      <c r="D55" s="207"/>
      <c r="E55" s="207"/>
      <c r="F55" s="19"/>
      <c r="G55" s="207"/>
      <c r="H55" s="207"/>
      <c r="I55" s="207"/>
      <c r="J55" s="207"/>
      <c r="K55" s="207"/>
      <c r="L55" s="19"/>
      <c r="M55" s="207"/>
      <c r="N55" s="207"/>
      <c r="O55" s="207"/>
      <c r="P55" s="207"/>
      <c r="Q55" s="207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8.75" hidden="false" customHeight="true" outlineLevel="0" collapsed="false">
      <c r="A56" s="255"/>
      <c r="B56" s="256"/>
      <c r="C56" s="256"/>
      <c r="D56" s="256"/>
      <c r="E56" s="257"/>
      <c r="F56" s="19"/>
      <c r="G56" s="255"/>
      <c r="H56" s="256"/>
      <c r="I56" s="256"/>
      <c r="J56" s="256"/>
      <c r="K56" s="257"/>
      <c r="L56" s="19"/>
      <c r="M56" s="255"/>
      <c r="N56" s="256"/>
      <c r="O56" s="256"/>
      <c r="P56" s="256"/>
      <c r="Q56" s="257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8.75" hidden="false" customHeight="true" outlineLevel="0" collapsed="false">
      <c r="A57" s="209" t="s">
        <v>46</v>
      </c>
      <c r="B57" s="207" t="n">
        <f aca="false">IF(B99=Y97,1,IF(B99=Y98,1,IF(B99=Y99,3,IF(B99=Y100,6,IF(B99=Y101,9,IF(B99=Y102,12,IF(B99=Y103,3,IF(B99=Y104,6,IF(B99=Y105,9,0)))))))))</f>
        <v>1</v>
      </c>
      <c r="C57" s="207"/>
      <c r="D57" s="207"/>
      <c r="E57" s="210"/>
      <c r="F57" s="19"/>
      <c r="G57" s="209" t="s">
        <v>46</v>
      </c>
      <c r="H57" s="207" t="n">
        <f aca="false">IF(H99=Y97,1,IF(H99=Y98,1,IF(H99=Y99,3,IF(H99=Y100,6,IF(H99=Y101,9,IF(H99=Y102,12,IF(H99=Y103,3,IF(H99=Y104,6,IF(H99=Y105,9,0)))))))))</f>
        <v>6</v>
      </c>
      <c r="I57" s="207"/>
      <c r="J57" s="207"/>
      <c r="K57" s="210"/>
      <c r="L57" s="19"/>
      <c r="M57" s="209" t="s">
        <v>46</v>
      </c>
      <c r="N57" s="207" t="n">
        <f aca="false">IF(N99=Y97,1,IF(N99=Y98,1,IF(N99=Y99,3,IF(N99=Y100,6,IF(N99=Y101,9,IF(N99=Y102,12,IF(N99=Y103,3,IF(N99=Y104,6,IF(N99=Y105,9,0)))))))))</f>
        <v>6</v>
      </c>
      <c r="O57" s="207"/>
      <c r="P57" s="207"/>
      <c r="Q57" s="210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8.75" hidden="false" customHeight="true" outlineLevel="0" collapsed="false">
      <c r="A58" s="209" t="s">
        <v>60</v>
      </c>
      <c r="B58" s="207" t="n">
        <f aca="false">IF(B99=Y97,H29-B57,IF(B99=Y98,H29-B57,IF(B99=Y99,H29-1,IF(B99=Y100,H29-1,IF(B99=Y101,H29-1,IF(B99=Y102,H29-1,IF(B99=Y103,H29-B57,IF(B99=Y104,H29-B57,IF(B99=Y105,H29-B57,0)))))))))</f>
        <v>34</v>
      </c>
      <c r="C58" s="207"/>
      <c r="D58" s="207"/>
      <c r="E58" s="210"/>
      <c r="F58" s="19"/>
      <c r="G58" s="209" t="s">
        <v>60</v>
      </c>
      <c r="H58" s="207" t="n">
        <f aca="false">IF(H99=Y97,H29-H57,IF(H99=Y98,H29-H57,IF(H99=Y99,H29-1,IF(H99=Y100,H29-1,IF(H99=Y101,H29-1,IF(H99=Y102,H29-1,IF(H99=Y103,H29-H57,IF(H99=Y104,H29-H57,IF(H99=Y105,H29-H57,0)))))))))</f>
        <v>34</v>
      </c>
      <c r="I58" s="207"/>
      <c r="J58" s="207"/>
      <c r="K58" s="210"/>
      <c r="L58" s="19"/>
      <c r="M58" s="209" t="s">
        <v>60</v>
      </c>
      <c r="N58" s="207" t="n">
        <f aca="false">IF(N99=Y97,H29-N57,IF(N99=Y98,H29-N57,IF(N99=Y99,H29-1,IF(N99=Y100,H29-1,IF(N99=Y101,H29-1,IF(N99=Y102,H29-1,IF(N99=Y103,H29-N57,IF(N99=Y104,H29-N57,IF(N99=Y105,H29-N57,0)))))))))</f>
        <v>34</v>
      </c>
      <c r="O58" s="207"/>
      <c r="P58" s="207"/>
      <c r="Q58" s="210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8.75" hidden="false" customHeight="true" outlineLevel="0" collapsed="false">
      <c r="A59" s="209"/>
      <c r="B59" s="207"/>
      <c r="C59" s="207"/>
      <c r="D59" s="207"/>
      <c r="E59" s="210"/>
      <c r="F59" s="19"/>
      <c r="G59" s="209"/>
      <c r="H59" s="207"/>
      <c r="I59" s="207"/>
      <c r="J59" s="207"/>
      <c r="K59" s="210"/>
      <c r="L59" s="19"/>
      <c r="M59" s="209"/>
      <c r="N59" s="207"/>
      <c r="O59" s="207"/>
      <c r="P59" s="207"/>
      <c r="Q59" s="210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8.75" hidden="false" customHeight="true" outlineLevel="0" collapsed="false">
      <c r="A60" s="209"/>
      <c r="B60" s="207"/>
      <c r="C60" s="207"/>
      <c r="D60" s="207"/>
      <c r="E60" s="210"/>
      <c r="F60" s="19"/>
      <c r="G60" s="209"/>
      <c r="H60" s="207"/>
      <c r="I60" s="207"/>
      <c r="J60" s="207"/>
      <c r="K60" s="210"/>
      <c r="L60" s="19"/>
      <c r="M60" s="209"/>
      <c r="N60" s="207"/>
      <c r="O60" s="207"/>
      <c r="P60" s="207"/>
      <c r="Q60" s="210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8.75" hidden="false" customHeight="true" outlineLevel="0" collapsed="false">
      <c r="A61" s="209" t="s">
        <v>16</v>
      </c>
      <c r="B61" s="79" t="n">
        <f aca="false">G18</f>
        <v>57885</v>
      </c>
      <c r="C61" s="207"/>
      <c r="D61" s="207"/>
      <c r="E61" s="210"/>
      <c r="F61" s="19"/>
      <c r="G61" s="209" t="s">
        <v>16</v>
      </c>
      <c r="H61" s="79" t="n">
        <f aca="false">G18</f>
        <v>57885</v>
      </c>
      <c r="I61" s="207"/>
      <c r="J61" s="207"/>
      <c r="K61" s="210"/>
      <c r="L61" s="19"/>
      <c r="M61" s="209" t="s">
        <v>16</v>
      </c>
      <c r="N61" s="79" t="n">
        <f aca="false">G18</f>
        <v>57885</v>
      </c>
      <c r="O61" s="207"/>
      <c r="P61" s="207"/>
      <c r="Q61" s="210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8.75" hidden="false" customHeight="true" outlineLevel="0" collapsed="false">
      <c r="A62" s="258" t="s">
        <v>241</v>
      </c>
      <c r="B62" s="259" t="n">
        <v>0.07</v>
      </c>
      <c r="C62" s="207"/>
      <c r="D62" s="207"/>
      <c r="E62" s="210"/>
      <c r="F62" s="19"/>
      <c r="G62" s="258" t="s">
        <v>241</v>
      </c>
      <c r="H62" s="259" t="n">
        <v>0.07</v>
      </c>
      <c r="I62" s="207"/>
      <c r="J62" s="207"/>
      <c r="K62" s="210"/>
      <c r="L62" s="19"/>
      <c r="M62" s="258" t="s">
        <v>241</v>
      </c>
      <c r="N62" s="259" t="n">
        <v>0.07</v>
      </c>
      <c r="O62" s="207"/>
      <c r="P62" s="207"/>
      <c r="Q62" s="210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8.75" hidden="false" customHeight="true" outlineLevel="0" collapsed="false">
      <c r="A63" s="209" t="s">
        <v>242</v>
      </c>
      <c r="B63" s="260" t="n">
        <f aca="false">B62+(B62*0.25*(H29/12-1))</f>
        <v>0.103541666666667</v>
      </c>
      <c r="C63" s="207"/>
      <c r="D63" s="207"/>
      <c r="E63" s="210"/>
      <c r="F63" s="19"/>
      <c r="G63" s="209" t="s">
        <v>242</v>
      </c>
      <c r="H63" s="260" t="n">
        <f aca="false">H62+(H62*0.25*(H29/12-1))</f>
        <v>0.103541666666667</v>
      </c>
      <c r="I63" s="207"/>
      <c r="J63" s="207"/>
      <c r="K63" s="210"/>
      <c r="L63" s="19"/>
      <c r="M63" s="209" t="s">
        <v>242</v>
      </c>
      <c r="N63" s="260" t="n">
        <f aca="false">N62+(N62*0.25*(H29/12-1))</f>
        <v>0.103541666666667</v>
      </c>
      <c r="O63" s="207"/>
      <c r="P63" s="207"/>
      <c r="Q63" s="210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8.75" hidden="false" customHeight="true" outlineLevel="0" collapsed="false">
      <c r="A64" s="252" t="s">
        <v>65</v>
      </c>
      <c r="B64" s="139" t="n">
        <f aca="false">B61*B63</f>
        <v>5993.509375</v>
      </c>
      <c r="C64" s="207" t="n">
        <v>10000</v>
      </c>
      <c r="D64" s="79" t="n">
        <f aca="false">B64-A143</f>
        <v>5993.509375</v>
      </c>
      <c r="E64" s="210"/>
      <c r="F64" s="19"/>
      <c r="G64" s="252" t="s">
        <v>65</v>
      </c>
      <c r="H64" s="139" t="n">
        <f aca="false">H61*H63</f>
        <v>5993.509375</v>
      </c>
      <c r="I64" s="207"/>
      <c r="J64" s="79" t="n">
        <f aca="false">H64-G145</f>
        <v>5993.509375</v>
      </c>
      <c r="K64" s="210"/>
      <c r="L64" s="19"/>
      <c r="M64" s="252" t="s">
        <v>65</v>
      </c>
      <c r="N64" s="139" t="n">
        <f aca="false">N61*N63</f>
        <v>5993.509375</v>
      </c>
      <c r="O64" s="207"/>
      <c r="P64" s="79" t="n">
        <f aca="false">N64-M145</f>
        <v>5993.509375</v>
      </c>
      <c r="Q64" s="210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8.75" hidden="false" customHeight="true" outlineLevel="0" collapsed="false">
      <c r="A65" s="258" t="s">
        <v>66</v>
      </c>
      <c r="B65" s="259" t="n">
        <v>0.01</v>
      </c>
      <c r="C65" s="207"/>
      <c r="D65" s="207"/>
      <c r="E65" s="210"/>
      <c r="F65" s="19"/>
      <c r="G65" s="258" t="s">
        <v>66</v>
      </c>
      <c r="H65" s="259" t="n">
        <v>0.01</v>
      </c>
      <c r="I65" s="207"/>
      <c r="J65" s="207"/>
      <c r="K65" s="210"/>
      <c r="L65" s="19"/>
      <c r="M65" s="258" t="s">
        <v>66</v>
      </c>
      <c r="N65" s="259" t="n">
        <v>0.01</v>
      </c>
      <c r="O65" s="207"/>
      <c r="P65" s="207"/>
      <c r="Q65" s="210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8.75" hidden="false" customHeight="true" outlineLevel="0" collapsed="false">
      <c r="A66" s="209" t="s">
        <v>67</v>
      </c>
      <c r="B66" s="260" t="n">
        <f aca="false">B65+(B65*0.5*(H29/12-1))</f>
        <v>0.0195833333333333</v>
      </c>
      <c r="C66" s="207"/>
      <c r="D66" s="207"/>
      <c r="E66" s="210"/>
      <c r="F66" s="19"/>
      <c r="G66" s="209" t="s">
        <v>67</v>
      </c>
      <c r="H66" s="260" t="n">
        <f aca="false">H65+(H65*0.5*(H29/12-1))</f>
        <v>0.0195833333333333</v>
      </c>
      <c r="I66" s="207"/>
      <c r="J66" s="207"/>
      <c r="K66" s="210"/>
      <c r="L66" s="19"/>
      <c r="M66" s="209" t="s">
        <v>67</v>
      </c>
      <c r="N66" s="260" t="n">
        <f aca="false">N65+(N65*0.5*(H29/12-1))</f>
        <v>0.0195833333333333</v>
      </c>
      <c r="O66" s="207"/>
      <c r="P66" s="207"/>
      <c r="Q66" s="210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8.75" hidden="false" customHeight="true" outlineLevel="0" collapsed="false">
      <c r="A67" s="252" t="s">
        <v>68</v>
      </c>
      <c r="B67" s="139" t="n">
        <f aca="false">(B61*B66)</f>
        <v>1133.58125</v>
      </c>
      <c r="C67" s="207"/>
      <c r="D67" s="79"/>
      <c r="E67" s="210"/>
      <c r="F67" s="19"/>
      <c r="G67" s="252" t="s">
        <v>68</v>
      </c>
      <c r="H67" s="139" t="n">
        <f aca="false">(H61*H66)/1.2</f>
        <v>944.651041666667</v>
      </c>
      <c r="I67" s="207"/>
      <c r="J67" s="79"/>
      <c r="K67" s="210"/>
      <c r="L67" s="19"/>
      <c r="M67" s="252" t="s">
        <v>68</v>
      </c>
      <c r="N67" s="139" t="n">
        <f aca="false">(N61*N66)/1.2</f>
        <v>944.651041666667</v>
      </c>
      <c r="O67" s="207"/>
      <c r="P67" s="79"/>
      <c r="Q67" s="210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8.75" hidden="false" customHeight="true" outlineLevel="0" collapsed="false">
      <c r="A68" s="258" t="s">
        <v>69</v>
      </c>
      <c r="B68" s="259" t="n">
        <v>0.0075</v>
      </c>
      <c r="C68" s="207"/>
      <c r="D68" s="207"/>
      <c r="E68" s="210"/>
      <c r="F68" s="19"/>
      <c r="G68" s="258" t="s">
        <v>69</v>
      </c>
      <c r="H68" s="259" t="n">
        <v>0.0075</v>
      </c>
      <c r="I68" s="207"/>
      <c r="J68" s="207"/>
      <c r="K68" s="210"/>
      <c r="L68" s="19"/>
      <c r="M68" s="258" t="s">
        <v>69</v>
      </c>
      <c r="N68" s="259" t="n">
        <v>0.0075</v>
      </c>
      <c r="O68" s="207"/>
      <c r="P68" s="207"/>
      <c r="Q68" s="210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8.75" hidden="false" customHeight="true" outlineLevel="0" collapsed="false">
      <c r="A69" s="261" t="s">
        <v>70</v>
      </c>
      <c r="B69" s="262" t="n">
        <v>0.12</v>
      </c>
      <c r="C69" s="207"/>
      <c r="D69" s="207"/>
      <c r="E69" s="210"/>
      <c r="F69" s="19"/>
      <c r="G69" s="261" t="s">
        <v>70</v>
      </c>
      <c r="H69" s="262" t="n">
        <v>0.12</v>
      </c>
      <c r="I69" s="207"/>
      <c r="J69" s="207"/>
      <c r="K69" s="210"/>
      <c r="L69" s="19"/>
      <c r="M69" s="261" t="s">
        <v>70</v>
      </c>
      <c r="N69" s="262" t="n">
        <v>0.12</v>
      </c>
      <c r="O69" s="207"/>
      <c r="P69" s="207"/>
      <c r="Q69" s="210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18.75" hidden="false" customHeight="true" outlineLevel="0" collapsed="false">
      <c r="A70" s="252" t="s">
        <v>71</v>
      </c>
      <c r="B70" s="385" t="n">
        <f aca="false">B68*(1+B69)</f>
        <v>0.0084</v>
      </c>
      <c r="C70" s="207"/>
      <c r="D70" s="207"/>
      <c r="E70" s="210"/>
      <c r="F70" s="19"/>
      <c r="G70" s="252" t="s">
        <v>71</v>
      </c>
      <c r="H70" s="263" t="n">
        <f aca="false">H68*(1+H69)</f>
        <v>0.0084</v>
      </c>
      <c r="I70" s="207"/>
      <c r="J70" s="207"/>
      <c r="K70" s="210"/>
      <c r="L70" s="19"/>
      <c r="M70" s="252" t="s">
        <v>71</v>
      </c>
      <c r="N70" s="385" t="n">
        <f aca="false">N68*(1+N69)</f>
        <v>0.0084</v>
      </c>
      <c r="O70" s="207"/>
      <c r="P70" s="207"/>
      <c r="Q70" s="210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18.75" hidden="false" customHeight="true" outlineLevel="0" collapsed="false">
      <c r="A71" s="258" t="s">
        <v>72</v>
      </c>
      <c r="B71" s="264" t="n">
        <v>200</v>
      </c>
      <c r="C71" s="207"/>
      <c r="D71" s="207"/>
      <c r="E71" s="210"/>
      <c r="F71" s="19"/>
      <c r="G71" s="258" t="s">
        <v>72</v>
      </c>
      <c r="H71" s="264" t="n">
        <v>160</v>
      </c>
      <c r="I71" s="207"/>
      <c r="J71" s="207"/>
      <c r="K71" s="210"/>
      <c r="L71" s="19"/>
      <c r="M71" s="258" t="s">
        <v>72</v>
      </c>
      <c r="N71" s="264" t="n">
        <v>160</v>
      </c>
      <c r="O71" s="207"/>
      <c r="P71" s="207"/>
      <c r="Q71" s="210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8.75" hidden="false" customHeight="true" outlineLevel="0" collapsed="false">
      <c r="A72" s="261" t="s">
        <v>73</v>
      </c>
      <c r="B72" s="265" t="n">
        <v>5</v>
      </c>
      <c r="C72" s="207"/>
      <c r="D72" s="207"/>
      <c r="E72" s="210"/>
      <c r="F72" s="19"/>
      <c r="G72" s="261" t="s">
        <v>73</v>
      </c>
      <c r="H72" s="265" t="n">
        <v>4.5</v>
      </c>
      <c r="I72" s="207"/>
      <c r="J72" s="207"/>
      <c r="K72" s="210"/>
      <c r="L72" s="19"/>
      <c r="M72" s="261" t="s">
        <v>73</v>
      </c>
      <c r="N72" s="265" t="n">
        <v>4.5</v>
      </c>
      <c r="O72" s="207"/>
      <c r="P72" s="207"/>
      <c r="Q72" s="210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8.75" hidden="false" customHeight="true" outlineLevel="0" collapsed="false">
      <c r="A73" s="252" t="s">
        <v>74</v>
      </c>
      <c r="B73" s="139" t="n">
        <f aca="false">B72*H29</f>
        <v>175</v>
      </c>
      <c r="C73" s="207"/>
      <c r="D73" s="79" t="n">
        <f aca="false">B73+B71</f>
        <v>375</v>
      </c>
      <c r="E73" s="210"/>
      <c r="F73" s="19"/>
      <c r="G73" s="252" t="s">
        <v>74</v>
      </c>
      <c r="H73" s="139" t="n">
        <f aca="false">H72*H29</f>
        <v>157.5</v>
      </c>
      <c r="I73" s="207"/>
      <c r="J73" s="79" t="n">
        <f aca="false">H73+H71</f>
        <v>317.5</v>
      </c>
      <c r="K73" s="210"/>
      <c r="L73" s="19"/>
      <c r="M73" s="252" t="s">
        <v>74</v>
      </c>
      <c r="N73" s="139" t="n">
        <f aca="false">N72*H29</f>
        <v>157.5</v>
      </c>
      <c r="O73" s="207"/>
      <c r="P73" s="79" t="n">
        <f aca="false">N73+N71</f>
        <v>317.5</v>
      </c>
      <c r="Q73" s="210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8.75" hidden="false" customHeight="true" outlineLevel="0" collapsed="false">
      <c r="A74" s="267" t="s">
        <v>243</v>
      </c>
      <c r="B74" s="268" t="n">
        <v>0</v>
      </c>
      <c r="C74" s="207"/>
      <c r="D74" s="207"/>
      <c r="E74" s="210"/>
      <c r="F74" s="19"/>
      <c r="G74" s="258" t="s">
        <v>243</v>
      </c>
      <c r="H74" s="264" t="n">
        <v>165</v>
      </c>
      <c r="I74" s="207"/>
      <c r="J74" s="207"/>
      <c r="K74" s="210"/>
      <c r="L74" s="19"/>
      <c r="M74" s="267" t="s">
        <v>243</v>
      </c>
      <c r="N74" s="268" t="n">
        <v>0</v>
      </c>
      <c r="O74" s="207"/>
      <c r="P74" s="207"/>
      <c r="Q74" s="210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8.75" hidden="false" customHeight="true" outlineLevel="0" collapsed="false">
      <c r="A75" s="269" t="s">
        <v>244</v>
      </c>
      <c r="B75" s="270" t="n">
        <v>0</v>
      </c>
      <c r="C75" s="207"/>
      <c r="D75" s="207"/>
      <c r="E75" s="210"/>
      <c r="F75" s="19"/>
      <c r="G75" s="261" t="s">
        <v>244</v>
      </c>
      <c r="H75" s="265" t="n">
        <v>0</v>
      </c>
      <c r="I75" s="207"/>
      <c r="J75" s="207"/>
      <c r="K75" s="210"/>
      <c r="L75" s="19"/>
      <c r="M75" s="269" t="s">
        <v>244</v>
      </c>
      <c r="N75" s="270" t="n">
        <v>0</v>
      </c>
      <c r="O75" s="207"/>
      <c r="P75" s="207"/>
      <c r="Q75" s="210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8.75" hidden="false" customHeight="true" outlineLevel="0" collapsed="false">
      <c r="A76" s="271" t="s">
        <v>245</v>
      </c>
      <c r="B76" s="272" t="n">
        <f aca="false">((B74+B75)/12)*(H29-11)</f>
        <v>0</v>
      </c>
      <c r="C76" s="207"/>
      <c r="D76" s="79" t="n">
        <f aca="false">B76</f>
        <v>0</v>
      </c>
      <c r="E76" s="210"/>
      <c r="F76" s="19"/>
      <c r="G76" s="252" t="s">
        <v>245</v>
      </c>
      <c r="H76" s="139" t="n">
        <f aca="false">((H74+H75)/12)*(H29-11)</f>
        <v>330</v>
      </c>
      <c r="I76" s="207"/>
      <c r="J76" s="79" t="n">
        <f aca="false">H76</f>
        <v>330</v>
      </c>
      <c r="K76" s="210"/>
      <c r="L76" s="19"/>
      <c r="M76" s="271" t="s">
        <v>245</v>
      </c>
      <c r="N76" s="272" t="n">
        <f aca="false">((N74+N75)/12)*(H29-11)</f>
        <v>0</v>
      </c>
      <c r="O76" s="207"/>
      <c r="P76" s="79" t="n">
        <f aca="false">N76</f>
        <v>0</v>
      </c>
      <c r="Q76" s="210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8.75" hidden="false" customHeight="true" outlineLevel="0" collapsed="false">
      <c r="A77" s="258" t="s">
        <v>246</v>
      </c>
      <c r="B77" s="137" t="n">
        <f aca="false">B102/(1-0.1)</f>
        <v>0</v>
      </c>
      <c r="C77" s="207"/>
      <c r="D77" s="79" t="n">
        <f aca="false">B77</f>
        <v>0</v>
      </c>
      <c r="E77" s="210"/>
      <c r="F77" s="19"/>
      <c r="G77" s="258" t="s">
        <v>246</v>
      </c>
      <c r="H77" s="264" t="n">
        <v>0</v>
      </c>
      <c r="I77" s="207"/>
      <c r="J77" s="79" t="n">
        <f aca="false">H77</f>
        <v>0</v>
      </c>
      <c r="K77" s="210"/>
      <c r="L77" s="19"/>
      <c r="M77" s="258" t="s">
        <v>246</v>
      </c>
      <c r="N77" s="264" t="n">
        <v>0</v>
      </c>
      <c r="O77" s="207"/>
      <c r="P77" s="79" t="n">
        <f aca="false">N77</f>
        <v>0</v>
      </c>
      <c r="Q77" s="210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8.75" hidden="false" customHeight="true" outlineLevel="0" collapsed="false">
      <c r="A78" s="209" t="s">
        <v>248</v>
      </c>
      <c r="B78" s="273" t="n">
        <f aca="false">D102/(1-0.1)</f>
        <v>0</v>
      </c>
      <c r="C78" s="207"/>
      <c r="D78" s="79" t="n">
        <f aca="false">B78</f>
        <v>0</v>
      </c>
      <c r="E78" s="210"/>
      <c r="F78" s="19"/>
      <c r="G78" s="209" t="s">
        <v>248</v>
      </c>
      <c r="H78" s="273" t="n">
        <v>0</v>
      </c>
      <c r="I78" s="207"/>
      <c r="J78" s="79" t="n">
        <f aca="false">H78</f>
        <v>0</v>
      </c>
      <c r="K78" s="210"/>
      <c r="L78" s="19"/>
      <c r="M78" s="209" t="s">
        <v>248</v>
      </c>
      <c r="N78" s="273" t="n">
        <v>0</v>
      </c>
      <c r="O78" s="207"/>
      <c r="P78" s="79" t="n">
        <f aca="false">N78</f>
        <v>0</v>
      </c>
      <c r="Q78" s="210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8.75" hidden="false" customHeight="true" outlineLevel="0" collapsed="false">
      <c r="A79" s="261" t="s">
        <v>75</v>
      </c>
      <c r="B79" s="265" t="n">
        <v>200</v>
      </c>
      <c r="C79" s="207"/>
      <c r="D79" s="79" t="n">
        <f aca="false">B79</f>
        <v>200</v>
      </c>
      <c r="E79" s="210"/>
      <c r="F79" s="19"/>
      <c r="G79" s="261" t="s">
        <v>75</v>
      </c>
      <c r="H79" s="265" t="n">
        <v>200</v>
      </c>
      <c r="I79" s="207"/>
      <c r="J79" s="79" t="n">
        <f aca="false">H79</f>
        <v>200</v>
      </c>
      <c r="K79" s="210"/>
      <c r="L79" s="19"/>
      <c r="M79" s="261" t="s">
        <v>75</v>
      </c>
      <c r="N79" s="265" t="n">
        <v>200</v>
      </c>
      <c r="O79" s="207"/>
      <c r="P79" s="79" t="n">
        <f aca="false">N79</f>
        <v>200</v>
      </c>
      <c r="Q79" s="210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8.75" hidden="false" customHeight="true" outlineLevel="0" collapsed="false">
      <c r="A80" s="274" t="s">
        <v>76</v>
      </c>
      <c r="B80" s="275" t="n">
        <v>200</v>
      </c>
      <c r="C80" s="207"/>
      <c r="D80" s="79" t="n">
        <f aca="false">B80</f>
        <v>200</v>
      </c>
      <c r="E80" s="210"/>
      <c r="F80" s="19"/>
      <c r="G80" s="274" t="s">
        <v>76</v>
      </c>
      <c r="H80" s="275" t="n">
        <v>200</v>
      </c>
      <c r="I80" s="207"/>
      <c r="J80" s="79" t="n">
        <f aca="false">H80</f>
        <v>200</v>
      </c>
      <c r="K80" s="210"/>
      <c r="L80" s="19"/>
      <c r="M80" s="274" t="s">
        <v>76</v>
      </c>
      <c r="N80" s="275" t="n">
        <v>200</v>
      </c>
      <c r="O80" s="207"/>
      <c r="P80" s="79" t="n">
        <f aca="false">N80</f>
        <v>200</v>
      </c>
      <c r="Q80" s="210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18.75" hidden="false" customHeight="true" outlineLevel="0" collapsed="false">
      <c r="A81" s="276" t="s">
        <v>77</v>
      </c>
      <c r="B81" s="277" t="n">
        <f aca="false">SUM(D64:D80)</f>
        <v>6768.509375</v>
      </c>
      <c r="C81" s="207"/>
      <c r="D81" s="207"/>
      <c r="E81" s="210"/>
      <c r="F81" s="19"/>
      <c r="G81" s="276" t="s">
        <v>77</v>
      </c>
      <c r="H81" s="277" t="n">
        <f aca="false">SUM(J64:J80)</f>
        <v>7041.009375</v>
      </c>
      <c r="I81" s="207"/>
      <c r="J81" s="207"/>
      <c r="K81" s="210"/>
      <c r="L81" s="19"/>
      <c r="M81" s="276" t="s">
        <v>77</v>
      </c>
      <c r="N81" s="277" t="n">
        <f aca="false">SUM(P64:P80)</f>
        <v>6711.009375</v>
      </c>
      <c r="O81" s="207"/>
      <c r="P81" s="207"/>
      <c r="Q81" s="210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18.75" hidden="false" customHeight="true" outlineLevel="0" collapsed="false">
      <c r="A82" s="209" t="s">
        <v>78</v>
      </c>
      <c r="B82" s="273" t="n">
        <f aca="false">B81/H29</f>
        <v>193.385982142857</v>
      </c>
      <c r="C82" s="207"/>
      <c r="D82" s="207"/>
      <c r="E82" s="210"/>
      <c r="F82" s="19"/>
      <c r="G82" s="209" t="s">
        <v>78</v>
      </c>
      <c r="H82" s="273" t="n">
        <f aca="false">H81/H29</f>
        <v>201.171696428571</v>
      </c>
      <c r="I82" s="207"/>
      <c r="J82" s="207"/>
      <c r="K82" s="210"/>
      <c r="L82" s="19"/>
      <c r="M82" s="209" t="s">
        <v>78</v>
      </c>
      <c r="N82" s="273" t="n">
        <f aca="false">N81/H29</f>
        <v>191.743125</v>
      </c>
      <c r="O82" s="207"/>
      <c r="P82" s="207"/>
      <c r="Q82" s="210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8.75" hidden="false" customHeight="true" outlineLevel="0" collapsed="false">
      <c r="A83" s="278" t="s">
        <v>79</v>
      </c>
      <c r="B83" s="279" t="n">
        <f aca="false">H47</f>
        <v>1148.54199265886</v>
      </c>
      <c r="C83" s="207"/>
      <c r="D83" s="207"/>
      <c r="E83" s="210"/>
      <c r="F83" s="19"/>
      <c r="G83" s="278" t="s">
        <v>79</v>
      </c>
      <c r="H83" s="279" t="n">
        <f aca="false">H47</f>
        <v>1148.54199265886</v>
      </c>
      <c r="I83" s="207"/>
      <c r="J83" s="207"/>
      <c r="K83" s="210"/>
      <c r="L83" s="19"/>
      <c r="M83" s="278" t="s">
        <v>79</v>
      </c>
      <c r="N83" s="279" t="n">
        <f aca="false">H47</f>
        <v>1148.54199265886</v>
      </c>
      <c r="O83" s="207"/>
      <c r="P83" s="207"/>
      <c r="Q83" s="210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18.75" hidden="false" customHeight="true" outlineLevel="0" collapsed="false">
      <c r="A84" s="209"/>
      <c r="B84" s="79"/>
      <c r="C84" s="207"/>
      <c r="D84" s="207"/>
      <c r="E84" s="210"/>
      <c r="F84" s="19"/>
      <c r="G84" s="209"/>
      <c r="H84" s="79"/>
      <c r="I84" s="207"/>
      <c r="J84" s="207"/>
      <c r="K84" s="210"/>
      <c r="L84" s="19"/>
      <c r="M84" s="209"/>
      <c r="N84" s="79"/>
      <c r="O84" s="207"/>
      <c r="P84" s="207"/>
      <c r="Q84" s="210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8.75" hidden="false" customHeight="true" outlineLevel="0" collapsed="false">
      <c r="A85" s="255" t="s">
        <v>88</v>
      </c>
      <c r="B85" s="137" t="n">
        <f aca="false">((B83*H29)+B81)</f>
        <v>46967.4791180601</v>
      </c>
      <c r="C85" s="207"/>
      <c r="D85" s="207"/>
      <c r="E85" s="210"/>
      <c r="F85" s="19"/>
      <c r="G85" s="255" t="s">
        <v>88</v>
      </c>
      <c r="H85" s="137" t="n">
        <f aca="false">((H83*H29)+H81)*1.2</f>
        <v>56687.9749416721</v>
      </c>
      <c r="I85" s="207"/>
      <c r="J85" s="207"/>
      <c r="K85" s="210"/>
      <c r="L85" s="19"/>
      <c r="M85" s="255" t="s">
        <v>88</v>
      </c>
      <c r="N85" s="137" t="n">
        <f aca="false">((N83*H29)+N81)</f>
        <v>46909.9791180601</v>
      </c>
      <c r="O85" s="207"/>
      <c r="P85" s="207"/>
      <c r="Q85" s="210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8.75" hidden="false" customHeight="true" outlineLevel="0" collapsed="false">
      <c r="A86" s="209" t="s">
        <v>89</v>
      </c>
      <c r="B86" s="273" t="n">
        <f aca="false">(B85/(1-B70))*B70</f>
        <v>397.868923549521</v>
      </c>
      <c r="C86" s="207"/>
      <c r="D86" s="207"/>
      <c r="E86" s="210"/>
      <c r="F86" s="19"/>
      <c r="G86" s="209" t="s">
        <v>89</v>
      </c>
      <c r="H86" s="273" t="n">
        <f aca="false">((((H83*H29)+H81))/(1-H70))*H70</f>
        <v>400.177314029553</v>
      </c>
      <c r="I86" s="207"/>
      <c r="J86" s="207"/>
      <c r="K86" s="210"/>
      <c r="L86" s="19"/>
      <c r="M86" s="209" t="s">
        <v>89</v>
      </c>
      <c r="N86" s="273" t="n">
        <f aca="false">(N85/(1-N70))*N70</f>
        <v>397.381831980339</v>
      </c>
      <c r="O86" s="207"/>
      <c r="P86" s="207"/>
      <c r="Q86" s="210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8.75" hidden="false" customHeight="true" outlineLevel="0" collapsed="false">
      <c r="A87" s="252" t="s">
        <v>90</v>
      </c>
      <c r="B87" s="139" t="n">
        <f aca="false">IF(B110="YES",((B85+B86)-E114),(B85+B86))</f>
        <v>47365.3480416096</v>
      </c>
      <c r="C87" s="207"/>
      <c r="D87" s="207"/>
      <c r="E87" s="210"/>
      <c r="F87" s="19"/>
      <c r="G87" s="252" t="s">
        <v>90</v>
      </c>
      <c r="H87" s="139" t="n">
        <f aca="false">IF(H110="YES",((H85+H86)-K114),(H85+H86))</f>
        <v>57088.1522557016</v>
      </c>
      <c r="I87" s="207"/>
      <c r="J87" s="207"/>
      <c r="K87" s="210"/>
      <c r="L87" s="19"/>
      <c r="M87" s="252" t="s">
        <v>90</v>
      </c>
      <c r="N87" s="139" t="n">
        <f aca="false">IF(N110="YES",((N85+N86)-Q114),(N85+N86))</f>
        <v>47307.3609500404</v>
      </c>
      <c r="O87" s="207"/>
      <c r="P87" s="207"/>
      <c r="Q87" s="210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8.75" hidden="false" customHeight="true" outlineLevel="0" collapsed="false">
      <c r="A88" s="209"/>
      <c r="B88" s="79"/>
      <c r="C88" s="207"/>
      <c r="D88" s="207"/>
      <c r="E88" s="210"/>
      <c r="F88" s="19"/>
      <c r="G88" s="209"/>
      <c r="H88" s="79"/>
      <c r="I88" s="207"/>
      <c r="J88" s="207"/>
      <c r="K88" s="210"/>
      <c r="L88" s="19"/>
      <c r="M88" s="209"/>
      <c r="N88" s="79"/>
      <c r="O88" s="207"/>
      <c r="P88" s="207"/>
      <c r="Q88" s="210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8.75" hidden="false" customHeight="true" outlineLevel="0" collapsed="false">
      <c r="A89" s="276" t="s">
        <v>91</v>
      </c>
      <c r="B89" s="277" t="n">
        <f aca="false">IF(B99=Y98, (D40+(D40*B105))/(B58), (D40+(D40*B105))/(B57+B58))*(C45/100)</f>
        <v>174.174</v>
      </c>
      <c r="C89" s="207"/>
      <c r="D89" s="207"/>
      <c r="E89" s="210"/>
      <c r="F89" s="19"/>
      <c r="G89" s="276" t="s">
        <v>91</v>
      </c>
      <c r="H89" s="277" t="n">
        <f aca="false">IF(H99=Y98, (D40+(D40*H105))/(H58), (D40+(D40*H105))/(H57+H58))*1.2</f>
        <v>168.8148</v>
      </c>
      <c r="I89" s="207"/>
      <c r="J89" s="207"/>
      <c r="K89" s="210"/>
      <c r="L89" s="19"/>
      <c r="M89" s="276" t="s">
        <v>91</v>
      </c>
      <c r="N89" s="277" t="n">
        <f aca="false">IF(N99=Y98, (D40+(D40*N105))/(N58), (D40+(D40*N105))/(N57+N58))</f>
        <v>140.679</v>
      </c>
      <c r="O89" s="207"/>
      <c r="P89" s="207"/>
      <c r="Q89" s="210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8.75" hidden="false" customHeight="true" outlineLevel="0" collapsed="false">
      <c r="A90" s="281" t="s">
        <v>92</v>
      </c>
      <c r="B90" s="282" t="n">
        <f aca="false">IF(B99=Y98, (B87-D105)/(B58), B87/(B57+B58))</f>
        <v>1353.2956583317</v>
      </c>
      <c r="C90" s="207"/>
      <c r="D90" s="207"/>
      <c r="E90" s="210"/>
      <c r="F90" s="19"/>
      <c r="G90" s="281" t="s">
        <v>92</v>
      </c>
      <c r="H90" s="282" t="n">
        <f aca="false">IF(H99=Y98, (H87-J105)/(H58), H87/(H57+H58))</f>
        <v>1427.20380639254</v>
      </c>
      <c r="I90" s="207"/>
      <c r="J90" s="207"/>
      <c r="K90" s="210"/>
      <c r="L90" s="19"/>
      <c r="M90" s="281" t="s">
        <v>92</v>
      </c>
      <c r="N90" s="282" t="n">
        <f aca="false">IF(N99=Y98, (N87-P105)/(N58), N87/(N57+N58))</f>
        <v>1182.68402375101</v>
      </c>
      <c r="O90" s="207"/>
      <c r="P90" s="207"/>
      <c r="Q90" s="210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8.75" hidden="false" customHeight="true" outlineLevel="0" collapsed="false">
      <c r="A91" s="283" t="s">
        <v>93</v>
      </c>
      <c r="B91" s="284" t="n">
        <f aca="false">IF(A105="YES", B90+B89, B90)</f>
        <v>1527.4696583317</v>
      </c>
      <c r="C91" s="207"/>
      <c r="D91" s="207"/>
      <c r="E91" s="210"/>
      <c r="F91" s="19"/>
      <c r="G91" s="283" t="s">
        <v>93</v>
      </c>
      <c r="H91" s="284" t="n">
        <f aca="false">IF(G105="YES", H90+H89, H90)</f>
        <v>1596.01860639254</v>
      </c>
      <c r="I91" s="207"/>
      <c r="J91" s="207"/>
      <c r="K91" s="210"/>
      <c r="L91" s="19"/>
      <c r="M91" s="283" t="s">
        <v>93</v>
      </c>
      <c r="N91" s="284" t="n">
        <f aca="false">IF(M105="YES", N90+N89, N90)</f>
        <v>1323.36302375101</v>
      </c>
      <c r="O91" s="207"/>
      <c r="P91" s="207"/>
      <c r="Q91" s="210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8.75" hidden="false" customHeight="true" outlineLevel="0" collapsed="false">
      <c r="A92" s="252"/>
      <c r="B92" s="253"/>
      <c r="C92" s="253"/>
      <c r="D92" s="253"/>
      <c r="E92" s="254"/>
      <c r="F92" s="19"/>
      <c r="G92" s="252"/>
      <c r="H92" s="253"/>
      <c r="I92" s="253"/>
      <c r="J92" s="253"/>
      <c r="K92" s="254"/>
      <c r="L92" s="19"/>
      <c r="M92" s="252"/>
      <c r="N92" s="253"/>
      <c r="O92" s="253"/>
      <c r="P92" s="253"/>
      <c r="Q92" s="254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8.75" hidden="false" customHeight="true" outlineLevel="0" collapsed="false">
      <c r="A93" s="207"/>
      <c r="B93" s="207"/>
      <c r="C93" s="207"/>
      <c r="D93" s="207"/>
      <c r="E93" s="207"/>
      <c r="F93" s="19"/>
      <c r="G93" s="207"/>
      <c r="H93" s="207"/>
      <c r="I93" s="207"/>
      <c r="J93" s="207"/>
      <c r="K93" s="207"/>
      <c r="L93" s="19"/>
      <c r="M93" s="207"/>
      <c r="N93" s="207"/>
      <c r="O93" s="207"/>
      <c r="P93" s="207"/>
      <c r="Q93" s="207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56.25" hidden="false" customHeight="true" outlineLevel="0" collapsed="false">
      <c r="A94" s="208" t="s">
        <v>251</v>
      </c>
      <c r="B94" s="208"/>
      <c r="C94" s="208"/>
      <c r="D94" s="208"/>
      <c r="E94" s="208"/>
      <c r="F94" s="19"/>
      <c r="G94" s="208" t="s">
        <v>250</v>
      </c>
      <c r="H94" s="208"/>
      <c r="I94" s="208"/>
      <c r="J94" s="208"/>
      <c r="K94" s="208"/>
      <c r="L94" s="19"/>
      <c r="M94" s="208" t="s">
        <v>251</v>
      </c>
      <c r="N94" s="208"/>
      <c r="O94" s="208"/>
      <c r="P94" s="208"/>
      <c r="Q94" s="208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8.75" hidden="false" customHeight="true" outlineLevel="0" collapsed="false">
      <c r="A95" s="209"/>
      <c r="B95" s="207"/>
      <c r="C95" s="207"/>
      <c r="D95" s="207"/>
      <c r="E95" s="210"/>
      <c r="F95" s="19"/>
      <c r="G95" s="209"/>
      <c r="H95" s="207"/>
      <c r="I95" s="207"/>
      <c r="J95" s="207"/>
      <c r="K95" s="210"/>
      <c r="L95" s="19"/>
      <c r="M95" s="209"/>
      <c r="N95" s="207"/>
      <c r="O95" s="207"/>
      <c r="P95" s="207"/>
      <c r="Q95" s="210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8.75" hidden="false" customHeight="true" outlineLevel="0" collapsed="false">
      <c r="A96" s="211" t="s">
        <v>26</v>
      </c>
      <c r="B96" s="211"/>
      <c r="C96" s="211"/>
      <c r="D96" s="211"/>
      <c r="E96" s="211"/>
      <c r="F96" s="19"/>
      <c r="G96" s="211" t="s">
        <v>26</v>
      </c>
      <c r="H96" s="211"/>
      <c r="I96" s="211"/>
      <c r="J96" s="211"/>
      <c r="K96" s="211"/>
      <c r="L96" s="19"/>
      <c r="M96" s="211" t="s">
        <v>26</v>
      </c>
      <c r="N96" s="211"/>
      <c r="O96" s="211"/>
      <c r="P96" s="211"/>
      <c r="Q96" s="211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8.75" hidden="false" customHeight="true" outlineLevel="0" collapsed="false">
      <c r="A97" s="209"/>
      <c r="B97" s="207"/>
      <c r="C97" s="207"/>
      <c r="D97" s="207"/>
      <c r="E97" s="210"/>
      <c r="F97" s="19"/>
      <c r="G97" s="209"/>
      <c r="H97" s="207"/>
      <c r="I97" s="207"/>
      <c r="J97" s="207"/>
      <c r="K97" s="210"/>
      <c r="L97" s="19"/>
      <c r="M97" s="209"/>
      <c r="N97" s="207"/>
      <c r="O97" s="207"/>
      <c r="P97" s="207"/>
      <c r="Q97" s="210"/>
      <c r="R97" s="19"/>
      <c r="S97" s="19"/>
      <c r="T97" s="19"/>
      <c r="U97" s="19"/>
      <c r="V97" s="19"/>
      <c r="W97" s="19"/>
      <c r="X97" s="19"/>
      <c r="Y97" s="19" t="s">
        <v>100</v>
      </c>
      <c r="Z97" s="19"/>
      <c r="AC97" s="394"/>
    </row>
    <row r="98" customFormat="false" ht="18.75" hidden="false" customHeight="true" outlineLevel="0" collapsed="false">
      <c r="A98" s="209" t="s">
        <v>98</v>
      </c>
      <c r="B98" s="207" t="s">
        <v>23</v>
      </c>
      <c r="C98" s="207"/>
      <c r="D98" s="207" t="s">
        <v>252</v>
      </c>
      <c r="E98" s="210"/>
      <c r="F98" s="19"/>
      <c r="G98" s="209" t="s">
        <v>98</v>
      </c>
      <c r="H98" s="207" t="s">
        <v>23</v>
      </c>
      <c r="I98" s="207"/>
      <c r="J98" s="207" t="s">
        <v>252</v>
      </c>
      <c r="K98" s="210"/>
      <c r="L98" s="19"/>
      <c r="M98" s="209" t="s">
        <v>98</v>
      </c>
      <c r="N98" s="207" t="s">
        <v>23</v>
      </c>
      <c r="O98" s="207"/>
      <c r="P98" s="207" t="s">
        <v>252</v>
      </c>
      <c r="Q98" s="210"/>
      <c r="R98" s="19"/>
      <c r="S98" s="19"/>
      <c r="T98" s="19"/>
      <c r="U98" s="19"/>
      <c r="V98" s="19"/>
      <c r="W98" s="19"/>
      <c r="X98" s="19"/>
      <c r="Y98" s="19" t="s">
        <v>253</v>
      </c>
      <c r="Z98" s="19"/>
    </row>
    <row r="99" customFormat="false" ht="18.75" hidden="false" customHeight="true" outlineLevel="0" collapsed="false">
      <c r="A99" s="214" t="s">
        <v>254</v>
      </c>
      <c r="B99" s="286" t="s">
        <v>100</v>
      </c>
      <c r="C99" s="286"/>
      <c r="D99" s="72" t="n">
        <v>1000</v>
      </c>
      <c r="E99" s="72"/>
      <c r="F99" s="19"/>
      <c r="G99" s="214" t="s">
        <v>254</v>
      </c>
      <c r="H99" s="286" t="s">
        <v>258</v>
      </c>
      <c r="I99" s="286"/>
      <c r="J99" s="72" t="n">
        <v>0</v>
      </c>
      <c r="K99" s="72"/>
      <c r="L99" s="19"/>
      <c r="M99" s="214" t="s">
        <v>254</v>
      </c>
      <c r="N99" s="286" t="s">
        <v>258</v>
      </c>
      <c r="O99" s="286"/>
      <c r="P99" s="72" t="n">
        <v>0</v>
      </c>
      <c r="Q99" s="72"/>
      <c r="R99" s="19"/>
      <c r="S99" s="19"/>
      <c r="T99" s="19"/>
      <c r="U99" s="19"/>
      <c r="V99" s="19"/>
      <c r="W99" s="19"/>
      <c r="X99" s="19"/>
      <c r="Y99" s="19" t="s">
        <v>257</v>
      </c>
      <c r="Z99" s="19"/>
    </row>
    <row r="100" customFormat="false" ht="18.75" hidden="false" customHeight="true" outlineLevel="0" collapsed="false">
      <c r="A100" s="209"/>
      <c r="B100" s="207"/>
      <c r="C100" s="207"/>
      <c r="D100" s="207"/>
      <c r="E100" s="210"/>
      <c r="F100" s="19"/>
      <c r="G100" s="209"/>
      <c r="H100" s="207"/>
      <c r="I100" s="207"/>
      <c r="J100" s="207"/>
      <c r="K100" s="210"/>
      <c r="L100" s="19"/>
      <c r="M100" s="209"/>
      <c r="N100" s="207"/>
      <c r="O100" s="207"/>
      <c r="P100" s="207"/>
      <c r="Q100" s="210"/>
      <c r="R100" s="19"/>
      <c r="S100" s="19"/>
      <c r="T100" s="19"/>
      <c r="U100" s="19"/>
      <c r="V100" s="19"/>
      <c r="W100" s="19"/>
      <c r="X100" s="19"/>
      <c r="Y100" s="19" t="s">
        <v>258</v>
      </c>
      <c r="Z100" s="19"/>
    </row>
    <row r="101" customFormat="false" ht="18.75" hidden="false" customHeight="true" outlineLevel="0" collapsed="false">
      <c r="A101" s="209" t="s">
        <v>259</v>
      </c>
      <c r="B101" s="207" t="s">
        <v>260</v>
      </c>
      <c r="C101" s="207"/>
      <c r="D101" s="207" t="s">
        <v>261</v>
      </c>
      <c r="E101" s="210"/>
      <c r="F101" s="19"/>
      <c r="G101" s="209" t="s">
        <v>259</v>
      </c>
      <c r="H101" s="207" t="s">
        <v>260</v>
      </c>
      <c r="I101" s="207"/>
      <c r="J101" s="207" t="s">
        <v>261</v>
      </c>
      <c r="K101" s="210"/>
      <c r="L101" s="19"/>
      <c r="M101" s="209" t="s">
        <v>259</v>
      </c>
      <c r="N101" s="207" t="s">
        <v>260</v>
      </c>
      <c r="O101" s="207"/>
      <c r="P101" s="207" t="s">
        <v>261</v>
      </c>
      <c r="Q101" s="210"/>
      <c r="R101" s="19"/>
      <c r="S101" s="19"/>
      <c r="T101" s="19"/>
      <c r="U101" s="19"/>
      <c r="V101" s="19"/>
      <c r="W101" s="19"/>
      <c r="X101" s="19"/>
      <c r="Y101" s="19" t="s">
        <v>262</v>
      </c>
      <c r="Z101" s="19"/>
    </row>
    <row r="102" customFormat="false" ht="18.75" hidden="false" customHeight="true" outlineLevel="0" collapsed="false">
      <c r="A102" s="288" t="n">
        <v>199.99</v>
      </c>
      <c r="B102" s="72" t="n">
        <v>0</v>
      </c>
      <c r="C102" s="72"/>
      <c r="D102" s="72" t="n">
        <v>0</v>
      </c>
      <c r="E102" s="72"/>
      <c r="F102" s="19"/>
      <c r="G102" s="288" t="n">
        <v>199.99</v>
      </c>
      <c r="H102" s="72" t="n">
        <v>0</v>
      </c>
      <c r="I102" s="72"/>
      <c r="J102" s="72" t="n">
        <v>0</v>
      </c>
      <c r="K102" s="72"/>
      <c r="L102" s="19"/>
      <c r="M102" s="288" t="n">
        <v>199.99</v>
      </c>
      <c r="N102" s="72" t="n">
        <v>0</v>
      </c>
      <c r="O102" s="72"/>
      <c r="P102" s="72" t="n">
        <v>0</v>
      </c>
      <c r="Q102" s="72"/>
      <c r="R102" s="19"/>
      <c r="S102" s="19"/>
      <c r="T102" s="19"/>
      <c r="U102" s="19"/>
      <c r="V102" s="19"/>
      <c r="W102" s="19"/>
      <c r="X102" s="19"/>
      <c r="Y102" s="19" t="s">
        <v>256</v>
      </c>
      <c r="Z102" s="19"/>
    </row>
    <row r="103" customFormat="false" ht="18.75" hidden="false" customHeight="true" outlineLevel="0" collapsed="false">
      <c r="A103" s="209"/>
      <c r="B103" s="207"/>
      <c r="C103" s="207"/>
      <c r="D103" s="207"/>
      <c r="E103" s="210"/>
      <c r="F103" s="19"/>
      <c r="G103" s="209"/>
      <c r="H103" s="207"/>
      <c r="I103" s="207"/>
      <c r="J103" s="207"/>
      <c r="K103" s="210"/>
      <c r="L103" s="19"/>
      <c r="M103" s="209"/>
      <c r="N103" s="207"/>
      <c r="O103" s="207"/>
      <c r="P103" s="207"/>
      <c r="Q103" s="210"/>
      <c r="R103" s="19"/>
      <c r="S103" s="19"/>
      <c r="T103" s="19"/>
      <c r="U103" s="19"/>
      <c r="V103" s="19"/>
      <c r="W103" s="19"/>
      <c r="X103" s="19"/>
      <c r="Y103" s="19" t="s">
        <v>255</v>
      </c>
      <c r="Z103" s="19"/>
    </row>
    <row r="104" customFormat="false" ht="18.75" hidden="false" customHeight="true" outlineLevel="0" collapsed="false">
      <c r="A104" s="214" t="s">
        <v>22</v>
      </c>
      <c r="B104" s="19" t="s">
        <v>101</v>
      </c>
      <c r="C104" s="207"/>
      <c r="D104" s="207" t="s">
        <v>112</v>
      </c>
      <c r="E104" s="210"/>
      <c r="F104" s="19"/>
      <c r="G104" s="214" t="s">
        <v>22</v>
      </c>
      <c r="H104" s="19" t="s">
        <v>101</v>
      </c>
      <c r="I104" s="207"/>
      <c r="J104" s="207" t="s">
        <v>112</v>
      </c>
      <c r="K104" s="210"/>
      <c r="L104" s="19"/>
      <c r="M104" s="214" t="s">
        <v>22</v>
      </c>
      <c r="N104" s="19" t="s">
        <v>101</v>
      </c>
      <c r="O104" s="207"/>
      <c r="P104" s="207" t="s">
        <v>112</v>
      </c>
      <c r="Q104" s="210"/>
      <c r="R104" s="19"/>
      <c r="S104" s="19"/>
      <c r="T104" s="19"/>
      <c r="U104" s="19"/>
      <c r="V104" s="19"/>
      <c r="W104" s="19"/>
      <c r="X104" s="19"/>
      <c r="Y104" s="19" t="s">
        <v>263</v>
      </c>
      <c r="Z104" s="19"/>
    </row>
    <row r="105" customFormat="false" ht="18.75" hidden="false" customHeight="true" outlineLevel="0" collapsed="false">
      <c r="A105" s="216" t="s">
        <v>9</v>
      </c>
      <c r="B105" s="289" t="n">
        <v>0.3</v>
      </c>
      <c r="C105" s="289"/>
      <c r="D105" s="72" t="n">
        <v>200</v>
      </c>
      <c r="E105" s="72"/>
      <c r="F105" s="19"/>
      <c r="G105" s="216" t="s">
        <v>9</v>
      </c>
      <c r="H105" s="289" t="n">
        <v>0.2</v>
      </c>
      <c r="I105" s="289"/>
      <c r="J105" s="72"/>
      <c r="K105" s="72"/>
      <c r="L105" s="19"/>
      <c r="M105" s="216" t="s">
        <v>9</v>
      </c>
      <c r="N105" s="289" t="n">
        <v>0.2</v>
      </c>
      <c r="O105" s="289"/>
      <c r="P105" s="72" t="n">
        <v>0</v>
      </c>
      <c r="Q105" s="72"/>
      <c r="R105" s="19"/>
      <c r="S105" s="19"/>
      <c r="T105" s="19"/>
      <c r="U105" s="19"/>
      <c r="V105" s="19"/>
      <c r="W105" s="19"/>
      <c r="X105" s="19"/>
      <c r="Y105" s="19" t="s">
        <v>265</v>
      </c>
      <c r="Z105" s="19"/>
    </row>
    <row r="106" customFormat="false" ht="18.75" hidden="false" customHeight="true" outlineLevel="0" collapsed="false">
      <c r="A106" s="209"/>
      <c r="B106" s="207"/>
      <c r="C106" s="207"/>
      <c r="D106" s="207"/>
      <c r="E106" s="210"/>
      <c r="F106" s="19"/>
      <c r="G106" s="209"/>
      <c r="H106" s="207"/>
      <c r="I106" s="207"/>
      <c r="J106" s="207"/>
      <c r="K106" s="210"/>
      <c r="L106" s="19"/>
      <c r="M106" s="209"/>
      <c r="N106" s="207"/>
      <c r="O106" s="207"/>
      <c r="P106" s="207"/>
      <c r="Q106" s="210"/>
      <c r="R106" s="19"/>
      <c r="S106" s="19"/>
      <c r="T106" s="19"/>
      <c r="U106" s="19"/>
      <c r="V106" s="19"/>
      <c r="W106" s="19"/>
      <c r="X106" s="19"/>
      <c r="Y106" s="19"/>
      <c r="Z106" s="19"/>
    </row>
    <row r="107" customFormat="false" ht="18.75" hidden="false" customHeight="true" outlineLevel="0" collapsed="false">
      <c r="A107" s="209"/>
      <c r="B107" s="207" t="s">
        <v>266</v>
      </c>
      <c r="C107" s="216" t="s">
        <v>9</v>
      </c>
      <c r="D107" s="207"/>
      <c r="E107" s="210"/>
      <c r="F107" s="19"/>
      <c r="G107" s="209"/>
      <c r="H107" s="207"/>
      <c r="I107" s="207"/>
      <c r="J107" s="207"/>
      <c r="K107" s="210"/>
      <c r="L107" s="19"/>
      <c r="M107" s="209"/>
      <c r="N107" s="207" t="s">
        <v>266</v>
      </c>
      <c r="O107" s="216" t="s">
        <v>9</v>
      </c>
      <c r="P107" s="207"/>
      <c r="Q107" s="210"/>
      <c r="R107" s="19"/>
      <c r="S107" s="19"/>
      <c r="T107" s="19"/>
      <c r="U107" s="19"/>
      <c r="V107" s="19"/>
      <c r="W107" s="19"/>
      <c r="X107" s="19"/>
      <c r="Y107" s="19"/>
      <c r="Z107" s="19"/>
    </row>
    <row r="108" customFormat="false" ht="18.75" hidden="false" customHeight="true" outlineLevel="0" collapsed="false">
      <c r="A108" s="211" t="s">
        <v>267</v>
      </c>
      <c r="B108" s="211"/>
      <c r="C108" s="211"/>
      <c r="D108" s="211"/>
      <c r="E108" s="211"/>
      <c r="F108" s="19"/>
      <c r="G108" s="211" t="s">
        <v>267</v>
      </c>
      <c r="H108" s="211"/>
      <c r="I108" s="211"/>
      <c r="J108" s="211"/>
      <c r="K108" s="211"/>
      <c r="L108" s="19"/>
      <c r="M108" s="211" t="s">
        <v>267</v>
      </c>
      <c r="N108" s="211"/>
      <c r="O108" s="211"/>
      <c r="P108" s="211"/>
      <c r="Q108" s="211"/>
      <c r="R108" s="19"/>
      <c r="S108" s="19"/>
      <c r="T108" s="19"/>
      <c r="U108" s="19"/>
      <c r="V108" s="19"/>
      <c r="W108" s="19"/>
      <c r="X108" s="19"/>
      <c r="Y108" s="19"/>
      <c r="Z108" s="19"/>
    </row>
    <row r="109" customFormat="false" ht="18.75" hidden="false" customHeight="true" outlineLevel="0" collapsed="false">
      <c r="A109" s="209"/>
      <c r="B109" s="207"/>
      <c r="C109" s="207"/>
      <c r="D109" s="207"/>
      <c r="E109" s="210"/>
      <c r="F109" s="19"/>
      <c r="G109" s="209"/>
      <c r="H109" s="207"/>
      <c r="I109" s="207"/>
      <c r="J109" s="207"/>
      <c r="K109" s="210"/>
      <c r="L109" s="19"/>
      <c r="M109" s="209"/>
      <c r="N109" s="207"/>
      <c r="O109" s="207"/>
      <c r="P109" s="207"/>
      <c r="Q109" s="210"/>
      <c r="R109" s="19"/>
      <c r="S109" s="19"/>
      <c r="T109" s="19"/>
      <c r="U109" s="19"/>
      <c r="V109" s="19"/>
      <c r="W109" s="19"/>
      <c r="X109" s="19"/>
      <c r="Y109" s="19"/>
      <c r="Z109" s="19"/>
    </row>
    <row r="110" customFormat="false" ht="18.75" hidden="false" customHeight="true" outlineLevel="0" collapsed="false">
      <c r="A110" s="209" t="s">
        <v>268</v>
      </c>
      <c r="B110" s="216" t="s">
        <v>10</v>
      </c>
      <c r="C110" s="207"/>
      <c r="D110" s="207"/>
      <c r="E110" s="210"/>
      <c r="F110" s="19"/>
      <c r="G110" s="209" t="s">
        <v>268</v>
      </c>
      <c r="H110" s="216" t="s">
        <v>10</v>
      </c>
      <c r="I110" s="207"/>
      <c r="J110" s="207"/>
      <c r="K110" s="210"/>
      <c r="L110" s="19"/>
      <c r="M110" s="209" t="s">
        <v>268</v>
      </c>
      <c r="N110" s="216" t="s">
        <v>10</v>
      </c>
      <c r="O110" s="207"/>
      <c r="P110" s="207"/>
      <c r="Q110" s="210"/>
      <c r="R110" s="19"/>
      <c r="S110" s="19"/>
      <c r="T110" s="19"/>
      <c r="U110" s="19"/>
      <c r="V110" s="19"/>
      <c r="W110" s="19"/>
      <c r="X110" s="19"/>
      <c r="Y110" s="19"/>
      <c r="Z110" s="19"/>
    </row>
    <row r="111" customFormat="false" ht="18.75" hidden="false" customHeight="true" outlineLevel="0" collapsed="false">
      <c r="A111" s="209"/>
      <c r="B111" s="207"/>
      <c r="C111" s="207"/>
      <c r="D111" s="207"/>
      <c r="E111" s="210"/>
      <c r="F111" s="19"/>
      <c r="G111" s="209"/>
      <c r="H111" s="207"/>
      <c r="I111" s="207"/>
      <c r="J111" s="207"/>
      <c r="K111" s="210"/>
      <c r="L111" s="19"/>
      <c r="M111" s="209"/>
      <c r="N111" s="207"/>
      <c r="O111" s="207"/>
      <c r="P111" s="207"/>
      <c r="Q111" s="210"/>
      <c r="R111" s="19"/>
      <c r="S111" s="19"/>
      <c r="T111" s="19"/>
      <c r="U111" s="19"/>
      <c r="V111" s="19"/>
      <c r="W111" s="19"/>
      <c r="X111" s="19"/>
      <c r="Y111" s="19"/>
      <c r="Z111" s="19"/>
    </row>
    <row r="112" customFormat="false" ht="18.75" hidden="false" customHeight="true" outlineLevel="0" collapsed="false">
      <c r="A112" s="209" t="s">
        <v>146</v>
      </c>
      <c r="B112" s="207"/>
      <c r="C112" s="207"/>
      <c r="D112" s="288" t="n">
        <v>10000</v>
      </c>
      <c r="E112" s="72" t="n">
        <v>6000</v>
      </c>
      <c r="F112" s="19"/>
      <c r="G112" s="209" t="s">
        <v>146</v>
      </c>
      <c r="H112" s="207"/>
      <c r="I112" s="207"/>
      <c r="J112" s="288" t="n">
        <v>0</v>
      </c>
      <c r="K112" s="72" t="n">
        <v>0</v>
      </c>
      <c r="L112" s="19"/>
      <c r="M112" s="209" t="s">
        <v>146</v>
      </c>
      <c r="N112" s="207"/>
      <c r="O112" s="207"/>
      <c r="P112" s="288" t="n">
        <v>500</v>
      </c>
      <c r="Q112" s="72" t="n">
        <v>300</v>
      </c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8.75" hidden="false" customHeight="true" outlineLevel="0" collapsed="false">
      <c r="A113" s="209" t="s">
        <v>147</v>
      </c>
      <c r="B113" s="207"/>
      <c r="C113" s="207"/>
      <c r="D113" s="38" t="n">
        <f aca="false">E113</f>
        <v>2000</v>
      </c>
      <c r="E113" s="72" t="n">
        <v>2000</v>
      </c>
      <c r="F113" s="19"/>
      <c r="G113" s="209" t="s">
        <v>147</v>
      </c>
      <c r="H113" s="207"/>
      <c r="I113" s="207"/>
      <c r="J113" s="38" t="n">
        <f aca="false">K113</f>
        <v>0</v>
      </c>
      <c r="K113" s="72" t="n">
        <v>0</v>
      </c>
      <c r="L113" s="19"/>
      <c r="M113" s="209" t="s">
        <v>147</v>
      </c>
      <c r="N113" s="207"/>
      <c r="O113" s="207"/>
      <c r="P113" s="38" t="n">
        <f aca="false">Q113</f>
        <v>100</v>
      </c>
      <c r="Q113" s="72" t="n">
        <v>100</v>
      </c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8.75" hidden="false" customHeight="true" outlineLevel="0" collapsed="false">
      <c r="A114" s="209" t="s">
        <v>148</v>
      </c>
      <c r="B114" s="207"/>
      <c r="C114" s="207"/>
      <c r="D114" s="38" t="n">
        <f aca="false">D112-D113</f>
        <v>8000</v>
      </c>
      <c r="E114" s="163" t="n">
        <f aca="false">E112-E113</f>
        <v>4000</v>
      </c>
      <c r="F114" s="19"/>
      <c r="G114" s="209" t="s">
        <v>148</v>
      </c>
      <c r="H114" s="207"/>
      <c r="I114" s="207"/>
      <c r="J114" s="38" t="n">
        <f aca="false">J112-J113</f>
        <v>0</v>
      </c>
      <c r="K114" s="163" t="n">
        <f aca="false">K112-K113</f>
        <v>0</v>
      </c>
      <c r="L114" s="19"/>
      <c r="M114" s="209" t="s">
        <v>148</v>
      </c>
      <c r="N114" s="207"/>
      <c r="O114" s="207"/>
      <c r="P114" s="38" t="n">
        <f aca="false">P112-P113</f>
        <v>400</v>
      </c>
      <c r="Q114" s="163" t="n">
        <f aca="false">Q112-Q113</f>
        <v>200</v>
      </c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8.75" hidden="false" customHeight="true" outlineLevel="0" collapsed="false">
      <c r="A115" s="209" t="s">
        <v>149</v>
      </c>
      <c r="B115" s="207"/>
      <c r="C115" s="207"/>
      <c r="D115" s="38" t="n">
        <f aca="false">D114-E114</f>
        <v>4000</v>
      </c>
      <c r="E115" s="210"/>
      <c r="F115" s="19"/>
      <c r="G115" s="209" t="s">
        <v>149</v>
      </c>
      <c r="H115" s="207"/>
      <c r="I115" s="207"/>
      <c r="J115" s="38" t="n">
        <f aca="false">J114-K114</f>
        <v>0</v>
      </c>
      <c r="K115" s="210"/>
      <c r="L115" s="19"/>
      <c r="M115" s="209" t="s">
        <v>149</v>
      </c>
      <c r="N115" s="207"/>
      <c r="O115" s="207"/>
      <c r="P115" s="38" t="n">
        <f aca="false">P114-Q114</f>
        <v>200</v>
      </c>
      <c r="Q115" s="210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8.75" hidden="false" customHeight="true" outlineLevel="0" collapsed="false">
      <c r="A116" s="209"/>
      <c r="B116" s="207"/>
      <c r="C116" s="207"/>
      <c r="D116" s="207"/>
      <c r="E116" s="210"/>
      <c r="F116" s="19"/>
      <c r="G116" s="209"/>
      <c r="H116" s="207"/>
      <c r="I116" s="207"/>
      <c r="J116" s="207"/>
      <c r="K116" s="210"/>
      <c r="L116" s="19"/>
      <c r="M116" s="209"/>
      <c r="N116" s="207"/>
      <c r="O116" s="207"/>
      <c r="P116" s="207"/>
      <c r="Q116" s="210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8.75" hidden="false" customHeight="true" outlineLevel="0" collapsed="false">
      <c r="A117" s="255" t="s">
        <v>108</v>
      </c>
      <c r="B117" s="256"/>
      <c r="C117" s="256"/>
      <c r="D117" s="256"/>
      <c r="E117" s="137" t="n">
        <f aca="false">D99</f>
        <v>1000</v>
      </c>
      <c r="F117" s="19"/>
      <c r="G117" s="255" t="s">
        <v>108</v>
      </c>
      <c r="H117" s="256"/>
      <c r="I117" s="256"/>
      <c r="J117" s="256"/>
      <c r="K117" s="137" t="n">
        <f aca="false">J99</f>
        <v>0</v>
      </c>
      <c r="L117" s="19"/>
      <c r="M117" s="255" t="s">
        <v>108</v>
      </c>
      <c r="N117" s="256"/>
      <c r="O117" s="256"/>
      <c r="P117" s="256"/>
      <c r="Q117" s="137" t="n">
        <f aca="false">P99</f>
        <v>0</v>
      </c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8.75" hidden="false" customHeight="true" outlineLevel="0" collapsed="false">
      <c r="A118" s="209" t="s">
        <v>152</v>
      </c>
      <c r="B118" s="207"/>
      <c r="C118" s="207"/>
      <c r="D118" s="207"/>
      <c r="E118" s="273" t="n">
        <f aca="false">A102</f>
        <v>199.99</v>
      </c>
      <c r="F118" s="19"/>
      <c r="G118" s="209" t="s">
        <v>152</v>
      </c>
      <c r="H118" s="207"/>
      <c r="I118" s="207"/>
      <c r="J118" s="207"/>
      <c r="K118" s="273" t="n">
        <f aca="false">G102</f>
        <v>199.99</v>
      </c>
      <c r="L118" s="19"/>
      <c r="M118" s="209" t="s">
        <v>152</v>
      </c>
      <c r="N118" s="207"/>
      <c r="O118" s="207"/>
      <c r="P118" s="207"/>
      <c r="Q118" s="273" t="n">
        <f aca="false">M102</f>
        <v>199.99</v>
      </c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8.75" hidden="false" customHeight="true" outlineLevel="0" collapsed="false">
      <c r="A119" s="290" t="s">
        <v>269</v>
      </c>
      <c r="B119" s="253"/>
      <c r="C119" s="253"/>
      <c r="D119" s="253"/>
      <c r="E119" s="139" t="n">
        <f aca="false">(E118+E117)-D115</f>
        <v>-2800.01</v>
      </c>
      <c r="F119" s="19"/>
      <c r="G119" s="290" t="s">
        <v>269</v>
      </c>
      <c r="H119" s="253"/>
      <c r="I119" s="253"/>
      <c r="J119" s="253"/>
      <c r="K119" s="139" t="n">
        <f aca="false">((K118/1.2)+K117)-(J115-K113)</f>
        <v>166.658333333333</v>
      </c>
      <c r="L119" s="19"/>
      <c r="M119" s="290" t="s">
        <v>269</v>
      </c>
      <c r="N119" s="253"/>
      <c r="O119" s="253"/>
      <c r="P119" s="253"/>
      <c r="Q119" s="139" t="n">
        <f aca="false">(Q118+Q117)-P115</f>
        <v>-0.00999999999999091</v>
      </c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8.75" hidden="false" customHeight="true" outlineLevel="0" collapsed="false">
      <c r="A120" s="209"/>
      <c r="B120" s="207"/>
      <c r="C120" s="207"/>
      <c r="D120" s="207"/>
      <c r="E120" s="210"/>
      <c r="F120" s="19"/>
      <c r="G120" s="209"/>
      <c r="H120" s="207"/>
      <c r="I120" s="207"/>
      <c r="J120" s="207"/>
      <c r="K120" s="210"/>
      <c r="L120" s="19"/>
      <c r="M120" s="209"/>
      <c r="N120" s="207"/>
      <c r="O120" s="207"/>
      <c r="P120" s="207"/>
      <c r="Q120" s="210"/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8.75" hidden="false" customHeight="true" outlineLevel="0" collapsed="false">
      <c r="A121" s="209"/>
      <c r="B121" s="207"/>
      <c r="C121" s="207"/>
      <c r="D121" s="207"/>
      <c r="E121" s="210"/>
      <c r="F121" s="19"/>
      <c r="G121" s="209"/>
      <c r="H121" s="207"/>
      <c r="I121" s="207"/>
      <c r="J121" s="207"/>
      <c r="K121" s="210"/>
      <c r="L121" s="19"/>
      <c r="M121" s="209"/>
      <c r="N121" s="207"/>
      <c r="O121" s="207"/>
      <c r="P121" s="207"/>
      <c r="Q121" s="210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8.75" hidden="false" customHeight="true" outlineLevel="0" collapsed="false">
      <c r="A122" s="211" t="s">
        <v>270</v>
      </c>
      <c r="B122" s="211"/>
      <c r="C122" s="211"/>
      <c r="D122" s="211"/>
      <c r="E122" s="211"/>
      <c r="F122" s="19"/>
      <c r="G122" s="211" t="s">
        <v>270</v>
      </c>
      <c r="H122" s="211"/>
      <c r="I122" s="211"/>
      <c r="J122" s="211"/>
      <c r="K122" s="211"/>
      <c r="L122" s="19"/>
      <c r="M122" s="211" t="s">
        <v>270</v>
      </c>
      <c r="N122" s="211"/>
      <c r="O122" s="211"/>
      <c r="P122" s="211"/>
      <c r="Q122" s="211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8.75" hidden="false" customHeight="true" outlineLevel="0" collapsed="false">
      <c r="A123" s="291"/>
      <c r="B123" s="292"/>
      <c r="C123" s="292"/>
      <c r="D123" s="292"/>
      <c r="E123" s="293"/>
      <c r="F123" s="19"/>
      <c r="G123" s="209"/>
      <c r="H123" s="207"/>
      <c r="I123" s="207"/>
      <c r="J123" s="207"/>
      <c r="K123" s="210"/>
      <c r="L123" s="19"/>
      <c r="M123" s="209"/>
      <c r="N123" s="207"/>
      <c r="O123" s="207"/>
      <c r="P123" s="207"/>
      <c r="Q123" s="210"/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8.75" hidden="false" customHeight="true" outlineLevel="0" collapsed="false">
      <c r="A124" s="294" t="s">
        <v>98</v>
      </c>
      <c r="B124" s="295" t="n">
        <v>0</v>
      </c>
      <c r="C124" s="296"/>
      <c r="D124" s="295" t="s">
        <v>33</v>
      </c>
      <c r="E124" s="297"/>
      <c r="F124" s="19"/>
      <c r="G124" s="209" t="s">
        <v>29</v>
      </c>
      <c r="H124" s="168" t="n">
        <v>0</v>
      </c>
      <c r="I124" s="168"/>
      <c r="J124" s="207"/>
      <c r="K124" s="210"/>
      <c r="L124" s="19"/>
      <c r="M124" s="209" t="s">
        <v>29</v>
      </c>
      <c r="N124" s="168" t="n">
        <v>0</v>
      </c>
      <c r="O124" s="168"/>
      <c r="P124" s="207"/>
      <c r="Q124" s="210"/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8.75" hidden="false" customHeight="true" outlineLevel="0" collapsed="false">
      <c r="A125" s="298" t="s">
        <v>254</v>
      </c>
      <c r="B125" s="299" t="n">
        <f aca="false">A161</f>
        <v>35</v>
      </c>
      <c r="C125" s="300"/>
      <c r="D125" s="299" t="n">
        <f aca="false">B160</f>
        <v>35000</v>
      </c>
      <c r="E125" s="297"/>
      <c r="F125" s="19"/>
      <c r="G125" s="209"/>
      <c r="H125" s="207"/>
      <c r="I125" s="207"/>
      <c r="J125" s="207"/>
      <c r="K125" s="210"/>
      <c r="L125" s="19"/>
      <c r="M125" s="209"/>
      <c r="N125" s="207"/>
      <c r="O125" s="207"/>
      <c r="P125" s="207"/>
      <c r="Q125" s="210"/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8.75" hidden="false" customHeight="true" outlineLevel="0" collapsed="false">
      <c r="A126" s="294"/>
      <c r="B126" s="295"/>
      <c r="C126" s="295"/>
      <c r="D126" s="295"/>
      <c r="E126" s="297"/>
      <c r="F126" s="19"/>
      <c r="G126" s="302" t="s">
        <v>273</v>
      </c>
      <c r="H126" s="303" t="s">
        <v>274</v>
      </c>
      <c r="I126" s="303"/>
      <c r="J126" s="303" t="s">
        <v>275</v>
      </c>
      <c r="K126" s="210"/>
      <c r="L126" s="19"/>
      <c r="M126" s="302" t="s">
        <v>276</v>
      </c>
      <c r="N126" s="303" t="s">
        <v>227</v>
      </c>
      <c r="O126" s="303"/>
      <c r="P126" s="303" t="s">
        <v>93</v>
      </c>
      <c r="Q126" s="210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8.75" hidden="false" customHeight="true" outlineLevel="0" collapsed="false">
      <c r="A127" s="294" t="s">
        <v>92</v>
      </c>
      <c r="B127" s="295" t="s">
        <v>271</v>
      </c>
      <c r="C127" s="296"/>
      <c r="D127" s="295" t="s">
        <v>272</v>
      </c>
      <c r="E127" s="297"/>
      <c r="F127" s="19"/>
      <c r="G127" s="307" t="n">
        <f aca="false">H90</f>
        <v>1427.20380639254</v>
      </c>
      <c r="H127" s="172" t="n">
        <f aca="false">IF(G105="YES", H89*H57, 0)</f>
        <v>1012.8888</v>
      </c>
      <c r="I127" s="172"/>
      <c r="J127" s="308" t="n">
        <f aca="false">H91</f>
        <v>1596.01860639254</v>
      </c>
      <c r="K127" s="210"/>
      <c r="L127" s="19"/>
      <c r="M127" s="307" t="n">
        <f aca="false">N90</f>
        <v>1182.68402375101</v>
      </c>
      <c r="N127" s="172" t="n">
        <f aca="false">IF(M105="YES", N89*N57, 0)</f>
        <v>844.074</v>
      </c>
      <c r="O127" s="172"/>
      <c r="P127" s="172" t="n">
        <f aca="false">N91</f>
        <v>1323.36302375101</v>
      </c>
      <c r="Q127" s="210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8.75" hidden="false" customHeight="true" outlineLevel="0" collapsed="false">
      <c r="A128" s="298" t="n">
        <f aca="false">B90</f>
        <v>1353.2956583317</v>
      </c>
      <c r="B128" s="296" t="n">
        <f aca="false">IF(A105="YES", B89, 0)</f>
        <v>174.174</v>
      </c>
      <c r="C128" s="300"/>
      <c r="D128" s="296" t="n">
        <f aca="false">B91</f>
        <v>1527.4696583317</v>
      </c>
      <c r="E128" s="297"/>
      <c r="F128" s="19"/>
      <c r="G128" s="209"/>
      <c r="H128" s="207"/>
      <c r="I128" s="207"/>
      <c r="J128" s="207"/>
      <c r="K128" s="210"/>
      <c r="L128" s="19"/>
      <c r="M128" s="209"/>
      <c r="N128" s="207"/>
      <c r="O128" s="207"/>
      <c r="P128" s="207"/>
      <c r="Q128" s="210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8.75" hidden="false" customHeight="true" outlineLevel="0" collapsed="false">
      <c r="A129" s="291"/>
      <c r="B129" s="292"/>
      <c r="C129" s="292"/>
      <c r="D129" s="292"/>
      <c r="E129" s="293"/>
      <c r="F129" s="19"/>
      <c r="G129" s="209" t="s">
        <v>28</v>
      </c>
      <c r="H129" s="207" t="s">
        <v>33</v>
      </c>
      <c r="I129" s="207"/>
      <c r="J129" s="207" t="s">
        <v>60</v>
      </c>
      <c r="K129" s="210"/>
      <c r="L129" s="19"/>
      <c r="M129" s="209" t="s">
        <v>28</v>
      </c>
      <c r="N129" s="207" t="s">
        <v>33</v>
      </c>
      <c r="O129" s="207"/>
      <c r="P129" s="207" t="s">
        <v>60</v>
      </c>
      <c r="Q129" s="210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8.75" hidden="false" customHeight="true" outlineLevel="0" collapsed="false">
      <c r="A130" s="304" t="s">
        <v>23</v>
      </c>
      <c r="B130" s="305" t="s">
        <v>277</v>
      </c>
      <c r="C130" s="306"/>
      <c r="D130" s="305" t="s">
        <v>278</v>
      </c>
      <c r="E130" s="293"/>
      <c r="F130" s="19"/>
      <c r="G130" s="222" t="n">
        <f aca="false">G152</f>
        <v>35</v>
      </c>
      <c r="H130" s="174" t="n">
        <f aca="false">B151</f>
        <v>0</v>
      </c>
      <c r="I130" s="223"/>
      <c r="J130" s="174" t="n">
        <f aca="false">B58</f>
        <v>34</v>
      </c>
      <c r="K130" s="210"/>
      <c r="L130" s="19"/>
      <c r="M130" s="222" t="n">
        <f aca="false">M155</f>
        <v>35</v>
      </c>
      <c r="N130" s="174" t="n">
        <f aca="false">B151</f>
        <v>0</v>
      </c>
      <c r="O130" s="223"/>
      <c r="P130" s="174" t="n">
        <f aca="false">B58</f>
        <v>34</v>
      </c>
      <c r="Q130" s="210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8.75" hidden="false" customHeight="true" outlineLevel="0" collapsed="false">
      <c r="A131" s="309" t="str">
        <f aca="false">B99</f>
        <v>Monthly in advance</v>
      </c>
      <c r="B131" s="201" t="n">
        <f aca="false">B90*B57</f>
        <v>1353.2956583317</v>
      </c>
      <c r="C131" s="292"/>
      <c r="D131" s="201" t="n">
        <f aca="false">IF(A105="YES", B89*B57, 0)</f>
        <v>174.174</v>
      </c>
      <c r="E131" s="293"/>
      <c r="F131" s="19"/>
      <c r="G131" s="209"/>
      <c r="H131" s="207"/>
      <c r="I131" s="207"/>
      <c r="J131" s="207"/>
      <c r="K131" s="210"/>
      <c r="L131" s="19"/>
      <c r="M131" s="209"/>
      <c r="N131" s="207"/>
      <c r="O131" s="207"/>
      <c r="P131" s="207"/>
      <c r="Q131" s="210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8.75" hidden="false" customHeight="true" outlineLevel="0" collapsed="false">
      <c r="A132" s="291"/>
      <c r="B132" s="292"/>
      <c r="C132" s="292"/>
      <c r="D132" s="292"/>
      <c r="E132" s="293"/>
      <c r="F132" s="19"/>
      <c r="G132" s="209" t="s">
        <v>279</v>
      </c>
      <c r="H132" s="207" t="s">
        <v>280</v>
      </c>
      <c r="I132" s="207"/>
      <c r="J132" s="207" t="s">
        <v>281</v>
      </c>
      <c r="K132" s="210"/>
      <c r="L132" s="19"/>
      <c r="M132" s="209" t="s">
        <v>282</v>
      </c>
      <c r="N132" s="207" t="s">
        <v>216</v>
      </c>
      <c r="O132" s="207"/>
      <c r="P132" s="207" t="s">
        <v>220</v>
      </c>
      <c r="Q132" s="210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8.75" hidden="false" customHeight="true" outlineLevel="0" collapsed="false">
      <c r="A133" s="123" t="s">
        <v>283</v>
      </c>
      <c r="B133" s="200" t="s">
        <v>284</v>
      </c>
      <c r="C133" s="310"/>
      <c r="D133" s="240" t="s">
        <v>177</v>
      </c>
      <c r="E133" s="293"/>
      <c r="F133" s="19"/>
      <c r="G133" s="69" t="n">
        <f aca="false">H90*H57</f>
        <v>8563.22283835524</v>
      </c>
      <c r="H133" s="37" t="n">
        <f aca="false">IF(G105="YES", H89*H57, 0)</f>
        <v>1012.8888</v>
      </c>
      <c r="I133" s="215"/>
      <c r="J133" s="232" t="n">
        <f aca="false">H91*H57</f>
        <v>9576.11163835524</v>
      </c>
      <c r="K133" s="210"/>
      <c r="L133" s="19"/>
      <c r="M133" s="69" t="n">
        <f aca="false">N90*N57</f>
        <v>7096.10414250606</v>
      </c>
      <c r="N133" s="37" t="n">
        <f aca="false">IF(M105="YES", N89*N57, 0)</f>
        <v>844.074</v>
      </c>
      <c r="O133" s="215"/>
      <c r="P133" s="232" t="n">
        <f aca="false">N91*N57</f>
        <v>7940.17814250606</v>
      </c>
      <c r="Q133" s="210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8.75" hidden="false" customHeight="true" outlineLevel="0" collapsed="false">
      <c r="A134" s="70" t="n">
        <f aca="false">B91*B57</f>
        <v>1527.4696583317</v>
      </c>
      <c r="B134" s="201" t="n">
        <f aca="false">E114</f>
        <v>4000</v>
      </c>
      <c r="C134" s="292"/>
      <c r="D134" s="311" t="n">
        <f aca="false">B58</f>
        <v>34</v>
      </c>
      <c r="E134" s="293"/>
      <c r="F134" s="19"/>
      <c r="G134" s="209"/>
      <c r="H134" s="207"/>
      <c r="I134" s="207"/>
      <c r="J134" s="207"/>
      <c r="K134" s="210"/>
      <c r="L134" s="19"/>
      <c r="M134" s="209"/>
      <c r="N134" s="207"/>
      <c r="O134" s="207"/>
      <c r="P134" s="207"/>
      <c r="Q134" s="210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8.75" hidden="false" customHeight="true" outlineLevel="0" collapsed="false">
      <c r="A135" s="70"/>
      <c r="B135" s="312"/>
      <c r="C135" s="292"/>
      <c r="D135" s="292"/>
      <c r="E135" s="293"/>
      <c r="F135" s="19"/>
      <c r="G135" s="209" t="s">
        <v>285</v>
      </c>
      <c r="H135" s="207" t="s">
        <v>286</v>
      </c>
      <c r="I135" s="207"/>
      <c r="J135" s="207" t="s">
        <v>287</v>
      </c>
      <c r="K135" s="210"/>
      <c r="L135" s="19"/>
      <c r="M135" s="209" t="s">
        <v>229</v>
      </c>
      <c r="N135" s="207" t="s">
        <v>230</v>
      </c>
      <c r="O135" s="207"/>
      <c r="P135" s="207" t="s">
        <v>235</v>
      </c>
      <c r="Q135" s="210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8.75" hidden="false" customHeight="true" outlineLevel="0" collapsed="false">
      <c r="A136" s="78" t="s">
        <v>92</v>
      </c>
      <c r="B136" s="313" t="s">
        <v>271</v>
      </c>
      <c r="C136" s="292"/>
      <c r="D136" s="292" t="s">
        <v>272</v>
      </c>
      <c r="E136" s="293"/>
      <c r="F136" s="19"/>
      <c r="G136" s="70" t="n">
        <f aca="false">E15*0.000006</f>
        <v>0.35115</v>
      </c>
      <c r="H136" s="37" t="n">
        <f aca="false">IF(G105="YES", E15*0.000002, 0)</f>
        <v>0.11705</v>
      </c>
      <c r="I136" s="37"/>
      <c r="J136" s="37" t="n">
        <f aca="false">G136+H136</f>
        <v>0.4682</v>
      </c>
      <c r="K136" s="177"/>
      <c r="L136" s="19"/>
      <c r="M136" s="70" t="n">
        <f aca="false">E15*0.000006</f>
        <v>0.35115</v>
      </c>
      <c r="N136" s="37" t="n">
        <f aca="false">IF(M105="YES", E15*0.000002, 0)</f>
        <v>0.11705</v>
      </c>
      <c r="O136" s="37"/>
      <c r="P136" s="37" t="n">
        <f aca="false">M136+N136</f>
        <v>0.4682</v>
      </c>
      <c r="Q136" s="177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8.75" hidden="false" customHeight="true" outlineLevel="0" collapsed="false">
      <c r="A137" s="70" t="n">
        <f aca="false">B90</f>
        <v>1353.2956583317</v>
      </c>
      <c r="B137" s="201" t="n">
        <f aca="false">IF(A105="YES", B89, 0)</f>
        <v>174.174</v>
      </c>
      <c r="C137" s="292"/>
      <c r="D137" s="201" t="n">
        <f aca="false">B91</f>
        <v>1527.4696583317</v>
      </c>
      <c r="E137" s="293"/>
      <c r="F137" s="19"/>
      <c r="G137" s="209"/>
      <c r="H137" s="207"/>
      <c r="I137" s="207"/>
      <c r="J137" s="207"/>
      <c r="K137" s="210"/>
      <c r="L137" s="19"/>
      <c r="M137" s="209"/>
      <c r="N137" s="207"/>
      <c r="O137" s="207"/>
      <c r="P137" s="207"/>
      <c r="Q137" s="210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8.75" hidden="false" customHeight="true" outlineLevel="0" collapsed="false">
      <c r="A138" s="291"/>
      <c r="B138" s="292"/>
      <c r="C138" s="292"/>
      <c r="D138" s="292"/>
      <c r="E138" s="293"/>
      <c r="F138" s="19"/>
      <c r="G138" s="209" t="s">
        <v>288</v>
      </c>
      <c r="H138" s="207" t="s">
        <v>289</v>
      </c>
      <c r="I138" s="207"/>
      <c r="J138" s="207" t="s">
        <v>290</v>
      </c>
      <c r="K138" s="210"/>
      <c r="L138" s="19"/>
      <c r="M138" s="209" t="s">
        <v>111</v>
      </c>
      <c r="N138" s="207" t="s">
        <v>289</v>
      </c>
      <c r="O138" s="207"/>
      <c r="P138" s="207" t="s">
        <v>290</v>
      </c>
      <c r="Q138" s="210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8.75" hidden="false" customHeight="true" outlineLevel="0" collapsed="false">
      <c r="A139" s="314" t="s">
        <v>180</v>
      </c>
      <c r="B139" s="315" t="s">
        <v>291</v>
      </c>
      <c r="C139" s="201"/>
      <c r="D139" s="315" t="s">
        <v>182</v>
      </c>
      <c r="E139" s="177"/>
      <c r="F139" s="19"/>
      <c r="G139" s="70" t="n">
        <f aca="false">G102</f>
        <v>199.99</v>
      </c>
      <c r="H139" s="37" t="n">
        <f aca="false">H67</f>
        <v>944.651041666667</v>
      </c>
      <c r="I139" s="37"/>
      <c r="J139" s="37" t="n">
        <f aca="false">H102*0.9</f>
        <v>0</v>
      </c>
      <c r="K139" s="177"/>
      <c r="L139" s="19"/>
      <c r="M139" s="70" t="n">
        <f aca="false">M102</f>
        <v>199.99</v>
      </c>
      <c r="N139" s="37" t="n">
        <f aca="false">N67</f>
        <v>944.651041666667</v>
      </c>
      <c r="O139" s="37"/>
      <c r="P139" s="37" t="n">
        <f aca="false">N102*0.9</f>
        <v>0</v>
      </c>
      <c r="Q139" s="177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8.75" hidden="false" customHeight="true" outlineLevel="0" collapsed="false">
      <c r="A140" s="316" t="n">
        <f aca="false">(G18*0.000006)*1.2*100</f>
        <v>41.6772</v>
      </c>
      <c r="B140" s="317" t="n">
        <f aca="false">IF(A105="YES", G18*0.000002, 0)*1.2*100</f>
        <v>13.8924</v>
      </c>
      <c r="C140" s="292"/>
      <c r="D140" s="317" t="n">
        <f aca="false">A140+B140</f>
        <v>55.5696</v>
      </c>
      <c r="E140" s="293"/>
      <c r="F140" s="19"/>
      <c r="G140" s="209"/>
      <c r="H140" s="207"/>
      <c r="I140" s="207"/>
      <c r="J140" s="207"/>
      <c r="K140" s="210"/>
      <c r="L140" s="19"/>
      <c r="M140" s="209"/>
      <c r="N140" s="207"/>
      <c r="O140" s="207"/>
      <c r="P140" s="207"/>
      <c r="Q140" s="210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8.75" hidden="false" customHeight="true" outlineLevel="0" collapsed="false">
      <c r="A141" s="316"/>
      <c r="B141" s="317"/>
      <c r="C141" s="292"/>
      <c r="D141" s="317"/>
      <c r="E141" s="293"/>
      <c r="F141" s="19"/>
      <c r="G141" s="209" t="s">
        <v>292</v>
      </c>
      <c r="H141" s="207" t="s">
        <v>293</v>
      </c>
      <c r="I141" s="207"/>
      <c r="J141" s="207" t="s">
        <v>294</v>
      </c>
      <c r="K141" s="210"/>
      <c r="L141" s="19"/>
      <c r="M141" s="209" t="s">
        <v>292</v>
      </c>
      <c r="N141" s="207" t="s">
        <v>293</v>
      </c>
      <c r="O141" s="207"/>
      <c r="P141" s="207" t="s">
        <v>294</v>
      </c>
      <c r="Q141" s="210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8.75" hidden="false" customHeight="true" outlineLevel="0" collapsed="false">
      <c r="A142" s="314" t="s">
        <v>295</v>
      </c>
      <c r="B142" s="315" t="s">
        <v>152</v>
      </c>
      <c r="C142" s="201"/>
      <c r="D142" s="315" t="s">
        <v>246</v>
      </c>
      <c r="E142" s="293"/>
      <c r="F142" s="19"/>
      <c r="G142" s="70" t="n">
        <f aca="false">IF(G105="YES", ((B36*H105)*0.1)*(G130), 0)</f>
        <v>93.786</v>
      </c>
      <c r="H142" s="37" t="n">
        <f aca="false">G102-100</f>
        <v>99.99</v>
      </c>
      <c r="I142" s="37"/>
      <c r="J142" s="37" t="n">
        <f aca="false">(H139+J139+G142+H142)-H145</f>
        <v>1138.42704166667</v>
      </c>
      <c r="K142" s="177"/>
      <c r="L142" s="19"/>
      <c r="M142" s="70" t="n">
        <f aca="false">IF(M105="YES", ((B36*N105)*0.1)*(M130), 0)</f>
        <v>93.786</v>
      </c>
      <c r="N142" s="37" t="n">
        <f aca="false">M102-100</f>
        <v>99.99</v>
      </c>
      <c r="O142" s="37"/>
      <c r="P142" s="37" t="n">
        <f aca="false">(N139+P139+M142+N142)-N145</f>
        <v>1138.42704166667</v>
      </c>
      <c r="Q142" s="177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8.75" hidden="false" customHeight="true" outlineLevel="0" collapsed="false">
      <c r="A143" s="70" t="n">
        <v>0</v>
      </c>
      <c r="B143" s="201" t="n">
        <f aca="false">E118</f>
        <v>199.99</v>
      </c>
      <c r="C143" s="292"/>
      <c r="D143" s="152" t="n">
        <f aca="false">B102</f>
        <v>0</v>
      </c>
      <c r="E143" s="293"/>
      <c r="F143" s="19"/>
      <c r="G143" s="209"/>
      <c r="H143" s="207"/>
      <c r="I143" s="207"/>
      <c r="J143" s="207"/>
      <c r="K143" s="210"/>
      <c r="L143" s="19"/>
      <c r="M143" s="209"/>
      <c r="N143" s="207"/>
      <c r="O143" s="207"/>
      <c r="P143" s="207"/>
      <c r="Q143" s="210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8.75" hidden="false" customHeight="true" outlineLevel="0" collapsed="false">
      <c r="A144" s="70"/>
      <c r="B144" s="201"/>
      <c r="C144" s="292"/>
      <c r="D144" s="201"/>
      <c r="E144" s="293"/>
      <c r="F144" s="19"/>
      <c r="G144" s="209" t="s">
        <v>296</v>
      </c>
      <c r="H144" s="207" t="s">
        <v>297</v>
      </c>
      <c r="I144" s="207"/>
      <c r="J144" s="207"/>
      <c r="K144" s="210"/>
      <c r="L144" s="19"/>
      <c r="M144" s="209" t="s">
        <v>296</v>
      </c>
      <c r="N144" s="207" t="s">
        <v>297</v>
      </c>
      <c r="O144" s="207"/>
      <c r="P144" s="207"/>
      <c r="Q144" s="210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8.75" hidden="false" customHeight="true" outlineLevel="0" collapsed="false">
      <c r="A145" s="318" t="s">
        <v>298</v>
      </c>
      <c r="B145" s="319"/>
      <c r="C145" s="320"/>
      <c r="D145" s="319"/>
      <c r="E145" s="321"/>
      <c r="F145" s="19"/>
      <c r="G145" s="70" t="n">
        <v>0</v>
      </c>
      <c r="H145" s="37" t="n">
        <f aca="false">(H139+J139+G142+H142)*(G145/H64)</f>
        <v>0</v>
      </c>
      <c r="I145" s="207"/>
      <c r="J145" s="207"/>
      <c r="K145" s="210"/>
      <c r="L145" s="19"/>
      <c r="M145" s="70" t="n">
        <v>0</v>
      </c>
      <c r="N145" s="37" t="n">
        <f aca="false">(N139+P139+M142+N142)*(M145/N64)</f>
        <v>0</v>
      </c>
      <c r="O145" s="207"/>
      <c r="P145" s="207"/>
      <c r="Q145" s="210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8.75" hidden="false" customHeight="true" outlineLevel="0" collapsed="false">
      <c r="A146" s="316"/>
      <c r="B146" s="317"/>
      <c r="C146" s="292"/>
      <c r="D146" s="317"/>
      <c r="E146" s="293"/>
      <c r="F146" s="19"/>
      <c r="G146" s="209"/>
      <c r="H146" s="207"/>
      <c r="I146" s="207"/>
      <c r="J146" s="207"/>
      <c r="K146" s="210"/>
      <c r="L146" s="19"/>
      <c r="M146" s="70"/>
      <c r="N146" s="37"/>
      <c r="O146" s="207"/>
      <c r="P146" s="207"/>
      <c r="Q146" s="210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8.75" hidden="false" customHeight="true" outlineLevel="0" collapsed="false">
      <c r="A147" s="291" t="s">
        <v>299</v>
      </c>
      <c r="B147" s="292" t="s">
        <v>300</v>
      </c>
      <c r="C147" s="292"/>
      <c r="D147" s="292" t="s">
        <v>301</v>
      </c>
      <c r="E147" s="293"/>
      <c r="F147" s="19"/>
      <c r="G147" s="209"/>
      <c r="H147" s="207"/>
      <c r="I147" s="207"/>
      <c r="J147" s="207"/>
      <c r="K147" s="210"/>
      <c r="L147" s="19"/>
      <c r="M147" s="78" t="s">
        <v>302</v>
      </c>
      <c r="N147" s="38" t="s">
        <v>303</v>
      </c>
      <c r="O147" s="207"/>
      <c r="P147" s="207"/>
      <c r="Q147" s="210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8.75" hidden="false" customHeight="true" outlineLevel="0" collapsed="false">
      <c r="A148" s="70" t="n">
        <f aca="false">B67</f>
        <v>1133.58125</v>
      </c>
      <c r="B148" s="201" t="n">
        <f aca="false">B102</f>
        <v>0</v>
      </c>
      <c r="C148" s="201"/>
      <c r="D148" s="201" t="n">
        <f aca="false">IF(A105="YES", (B40*B105)*B125, 0)*0.1</f>
        <v>140.679</v>
      </c>
      <c r="E148" s="177"/>
      <c r="F148" s="19"/>
      <c r="G148" s="243" t="s">
        <v>304</v>
      </c>
      <c r="H148" s="207"/>
      <c r="I148" s="207"/>
      <c r="J148" s="244"/>
      <c r="K148" s="245"/>
      <c r="L148" s="19"/>
      <c r="M148" s="322" t="n">
        <v>18000</v>
      </c>
      <c r="N148" s="323" t="n">
        <v>0.99</v>
      </c>
      <c r="O148" s="323"/>
      <c r="P148" s="207"/>
      <c r="Q148" s="210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8.75" hidden="false" customHeight="true" outlineLevel="0" collapsed="false">
      <c r="A149" s="291"/>
      <c r="B149" s="292"/>
      <c r="C149" s="292"/>
      <c r="D149" s="292"/>
      <c r="E149" s="293"/>
      <c r="F149" s="19"/>
      <c r="G149" s="209"/>
      <c r="H149" s="246"/>
      <c r="I149" s="246"/>
      <c r="J149" s="207"/>
      <c r="K149" s="210"/>
      <c r="L149" s="19"/>
      <c r="M149" s="209"/>
      <c r="N149" s="207"/>
      <c r="O149" s="207"/>
      <c r="P149" s="207"/>
      <c r="Q149" s="210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8.75" hidden="false" customHeight="true" outlineLevel="0" collapsed="false">
      <c r="A150" s="291" t="s">
        <v>305</v>
      </c>
      <c r="B150" s="292" t="s">
        <v>297</v>
      </c>
      <c r="C150" s="292"/>
      <c r="D150" s="292" t="s">
        <v>294</v>
      </c>
      <c r="E150" s="293"/>
      <c r="F150" s="19"/>
      <c r="G150" s="248" t="s">
        <v>28</v>
      </c>
      <c r="H150" s="249" t="s">
        <v>33</v>
      </c>
      <c r="I150" s="249"/>
      <c r="J150" s="207"/>
      <c r="K150" s="210"/>
      <c r="L150" s="19"/>
      <c r="M150" s="209"/>
      <c r="N150" s="207"/>
      <c r="O150" s="207"/>
      <c r="P150" s="207"/>
      <c r="Q150" s="210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8.75" hidden="false" customHeight="true" outlineLevel="0" collapsed="false">
      <c r="A151" s="70" t="n">
        <f aca="false">E118-100</f>
        <v>99.99</v>
      </c>
      <c r="B151" s="201" t="n">
        <f aca="false">(A148+B148+D148+A151)*(A143/B64)</f>
        <v>0</v>
      </c>
      <c r="C151" s="201"/>
      <c r="D151" s="201" t="n">
        <f aca="false">(A148+B148+D148+A151)-B151</f>
        <v>1374.25025</v>
      </c>
      <c r="E151" s="177"/>
      <c r="F151" s="19"/>
      <c r="G151" s="248"/>
      <c r="H151" s="250" t="n">
        <f aca="false">B51</f>
        <v>35000</v>
      </c>
      <c r="I151" s="250"/>
      <c r="J151" s="207"/>
      <c r="K151" s="210"/>
      <c r="L151" s="19"/>
      <c r="M151" s="243" t="s">
        <v>304</v>
      </c>
      <c r="N151" s="207"/>
      <c r="O151" s="207"/>
      <c r="P151" s="244"/>
      <c r="Q151" s="245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8.75" hidden="false" customHeight="true" outlineLevel="0" collapsed="false">
      <c r="A152" s="291"/>
      <c r="B152" s="292"/>
      <c r="C152" s="292"/>
      <c r="D152" s="292"/>
      <c r="E152" s="293"/>
      <c r="F152" s="19"/>
      <c r="G152" s="251" t="n">
        <f aca="false">A52</f>
        <v>35</v>
      </c>
      <c r="H152" s="92" t="n">
        <f aca="false">H91</f>
        <v>1596.01860639254</v>
      </c>
      <c r="I152" s="92"/>
      <c r="J152" s="207"/>
      <c r="K152" s="210"/>
      <c r="L152" s="19"/>
      <c r="M152" s="209"/>
      <c r="N152" s="246"/>
      <c r="O152" s="246"/>
      <c r="P152" s="207"/>
      <c r="Q152" s="210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8.75" hidden="false" customHeight="true" outlineLevel="0" collapsed="false">
      <c r="A153" s="291" t="s">
        <v>306</v>
      </c>
      <c r="B153" s="292"/>
      <c r="C153" s="292"/>
      <c r="D153" s="292"/>
      <c r="E153" s="293"/>
      <c r="F153" s="19"/>
      <c r="G153" s="209"/>
      <c r="H153" s="207"/>
      <c r="I153" s="207"/>
      <c r="J153" s="207"/>
      <c r="K153" s="210"/>
      <c r="L153" s="19"/>
      <c r="M153" s="248" t="s">
        <v>28</v>
      </c>
      <c r="N153" s="249" t="s">
        <v>33</v>
      </c>
      <c r="O153" s="249"/>
      <c r="P153" s="207"/>
      <c r="Q153" s="210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8.75" hidden="false" customHeight="true" outlineLevel="0" collapsed="false">
      <c r="A154" s="70" t="n">
        <f aca="false">D102</f>
        <v>0</v>
      </c>
      <c r="B154" s="201"/>
      <c r="C154" s="292"/>
      <c r="D154" s="292"/>
      <c r="E154" s="293"/>
      <c r="F154" s="19"/>
      <c r="G154" s="209"/>
      <c r="H154" s="207"/>
      <c r="I154" s="207"/>
      <c r="J154" s="207"/>
      <c r="K154" s="210"/>
      <c r="L154" s="19"/>
      <c r="M154" s="248"/>
      <c r="N154" s="250" t="n">
        <f aca="false">B51</f>
        <v>35000</v>
      </c>
      <c r="O154" s="250"/>
      <c r="P154" s="207"/>
      <c r="Q154" s="210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8.75" hidden="false" customHeight="true" outlineLevel="0" collapsed="false">
      <c r="A155" s="291"/>
      <c r="B155" s="292"/>
      <c r="C155" s="292"/>
      <c r="D155" s="292"/>
      <c r="E155" s="293"/>
      <c r="F155" s="19"/>
      <c r="G155" s="209"/>
      <c r="H155" s="207"/>
      <c r="I155" s="207"/>
      <c r="J155" s="207"/>
      <c r="K155" s="210"/>
      <c r="L155" s="19"/>
      <c r="M155" s="251" t="n">
        <f aca="false">A52</f>
        <v>35</v>
      </c>
      <c r="N155" s="92" t="n">
        <f aca="false">N91</f>
        <v>1323.36302375101</v>
      </c>
      <c r="O155" s="92"/>
      <c r="P155" s="207"/>
      <c r="Q155" s="210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8.75" hidden="false" customHeight="true" outlineLevel="0" collapsed="false">
      <c r="A156" s="291"/>
      <c r="B156" s="292"/>
      <c r="C156" s="292"/>
      <c r="D156" s="292"/>
      <c r="E156" s="293"/>
      <c r="F156" s="19"/>
      <c r="G156" s="209"/>
      <c r="H156" s="207"/>
      <c r="I156" s="207"/>
      <c r="J156" s="207"/>
      <c r="K156" s="210"/>
      <c r="L156" s="19"/>
      <c r="M156" s="209"/>
      <c r="N156" s="207"/>
      <c r="O156" s="207"/>
      <c r="P156" s="207"/>
      <c r="Q156" s="210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8.75" hidden="false" customHeight="true" outlineLevel="0" collapsed="false">
      <c r="A157" s="324" t="s">
        <v>304</v>
      </c>
      <c r="B157" s="292"/>
      <c r="C157" s="292"/>
      <c r="D157" s="325"/>
      <c r="E157" s="326"/>
      <c r="F157" s="19"/>
      <c r="G157" s="252"/>
      <c r="H157" s="253"/>
      <c r="I157" s="253"/>
      <c r="J157" s="253"/>
      <c r="K157" s="254"/>
      <c r="L157" s="19"/>
      <c r="M157" s="209"/>
      <c r="N157" s="207"/>
      <c r="O157" s="207"/>
      <c r="P157" s="207"/>
      <c r="Q157" s="210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8.75" hidden="false" customHeight="true" outlineLevel="0" collapsed="false">
      <c r="A158" s="291"/>
      <c r="B158" s="327"/>
      <c r="C158" s="327"/>
      <c r="D158" s="292"/>
      <c r="E158" s="293"/>
      <c r="F158" s="19"/>
      <c r="G158" s="19"/>
      <c r="H158" s="19"/>
      <c r="I158" s="19"/>
      <c r="J158" s="19"/>
      <c r="K158" s="19"/>
      <c r="L158" s="19"/>
      <c r="M158" s="209"/>
      <c r="N158" s="207"/>
      <c r="O158" s="207"/>
      <c r="P158" s="207"/>
      <c r="Q158" s="210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8.75" hidden="false" customHeight="true" outlineLevel="0" collapsed="false">
      <c r="A159" s="248" t="s">
        <v>28</v>
      </c>
      <c r="B159" s="249" t="s">
        <v>33</v>
      </c>
      <c r="C159" s="249"/>
      <c r="D159" s="292"/>
      <c r="E159" s="293"/>
      <c r="F159" s="19"/>
      <c r="G159" s="19"/>
      <c r="H159" s="19"/>
      <c r="I159" s="19"/>
      <c r="J159" s="19"/>
      <c r="K159" s="19"/>
      <c r="L159" s="19"/>
      <c r="M159" s="209"/>
      <c r="N159" s="207"/>
      <c r="O159" s="207"/>
      <c r="P159" s="207"/>
      <c r="Q159" s="210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8.75" hidden="false" customHeight="true" outlineLevel="0" collapsed="false">
      <c r="A160" s="248"/>
      <c r="B160" s="250" t="n">
        <f aca="false">B51</f>
        <v>35000</v>
      </c>
      <c r="C160" s="250"/>
      <c r="D160" s="292"/>
      <c r="E160" s="293"/>
      <c r="F160" s="19"/>
      <c r="G160" s="19"/>
      <c r="H160" s="19"/>
      <c r="I160" s="19"/>
      <c r="J160" s="19"/>
      <c r="K160" s="19"/>
      <c r="L160" s="19"/>
      <c r="M160" s="209"/>
      <c r="N160" s="207"/>
      <c r="O160" s="207"/>
      <c r="P160" s="207"/>
      <c r="Q160" s="210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8.75" hidden="false" customHeight="true" outlineLevel="0" collapsed="false">
      <c r="A161" s="251" t="n">
        <f aca="false">A52</f>
        <v>35</v>
      </c>
      <c r="B161" s="92" t="n">
        <f aca="false">B91</f>
        <v>1527.4696583317</v>
      </c>
      <c r="C161" s="92"/>
      <c r="D161" s="292"/>
      <c r="E161" s="293"/>
      <c r="F161" s="19"/>
      <c r="G161" s="19"/>
      <c r="H161" s="19"/>
      <c r="I161" s="19"/>
      <c r="J161" s="19"/>
      <c r="K161" s="19"/>
      <c r="L161" s="19"/>
      <c r="M161" s="209"/>
      <c r="N161" s="207"/>
      <c r="O161" s="207"/>
      <c r="P161" s="207"/>
      <c r="Q161" s="210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8.75" hidden="false" customHeight="true" outlineLevel="0" collapsed="false">
      <c r="A162" s="291"/>
      <c r="B162" s="292"/>
      <c r="C162" s="292"/>
      <c r="D162" s="292"/>
      <c r="E162" s="293"/>
      <c r="F162" s="19"/>
      <c r="G162" s="19"/>
      <c r="H162" s="19"/>
      <c r="I162" s="19"/>
      <c r="J162" s="19"/>
      <c r="K162" s="19"/>
      <c r="L162" s="19"/>
      <c r="M162" s="252"/>
      <c r="N162" s="253"/>
      <c r="O162" s="253"/>
      <c r="P162" s="253"/>
      <c r="Q162" s="254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8.75" hidden="false" customHeight="true" outlineLevel="0" collapsed="false">
      <c r="A163" s="291"/>
      <c r="B163" s="292"/>
      <c r="C163" s="292"/>
      <c r="D163" s="292"/>
      <c r="E163" s="293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8.75" hidden="false" customHeight="true" outlineLevel="0" collapsed="false">
      <c r="A164" s="291"/>
      <c r="B164" s="292"/>
      <c r="C164" s="292"/>
      <c r="D164" s="292"/>
      <c r="E164" s="293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8.75" hidden="false" customHeight="true" outlineLevel="0" collapsed="false">
      <c r="A165" s="291"/>
      <c r="B165" s="292"/>
      <c r="C165" s="292"/>
      <c r="D165" s="292"/>
      <c r="E165" s="293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8.75" hidden="false" customHeight="true" outlineLevel="0" collapsed="false">
      <c r="A166" s="342"/>
      <c r="B166" s="343"/>
      <c r="C166" s="343"/>
      <c r="D166" s="343"/>
      <c r="E166" s="344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8.75" hidden="false" customHeight="true" outlineLevel="0" collapsed="false">
      <c r="A167" s="394"/>
      <c r="B167" s="394"/>
      <c r="C167" s="394"/>
      <c r="D167" s="394"/>
      <c r="E167" s="394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8.75" hidden="false" customHeight="true" outlineLevel="0" collapsed="false">
      <c r="A168" s="394"/>
      <c r="B168" s="394"/>
      <c r="C168" s="394"/>
      <c r="D168" s="394"/>
      <c r="E168" s="394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8.75" hidden="false" customHeight="true" outlineLevel="0" collapsed="false">
      <c r="A169" s="394"/>
      <c r="B169" s="394"/>
      <c r="C169" s="394"/>
      <c r="D169" s="394"/>
      <c r="E169" s="394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8.75" hidden="false" customHeight="true" outlineLevel="0" collapsed="false">
      <c r="A170" s="394"/>
      <c r="B170" s="394"/>
      <c r="C170" s="394"/>
      <c r="D170" s="394"/>
      <c r="E170" s="394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8.75" hidden="false" customHeight="true" outlineLevel="0" collapsed="false">
      <c r="A171" s="328" t="s">
        <v>270</v>
      </c>
      <c r="B171" s="328"/>
      <c r="C171" s="328"/>
      <c r="D171" s="328"/>
      <c r="E171" s="328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8.75" hidden="false" customHeight="true" outlineLevel="0" collapsed="false">
      <c r="A172" s="291"/>
      <c r="B172" s="329"/>
      <c r="C172" s="329"/>
      <c r="D172" s="329"/>
      <c r="E172" s="293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8.75" hidden="false" customHeight="true" outlineLevel="0" collapsed="false">
      <c r="A173" s="294" t="s">
        <v>98</v>
      </c>
      <c r="B173" s="330" t="s">
        <v>174</v>
      </c>
      <c r="C173" s="331"/>
      <c r="D173" s="330" t="s">
        <v>33</v>
      </c>
      <c r="E173" s="297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8.75" hidden="false" customHeight="true" outlineLevel="0" collapsed="false">
      <c r="A174" s="298" t="s">
        <v>254</v>
      </c>
      <c r="B174" s="299" t="n">
        <f aca="false">A161</f>
        <v>35</v>
      </c>
      <c r="C174" s="333"/>
      <c r="D174" s="299" t="n">
        <f aca="false">D125</f>
        <v>35000</v>
      </c>
      <c r="E174" s="297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8.75" hidden="false" customHeight="true" outlineLevel="0" collapsed="false">
      <c r="A175" s="294"/>
      <c r="B175" s="330"/>
      <c r="C175" s="330"/>
      <c r="D175" s="330"/>
      <c r="E175" s="297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8.75" hidden="false" customHeight="true" outlineLevel="0" collapsed="false">
      <c r="A176" s="294" t="s">
        <v>92</v>
      </c>
      <c r="B176" s="330" t="s">
        <v>271</v>
      </c>
      <c r="C176" s="331"/>
      <c r="D176" s="330" t="s">
        <v>272</v>
      </c>
      <c r="E176" s="297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8.75" hidden="false" customHeight="true" outlineLevel="0" collapsed="false">
      <c r="A177" s="298" t="n">
        <f aca="false">B90</f>
        <v>1353.2956583317</v>
      </c>
      <c r="B177" s="331" t="n">
        <f aca="false">IF(A105="YES", B89, 0)</f>
        <v>174.174</v>
      </c>
      <c r="C177" s="333"/>
      <c r="D177" s="331" t="n">
        <f aca="false">B91</f>
        <v>1527.4696583317</v>
      </c>
      <c r="E177" s="297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8.75" hidden="false" customHeight="true" outlineLevel="0" collapsed="false">
      <c r="A178" s="291"/>
      <c r="B178" s="329"/>
      <c r="C178" s="329"/>
      <c r="D178" s="329"/>
      <c r="E178" s="293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8.75" hidden="false" customHeight="true" outlineLevel="0" collapsed="false">
      <c r="A179" s="304" t="s">
        <v>23</v>
      </c>
      <c r="B179" s="335" t="s">
        <v>277</v>
      </c>
      <c r="C179" s="223"/>
      <c r="D179" s="335" t="s">
        <v>278</v>
      </c>
      <c r="E179" s="293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8.75" hidden="false" customHeight="true" outlineLevel="0" collapsed="false">
      <c r="A180" s="309" t="str">
        <f aca="false">B99</f>
        <v>Monthly in advance</v>
      </c>
      <c r="B180" s="37" t="n">
        <f aca="false">B90*B57</f>
        <v>1353.2956583317</v>
      </c>
      <c r="C180" s="329"/>
      <c r="D180" s="37" t="n">
        <f aca="false">IF(A105="YES", B89*B57, 0)</f>
        <v>174.174</v>
      </c>
      <c r="E180" s="293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8.75" hidden="false" customHeight="true" outlineLevel="0" collapsed="false">
      <c r="A181" s="291"/>
      <c r="B181" s="329"/>
      <c r="C181" s="329"/>
      <c r="D181" s="329"/>
      <c r="E181" s="293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8.75" hidden="false" customHeight="true" outlineLevel="0" collapsed="false">
      <c r="A182" s="123" t="s">
        <v>283</v>
      </c>
      <c r="B182" s="38" t="s">
        <v>284</v>
      </c>
      <c r="C182" s="336"/>
      <c r="D182" s="233" t="s">
        <v>177</v>
      </c>
      <c r="E182" s="293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8.75" hidden="false" customHeight="true" outlineLevel="0" collapsed="false">
      <c r="A183" s="70" t="n">
        <f aca="false">B91*B57</f>
        <v>1527.4696583317</v>
      </c>
      <c r="B183" s="37" t="n">
        <f aca="false">E114</f>
        <v>4000</v>
      </c>
      <c r="C183" s="329"/>
      <c r="D183" s="337" t="n">
        <f aca="false">B58</f>
        <v>34</v>
      </c>
      <c r="E183" s="293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8.75" hidden="false" customHeight="true" outlineLevel="0" collapsed="false">
      <c r="A184" s="70"/>
      <c r="B184" s="338"/>
      <c r="C184" s="329"/>
      <c r="D184" s="329"/>
      <c r="E184" s="293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8.75" hidden="false" customHeight="true" outlineLevel="0" collapsed="false">
      <c r="A185" s="78" t="s">
        <v>92</v>
      </c>
      <c r="B185" s="339" t="s">
        <v>271</v>
      </c>
      <c r="C185" s="329"/>
      <c r="D185" s="329" t="s">
        <v>272</v>
      </c>
      <c r="E185" s="293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8.75" hidden="false" customHeight="true" outlineLevel="0" collapsed="false">
      <c r="A186" s="70" t="n">
        <f aca="false">B90</f>
        <v>1353.2956583317</v>
      </c>
      <c r="B186" s="37" t="n">
        <f aca="false">IF(A105="YES", B89, 0)</f>
        <v>174.174</v>
      </c>
      <c r="C186" s="329"/>
      <c r="D186" s="37" t="n">
        <f aca="false">B91</f>
        <v>1527.4696583317</v>
      </c>
      <c r="E186" s="293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8.75" hidden="false" customHeight="true" outlineLevel="0" collapsed="false">
      <c r="A187" s="291"/>
      <c r="B187" s="329"/>
      <c r="C187" s="329"/>
      <c r="D187" s="329"/>
      <c r="E187" s="293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8.75" hidden="false" customHeight="true" outlineLevel="0" collapsed="false">
      <c r="A188" s="314" t="s">
        <v>180</v>
      </c>
      <c r="B188" s="340" t="s">
        <v>291</v>
      </c>
      <c r="C188" s="37"/>
      <c r="D188" s="340" t="s">
        <v>182</v>
      </c>
      <c r="E188" s="177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8.75" hidden="false" customHeight="true" outlineLevel="0" collapsed="false">
      <c r="A189" s="316" t="n">
        <f aca="false">(G18*0.000006)*1.2*100</f>
        <v>41.6772</v>
      </c>
      <c r="B189" s="341" t="n">
        <f aca="false">IF(A105="YES", G18*0.000002, 0)*1.2*100</f>
        <v>13.8924</v>
      </c>
      <c r="C189" s="329"/>
      <c r="D189" s="341" t="n">
        <f aca="false">A189+B189</f>
        <v>55.5696</v>
      </c>
      <c r="E189" s="293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8.75" hidden="false" customHeight="true" outlineLevel="0" collapsed="false">
      <c r="A190" s="316"/>
      <c r="B190" s="341"/>
      <c r="C190" s="329"/>
      <c r="D190" s="341"/>
      <c r="E190" s="293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8.75" hidden="false" customHeight="true" outlineLevel="0" collapsed="false">
      <c r="A191" s="314" t="s">
        <v>295</v>
      </c>
      <c r="B191" s="340" t="s">
        <v>152</v>
      </c>
      <c r="C191" s="37"/>
      <c r="D191" s="340" t="s">
        <v>246</v>
      </c>
      <c r="E191" s="293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8.75" hidden="false" customHeight="true" outlineLevel="0" collapsed="false">
      <c r="A192" s="70" t="n">
        <v>0</v>
      </c>
      <c r="B192" s="37" t="n">
        <f aca="false">E118</f>
        <v>199.99</v>
      </c>
      <c r="C192" s="329"/>
      <c r="D192" s="152" t="n">
        <f aca="false">B102</f>
        <v>0</v>
      </c>
      <c r="E192" s="293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8.75" hidden="false" customHeight="true" outlineLevel="0" collapsed="false">
      <c r="A193" s="70"/>
      <c r="B193" s="37"/>
      <c r="C193" s="329"/>
      <c r="D193" s="37"/>
      <c r="E193" s="293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8.75" hidden="false" customHeight="true" outlineLevel="0" collapsed="false">
      <c r="A194" s="318" t="s">
        <v>298</v>
      </c>
      <c r="B194" s="319"/>
      <c r="C194" s="320"/>
      <c r="D194" s="319"/>
      <c r="E194" s="321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8.75" hidden="false" customHeight="true" outlineLevel="0" collapsed="false">
      <c r="A195" s="316"/>
      <c r="B195" s="341"/>
      <c r="C195" s="329"/>
      <c r="D195" s="341"/>
      <c r="E195" s="293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8.75" hidden="false" customHeight="true" outlineLevel="0" collapsed="false">
      <c r="A196" s="291" t="s">
        <v>299</v>
      </c>
      <c r="B196" s="329" t="s">
        <v>300</v>
      </c>
      <c r="C196" s="329"/>
      <c r="D196" s="329" t="s">
        <v>301</v>
      </c>
      <c r="E196" s="293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8.75" hidden="false" customHeight="true" outlineLevel="0" collapsed="false">
      <c r="A197" s="70" t="n">
        <f aca="false">B67</f>
        <v>1133.58125</v>
      </c>
      <c r="B197" s="37" t="n">
        <f aca="false">B102</f>
        <v>0</v>
      </c>
      <c r="C197" s="37"/>
      <c r="D197" s="37" t="n">
        <f aca="false">IF(A105="YES", (B40*B105)*B125, 0)*0.1</f>
        <v>140.679</v>
      </c>
      <c r="E197" s="177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8.75" hidden="false" customHeight="true" outlineLevel="0" collapsed="false">
      <c r="A198" s="291"/>
      <c r="B198" s="329"/>
      <c r="C198" s="329"/>
      <c r="D198" s="329"/>
      <c r="E198" s="293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8.75" hidden="false" customHeight="true" outlineLevel="0" collapsed="false">
      <c r="A199" s="291" t="s">
        <v>305</v>
      </c>
      <c r="B199" s="329" t="s">
        <v>297</v>
      </c>
      <c r="C199" s="329"/>
      <c r="D199" s="329" t="s">
        <v>294</v>
      </c>
      <c r="E199" s="293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8.75" hidden="false" customHeight="true" outlineLevel="0" collapsed="false">
      <c r="A200" s="70" t="n">
        <f aca="false">E118-100</f>
        <v>99.99</v>
      </c>
      <c r="B200" s="37" t="n">
        <f aca="false">(A148+B148+D148+A151)*(A143/B64)</f>
        <v>0</v>
      </c>
      <c r="C200" s="37"/>
      <c r="D200" s="37" t="n">
        <f aca="false">(A148+B148+D148+A151)-B151</f>
        <v>1374.25025</v>
      </c>
      <c r="E200" s="177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8.75" hidden="false" customHeight="true" outlineLevel="0" collapsed="false">
      <c r="A201" s="291"/>
      <c r="B201" s="329"/>
      <c r="C201" s="329"/>
      <c r="D201" s="329"/>
      <c r="E201" s="293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8.75" hidden="false" customHeight="true" outlineLevel="0" collapsed="false">
      <c r="A202" s="291" t="s">
        <v>306</v>
      </c>
      <c r="B202" s="329"/>
      <c r="C202" s="329"/>
      <c r="D202" s="329"/>
      <c r="E202" s="293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8.75" hidden="false" customHeight="true" outlineLevel="0" collapsed="false">
      <c r="A203" s="70" t="n">
        <f aca="false">D102</f>
        <v>0</v>
      </c>
      <c r="B203" s="37"/>
      <c r="C203" s="329"/>
      <c r="D203" s="329"/>
      <c r="E203" s="293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8.75" hidden="false" customHeight="true" outlineLevel="0" collapsed="false">
      <c r="A204" s="342"/>
      <c r="B204" s="343"/>
      <c r="C204" s="343"/>
      <c r="D204" s="343"/>
      <c r="E204" s="344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8.75" hidden="false" customHeight="true" outlineLevel="0" collapsed="false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8.75" hidden="false" customHeight="true" outlineLevel="0" collapsed="false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8.75" hidden="false" customHeight="true" outlineLevel="0" collapsed="false">
      <c r="A207" s="328" t="s">
        <v>185</v>
      </c>
      <c r="B207" s="328"/>
      <c r="C207" s="328"/>
      <c r="D207" s="328"/>
      <c r="E207" s="328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8.75" hidden="false" customHeight="true" outlineLevel="0" collapsed="false">
      <c r="A208" s="291"/>
      <c r="B208" s="292"/>
      <c r="C208" s="292"/>
      <c r="D208" s="292"/>
      <c r="E208" s="293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8.75" hidden="false" customHeight="true" outlineLevel="0" collapsed="false">
      <c r="A209" s="294" t="s">
        <v>186</v>
      </c>
      <c r="B209" s="345" t="n">
        <f aca="false">H35</f>
        <v>0.065</v>
      </c>
      <c r="C209" s="296" t="s">
        <v>188</v>
      </c>
      <c r="D209" s="346" t="n">
        <f aca="false">D64</f>
        <v>5993.509375</v>
      </c>
      <c r="E209" s="297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8.75" hidden="false" customHeight="true" outlineLevel="0" collapsed="false">
      <c r="A210" s="298"/>
      <c r="B210" s="299"/>
      <c r="C210" s="300"/>
      <c r="D210" s="299"/>
      <c r="E210" s="297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8.75" hidden="false" customHeight="true" outlineLevel="0" collapsed="false">
      <c r="A211" s="294" t="s">
        <v>189</v>
      </c>
      <c r="B211" s="296" t="n">
        <f aca="false">B219</f>
        <v>1133.58125</v>
      </c>
      <c r="C211" s="295" t="s">
        <v>190</v>
      </c>
      <c r="D211" s="346" t="n">
        <f aca="false">B225+E221+B221+B223</f>
        <v>1506.78</v>
      </c>
      <c r="E211" s="297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8.75" hidden="false" customHeight="true" outlineLevel="0" collapsed="false">
      <c r="A212" s="294"/>
      <c r="B212" s="347"/>
      <c r="C212" s="296"/>
      <c r="D212" s="295"/>
      <c r="E212" s="297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8.75" hidden="false" customHeight="true" outlineLevel="0" collapsed="false">
      <c r="A213" s="298" t="s">
        <v>191</v>
      </c>
      <c r="B213" s="296" t="n">
        <f aca="false">E223</f>
        <v>6366.708125</v>
      </c>
      <c r="C213" s="300"/>
      <c r="D213" s="296"/>
      <c r="E213" s="297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8.75" hidden="false" customHeight="true" outlineLevel="0" collapsed="false">
      <c r="A214" s="291"/>
      <c r="B214" s="313"/>
      <c r="C214" s="292"/>
      <c r="D214" s="292"/>
      <c r="E214" s="293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8.75" hidden="false" customHeight="true" outlineLevel="0" collapsed="false">
      <c r="A215" s="222" t="s">
        <v>186</v>
      </c>
      <c r="B215" s="348" t="n">
        <v>0.065</v>
      </c>
      <c r="C215" s="306"/>
      <c r="D215" s="305"/>
      <c r="E215" s="293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8.75" hidden="false" customHeight="true" outlineLevel="0" collapsed="false">
      <c r="A216" s="349"/>
      <c r="B216" s="200"/>
      <c r="C216" s="292"/>
      <c r="D216" s="201"/>
      <c r="E216" s="293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8.75" hidden="false" customHeight="true" outlineLevel="0" collapsed="false">
      <c r="A217" s="350" t="s">
        <v>188</v>
      </c>
      <c r="B217" s="60" t="n">
        <f aca="false">D64</f>
        <v>5993.509375</v>
      </c>
      <c r="C217" s="351" t="s">
        <v>194</v>
      </c>
      <c r="D217" s="292"/>
      <c r="E217" s="352" t="n">
        <f aca="false">B66</f>
        <v>0.0195833333333333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8.75" hidden="false" customHeight="true" outlineLevel="0" collapsed="false">
      <c r="A218" s="69"/>
      <c r="B218" s="200"/>
      <c r="C218" s="310"/>
      <c r="D218" s="240"/>
      <c r="E218" s="293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8.75" hidden="false" customHeight="true" outlineLevel="0" collapsed="false">
      <c r="A219" s="70" t="s">
        <v>194</v>
      </c>
      <c r="B219" s="60" t="n">
        <f aca="false">B67</f>
        <v>1133.58125</v>
      </c>
      <c r="C219" s="310" t="s">
        <v>307</v>
      </c>
      <c r="D219" s="353"/>
      <c r="E219" s="103" t="n">
        <v>0.001</v>
      </c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8.75" hidden="false" customHeight="true" outlineLevel="0" collapsed="false">
      <c r="A220" s="70"/>
      <c r="B220" s="313"/>
      <c r="C220" s="310"/>
      <c r="D220" s="292"/>
      <c r="E220" s="293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8.75" hidden="false" customHeight="true" outlineLevel="0" collapsed="false">
      <c r="A221" s="70" t="s">
        <v>307</v>
      </c>
      <c r="B221" s="233" t="n">
        <f aca="false">B197*E219*100</f>
        <v>0</v>
      </c>
      <c r="C221" s="310" t="s">
        <v>196</v>
      </c>
      <c r="D221" s="292"/>
      <c r="E221" s="20" t="n">
        <f aca="false">A200</f>
        <v>99.99</v>
      </c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18.75" hidden="false" customHeight="true" outlineLevel="0" collapsed="false">
      <c r="A222" s="70"/>
      <c r="B222" s="200"/>
      <c r="C222" s="310"/>
      <c r="D222" s="201"/>
      <c r="E222" s="293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18.75" hidden="false" customHeight="true" outlineLevel="0" collapsed="false">
      <c r="A223" s="350" t="s">
        <v>308</v>
      </c>
      <c r="B223" s="233" t="n">
        <f aca="false">B78-(B78*(E219*100))</f>
        <v>0</v>
      </c>
      <c r="C223" s="310" t="s">
        <v>191</v>
      </c>
      <c r="D223" s="292"/>
      <c r="E223" s="20" t="n">
        <f aca="false">(B217-B211+D211)</f>
        <v>6366.708125</v>
      </c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18.75" hidden="false" customHeight="true" outlineLevel="0" collapsed="false">
      <c r="A224" s="354"/>
      <c r="B224" s="315"/>
      <c r="C224" s="201"/>
      <c r="D224" s="315"/>
      <c r="E224" s="163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18.75" hidden="false" customHeight="true" outlineLevel="0" collapsed="false">
      <c r="A225" s="354" t="s">
        <v>309</v>
      </c>
      <c r="B225" s="315" t="n">
        <f aca="false">D197/0.1</f>
        <v>1406.79</v>
      </c>
      <c r="C225" s="201"/>
      <c r="D225" s="315"/>
      <c r="E225" s="163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18.75" hidden="false" customHeight="true" outlineLevel="0" collapsed="false">
      <c r="A226" s="354"/>
      <c r="B226" s="315"/>
      <c r="C226" s="201"/>
      <c r="D226" s="315"/>
      <c r="E226" s="163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customFormat="false" ht="18.75" hidden="false" customHeight="true" outlineLevel="0" collapsed="false">
      <c r="A227" s="318" t="s">
        <v>310</v>
      </c>
      <c r="B227" s="355"/>
      <c r="C227" s="320"/>
      <c r="D227" s="319"/>
      <c r="E227" s="321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18.75" hidden="false" customHeight="true" outlineLevel="0" collapsed="false">
      <c r="A228" s="316"/>
      <c r="B228" s="356"/>
      <c r="C228" s="292"/>
      <c r="D228" s="317"/>
      <c r="E228" s="293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18.75" hidden="false" customHeight="true" outlineLevel="0" collapsed="false">
      <c r="A229" s="316" t="s">
        <v>198</v>
      </c>
      <c r="B229" s="60" t="n">
        <f aca="false">B71</f>
        <v>200</v>
      </c>
      <c r="C229" s="310" t="s">
        <v>199</v>
      </c>
      <c r="D229" s="317"/>
      <c r="E229" s="150" t="n">
        <f aca="false">B72</f>
        <v>5</v>
      </c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18.75" hidden="false" customHeight="true" outlineLevel="0" collapsed="false">
      <c r="A230" s="316"/>
      <c r="B230" s="356"/>
      <c r="C230" s="310" t="s">
        <v>200</v>
      </c>
      <c r="D230" s="317"/>
      <c r="E230" s="20" t="n">
        <f aca="false">D73</f>
        <v>375</v>
      </c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18.75" hidden="false" customHeight="true" outlineLevel="0" collapsed="false">
      <c r="A231" s="316" t="s">
        <v>201</v>
      </c>
      <c r="B231" s="357" t="n">
        <f aca="false">B68</f>
        <v>0.0075</v>
      </c>
      <c r="C231" s="310" t="s">
        <v>202</v>
      </c>
      <c r="D231" s="317"/>
      <c r="E231" s="352" t="n">
        <f aca="false">B69</f>
        <v>0.12</v>
      </c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8.75" hidden="false" customHeight="true" outlineLevel="0" collapsed="false">
      <c r="A232" s="316"/>
      <c r="B232" s="356"/>
      <c r="C232" s="310" t="s">
        <v>203</v>
      </c>
      <c r="D232" s="317"/>
      <c r="E232" s="20" t="n">
        <f aca="false">B86</f>
        <v>397.868923549521</v>
      </c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18.75" hidden="false" customHeight="true" outlineLevel="0" collapsed="false">
      <c r="A233" s="316" t="s">
        <v>204</v>
      </c>
      <c r="B233" s="60" t="n">
        <f aca="false">B79</f>
        <v>200</v>
      </c>
      <c r="C233" s="358" t="s">
        <v>311</v>
      </c>
      <c r="D233" s="359"/>
      <c r="E233" s="150" t="n">
        <f aca="false">B74</f>
        <v>0</v>
      </c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18.75" hidden="false" customHeight="true" outlineLevel="0" collapsed="false">
      <c r="A234" s="350"/>
      <c r="B234" s="313"/>
      <c r="C234" s="358"/>
      <c r="D234" s="360"/>
      <c r="E234" s="361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18.75" hidden="false" customHeight="true" outlineLevel="0" collapsed="false">
      <c r="A235" s="70" t="s">
        <v>205</v>
      </c>
      <c r="B235" s="60" t="n">
        <f aca="false">B80</f>
        <v>200</v>
      </c>
      <c r="C235" s="362" t="s">
        <v>312</v>
      </c>
      <c r="D235" s="362"/>
      <c r="E235" s="150" t="n">
        <f aca="false">B75</f>
        <v>0</v>
      </c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18.75" hidden="false" customHeight="true" outlineLevel="0" collapsed="false">
      <c r="A236" s="291"/>
      <c r="B236" s="292"/>
      <c r="C236" s="292"/>
      <c r="D236" s="292"/>
      <c r="E236" s="293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18.75" hidden="false" customHeight="true" outlineLevel="0" collapsed="false">
      <c r="A237" s="291"/>
      <c r="B237" s="292"/>
      <c r="C237" s="292"/>
      <c r="D237" s="292"/>
      <c r="E237" s="293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18.75" hidden="false" customHeight="true" outlineLevel="0" collapsed="false">
      <c r="A238" s="70"/>
      <c r="B238" s="201"/>
      <c r="C238" s="201"/>
      <c r="D238" s="201"/>
      <c r="E238" s="177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18.75" hidden="false" customHeight="true" outlineLevel="0" collapsed="false">
      <c r="A239" s="291"/>
      <c r="B239" s="292"/>
      <c r="C239" s="292"/>
      <c r="D239" s="292"/>
      <c r="E239" s="293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18.75" hidden="false" customHeight="true" outlineLevel="0" collapsed="false">
      <c r="A240" s="291"/>
      <c r="B240" s="292"/>
      <c r="C240" s="292"/>
      <c r="D240" s="292"/>
      <c r="E240" s="293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18.75" hidden="false" customHeight="true" outlineLevel="0" collapsed="false">
      <c r="A241" s="70"/>
      <c r="B241" s="201"/>
      <c r="C241" s="292"/>
      <c r="D241" s="292"/>
      <c r="E241" s="293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18.75" hidden="false" customHeight="true" outlineLevel="0" collapsed="false">
      <c r="A242" s="342"/>
      <c r="B242" s="343"/>
      <c r="C242" s="343"/>
      <c r="D242" s="343"/>
      <c r="E242" s="344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18.75" hidden="false" customHeight="tru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18.75" hidden="false" customHeight="tru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18.75" hidden="false" customHeight="tru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18.75" hidden="false" customHeight="tru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18.75" hidden="false" customHeight="tru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18.75" hidden="false" customHeight="tru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18.75" hidden="false" customHeight="tru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18.75" hidden="false" customHeight="tru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18.75" hidden="false" customHeight="tru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18.75" hidden="false" customHeight="tru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18.75" hidden="false" customHeight="tru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18.75" hidden="false" customHeight="tru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18.75" hidden="false" customHeight="tru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18.75" hidden="false" customHeight="tru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18.75" hidden="false" customHeight="tru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18.75" hidden="false" customHeight="tru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18.75" hidden="false" customHeight="tru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18.75" hidden="false" customHeight="tru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18.75" hidden="false" customHeight="tru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18.75" hidden="false" customHeight="tru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18.75" hidden="false" customHeight="tru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18.75" hidden="false" customHeight="tru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18.75" hidden="false" customHeight="tru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18.75" hidden="false" customHeight="tru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18.75" hidden="false" customHeight="tru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18.75" hidden="false" customHeight="tru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18.75" hidden="false" customHeight="tru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18.75" hidden="false" customHeight="tru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18.75" hidden="false" customHeight="tru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18.75" hidden="false" customHeight="tru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18.75" hidden="false" customHeight="tru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18.75" hidden="false" customHeight="tru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18.75" hidden="false" customHeight="tru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18.75" hidden="false" customHeight="tru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18.75" hidden="false" customHeight="tru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18.75" hidden="false" customHeight="tru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18.75" hidden="false" customHeight="tru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18.75" hidden="false" customHeight="tru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18.75" hidden="false" customHeight="tru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18.75" hidden="false" customHeight="tru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18.75" hidden="false" customHeight="tru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18.75" hidden="false" customHeight="tru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18.75" hidden="false" customHeight="tru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18.75" hidden="false" customHeight="tru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18.75" hidden="false" customHeight="tru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18.75" hidden="false" customHeight="tru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18.75" hidden="false" customHeight="tru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18.75" hidden="false" customHeight="tru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18.75" hidden="false" customHeight="tru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18.75" hidden="false" customHeight="tru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18.75" hidden="false" customHeight="tru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18.75" hidden="false" customHeight="tru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18.75" hidden="false" customHeight="tru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18.75" hidden="false" customHeight="tru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18.75" hidden="false" customHeight="tru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18.75" hidden="false" customHeight="tru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18.75" hidden="false" customHeight="tru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18.75" hidden="false" customHeight="tru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18.75" hidden="false" customHeight="tru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18.75" hidden="false" customHeight="tru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18.75" hidden="false" customHeight="tru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18.75" hidden="false" customHeight="tru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18.75" hidden="false" customHeight="tru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18.75" hidden="false" customHeight="tru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18.75" hidden="false" customHeight="tru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18.75" hidden="false" customHeight="tru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18.75" hidden="false" customHeight="tru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18.75" hidden="false" customHeight="tru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18.75" hidden="false" customHeight="tru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18.75" hidden="false" customHeight="tru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18.75" hidden="false" customHeight="tru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18.75" hidden="false" customHeight="tru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18.75" hidden="false" customHeight="tru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18.75" hidden="false" customHeight="tru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18.75" hidden="false" customHeight="tru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18.75" hidden="false" customHeight="tru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18.75" hidden="false" customHeight="tru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18.75" hidden="false" customHeight="tru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18.75" hidden="false" customHeight="tru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18.75" hidden="false" customHeight="tru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18.75" hidden="false" customHeight="tru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18.75" hidden="false" customHeight="tru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18.75" hidden="false" customHeight="tru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18.75" hidden="false" customHeight="tru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18.75" hidden="false" customHeight="tru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18.75" hidden="false" customHeight="tru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18.75" hidden="false" customHeight="tru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18.75" hidden="false" customHeight="tru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18.75" hidden="false" customHeight="tru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18.75" hidden="false" customHeight="tru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18.75" hidden="false" customHeight="tru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18.75" hidden="false" customHeight="tru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18.75" hidden="false" customHeight="tru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18.75" hidden="false" customHeight="tru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18.75" hidden="false" customHeight="tru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18.75" hidden="false" customHeight="tru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18.75" hidden="false" customHeight="tru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18.75" hidden="false" customHeight="tru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18.75" hidden="false" customHeight="tru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18.75" hidden="false" customHeight="tru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18.75" hidden="false" customHeight="tru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18.75" hidden="false" customHeight="tru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18.75" hidden="false" customHeight="tru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18.75" hidden="false" customHeight="tru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18.75" hidden="false" customHeight="tru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18.75" hidden="false" customHeight="tru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18.75" hidden="false" customHeight="tru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18.75" hidden="false" customHeight="tru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18.75" hidden="false" customHeight="tru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18.75" hidden="false" customHeight="tru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18.75" hidden="false" customHeight="true" outlineLevel="0" collapsed="false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customFormat="false" ht="18.75" hidden="false" customHeight="true" outlineLevel="0" collapsed="false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customFormat="false" ht="18.75" hidden="false" customHeight="tru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8">
    <dataValidation allowBlank="true" operator="between" showDropDown="false" showErrorMessage="true" showInputMessage="false" sqref="H99 N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A18:A20" type="list">
      <formula1>#ref!</formula1>
      <formula2>0</formula2>
    </dataValidation>
    <dataValidation allowBlank="true" operator="between" showDropDown="false" showErrorMessage="true" showInputMessage="false" sqref="B99" type="list">
      <formula1>'Formula1-FL'!$Y$97:$Y$105</formula1>
      <formula2>0</formula2>
    </dataValidation>
    <dataValidation allowBlank="true" operator="between" showDropDown="false" showErrorMessage="true" showInputMessage="false" sqref="C107" type="list">
      <formula1>"YES,NO"</formula1>
      <formula2>0</formula2>
    </dataValidation>
    <dataValidation allowBlank="true" operator="between" showDropDown="false" showErrorMessage="true" showInputMessage="false" sqref="B26" type="list">
      <formula1>'Formula1-FL'!$I$2:$I$3</formula1>
      <formula2>0</formula2>
    </dataValidation>
    <dataValidation allowBlank="true" operator="between" showDropDown="false" showErrorMessage="true" showInputMessage="false" sqref="A105" type="list">
      <formula1>'Formula1-FL'!$I$2:$I$3</formula1>
      <formula2>0</formula2>
    </dataValidation>
    <dataValidation allowBlank="true" operator="between" showDropDown="false" showErrorMessage="true" showInputMessage="false" sqref="B110" type="list">
      <formula1>'Formula1-FL'!$I$2:$I$3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B85" activeCellId="0" sqref="B85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396" t="s">
        <v>324</v>
      </c>
      <c r="B1" s="396"/>
      <c r="C1" s="396"/>
      <c r="D1" s="396"/>
      <c r="E1" s="396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8.75" hidden="false" customHeight="true" outlineLevel="0" collapsed="false">
      <c r="A2" s="261"/>
      <c r="B2" s="474" t="s">
        <v>115</v>
      </c>
      <c r="C2" s="474" t="s">
        <v>116</v>
      </c>
      <c r="D2" s="474" t="s">
        <v>117</v>
      </c>
      <c r="E2" s="399" t="s">
        <v>118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8.75" hidden="false" customHeight="true" outlineLevel="0" collapsed="false">
      <c r="A3" s="209" t="s">
        <v>121</v>
      </c>
      <c r="B3" s="363" t="n">
        <v>46854.17</v>
      </c>
      <c r="C3" s="475" t="n">
        <v>0</v>
      </c>
      <c r="D3" s="363" t="n">
        <v>833.33</v>
      </c>
      <c r="E3" s="476" t="n">
        <v>0</v>
      </c>
      <c r="F3" s="19"/>
      <c r="G3" s="19" t="n">
        <v>25000</v>
      </c>
      <c r="H3" s="19"/>
      <c r="I3" s="19" t="s">
        <v>9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8.75" hidden="false" customHeight="true" outlineLevel="0" collapsed="false">
      <c r="A4" s="209" t="s">
        <v>122</v>
      </c>
      <c r="B4" s="0" t="n">
        <v>0</v>
      </c>
      <c r="C4" s="0" t="n">
        <v>0</v>
      </c>
      <c r="D4" s="0" t="n">
        <v>0</v>
      </c>
      <c r="E4" s="260"/>
      <c r="F4" s="19"/>
      <c r="G4" s="19"/>
      <c r="H4" s="19"/>
      <c r="I4" s="19" t="s">
        <v>10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8.75" hidden="false" customHeight="true" outlineLevel="0" collapsed="false">
      <c r="A5" s="209" t="s">
        <v>123</v>
      </c>
      <c r="B5" s="475" t="n">
        <v>0</v>
      </c>
      <c r="C5" s="475" t="n">
        <v>0</v>
      </c>
      <c r="D5" s="475" t="n">
        <v>0</v>
      </c>
      <c r="E5" s="273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8.75" hidden="false" customHeight="true" outlineLevel="0" collapsed="false">
      <c r="A6" s="209" t="s">
        <v>124</v>
      </c>
      <c r="B6" s="79" t="n">
        <f aca="false">(B3*B4/100)+B5</f>
        <v>0</v>
      </c>
      <c r="C6" s="79" t="n">
        <f aca="false">(C3*C4/100)+C5</f>
        <v>0</v>
      </c>
      <c r="D6" s="79" t="n">
        <f aca="false">(D3*D4/100)+D5</f>
        <v>0</v>
      </c>
      <c r="E6" s="273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8.75" hidden="false" customHeight="true" outlineLevel="0" collapsed="false">
      <c r="A7" s="209" t="s">
        <v>125</v>
      </c>
      <c r="B7" s="79" t="n">
        <f aca="false">B3-B6</f>
        <v>46854.17</v>
      </c>
      <c r="C7" s="79" t="n">
        <f aca="false">C3-C6</f>
        <v>0</v>
      </c>
      <c r="D7" s="79" t="n">
        <f aca="false">D3-D6</f>
        <v>833.33</v>
      </c>
      <c r="E7" s="273"/>
      <c r="F7" s="19"/>
      <c r="G7" s="368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8.75" hidden="false" customHeight="true" outlineLevel="0" collapsed="false">
      <c r="A8" s="209"/>
      <c r="B8" s="207"/>
      <c r="C8" s="207"/>
      <c r="D8" s="207"/>
      <c r="E8" s="210"/>
      <c r="F8" s="19"/>
      <c r="G8" s="369" t="n">
        <f aca="false">G9*100/B3</f>
        <v>-222.685622218897</v>
      </c>
      <c r="H8" s="19"/>
      <c r="I8" s="26" t="s">
        <v>3</v>
      </c>
      <c r="J8" s="27" t="n">
        <f aca="false">E13+E14</f>
        <v>640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8.75" hidden="false" customHeight="true" outlineLevel="0" collapsed="false">
      <c r="A9" s="402" t="s">
        <v>133</v>
      </c>
      <c r="B9" s="402"/>
      <c r="C9" s="402"/>
      <c r="D9" s="402"/>
      <c r="E9" s="477" t="n">
        <f aca="false">(B7+C7+D7+E3)</f>
        <v>47687.5</v>
      </c>
      <c r="F9" s="19"/>
      <c r="G9" s="368" t="n">
        <f aca="false">E9-G11</f>
        <v>-104337.5</v>
      </c>
      <c r="H9" s="19"/>
      <c r="I9" s="27"/>
      <c r="J9" s="27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8.75" hidden="false" customHeight="true" outlineLevel="0" collapsed="false">
      <c r="A10" s="404" t="s">
        <v>134</v>
      </c>
      <c r="B10" s="404"/>
      <c r="C10" s="404"/>
      <c r="D10" s="404"/>
      <c r="E10" s="476" t="n">
        <v>550</v>
      </c>
      <c r="F10" s="19"/>
      <c r="G10" s="368"/>
      <c r="H10" s="19"/>
      <c r="I10" s="32" t="s">
        <v>1</v>
      </c>
      <c r="J10" s="27" t="n">
        <f aca="false">E15-E11-J8</f>
        <v>48237.5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8.75" hidden="false" customHeight="true" outlineLevel="0" collapsed="false">
      <c r="A11" s="404" t="s">
        <v>135</v>
      </c>
      <c r="B11" s="404"/>
      <c r="C11" s="404"/>
      <c r="D11" s="404"/>
      <c r="E11" s="273" t="n">
        <f aca="false">( E9 + E10 ) * 0.2</f>
        <v>9647.5</v>
      </c>
      <c r="F11" s="19"/>
      <c r="G11" s="368" t="n">
        <f aca="false">G13/1.2</f>
        <v>152025</v>
      </c>
      <c r="H11" s="19"/>
      <c r="I11" s="27"/>
      <c r="J11" s="27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8.75" hidden="false" customHeight="true" outlineLevel="0" collapsed="false">
      <c r="A12" s="404" t="s">
        <v>136</v>
      </c>
      <c r="B12" s="404"/>
      <c r="C12" s="404"/>
      <c r="D12" s="404"/>
      <c r="E12" s="476" t="n"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8.75" hidden="false" customHeight="true" outlineLevel="0" collapsed="false">
      <c r="A13" s="404" t="s">
        <v>137</v>
      </c>
      <c r="B13" s="404"/>
      <c r="C13" s="404"/>
      <c r="D13" s="404"/>
      <c r="E13" s="476" t="n">
        <v>585</v>
      </c>
      <c r="F13" s="19"/>
      <c r="G13" s="368" t="n">
        <f aca="false">G15-E14-E13-E12</f>
        <v>182430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8.75" hidden="false" customHeight="true" outlineLevel="0" collapsed="false">
      <c r="A14" s="404" t="s">
        <v>138</v>
      </c>
      <c r="B14" s="404"/>
      <c r="C14" s="404"/>
      <c r="D14" s="404"/>
      <c r="E14" s="476" t="n">
        <v>55</v>
      </c>
      <c r="F14" s="19"/>
      <c r="G14" s="19" t="s">
        <v>13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8.75" hidden="false" customHeight="true" outlineLevel="0" collapsed="false">
      <c r="A15" s="404" t="s">
        <v>139</v>
      </c>
      <c r="B15" s="404"/>
      <c r="C15" s="404"/>
      <c r="D15" s="404"/>
      <c r="E15" s="478" t="n">
        <f aca="false">(E9+E10+E13+E14+E11) - E12</f>
        <v>58525</v>
      </c>
      <c r="F15" s="19"/>
      <c r="G15" s="205" t="n">
        <v>183070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8.75" hidden="false" customHeight="true" outlineLevel="0" collapsed="false">
      <c r="A16" s="404" t="s">
        <v>140</v>
      </c>
      <c r="B16" s="404"/>
      <c r="C16" s="404"/>
      <c r="D16" s="404"/>
      <c r="E16" s="476" t="n">
        <v>0</v>
      </c>
      <c r="F16" s="19"/>
      <c r="G16" s="370" t="n">
        <f aca="false">(B3+C3+E10)*1.2</f>
        <v>56885.004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6" t="s">
        <v>15</v>
      </c>
      <c r="Z16" s="19"/>
    </row>
    <row r="17" customFormat="false" ht="18.75" hidden="false" customHeight="true" outlineLevel="0" collapsed="false">
      <c r="A17" s="349" t="s">
        <v>141</v>
      </c>
      <c r="B17" s="349"/>
      <c r="C17" s="349"/>
      <c r="D17" s="349"/>
      <c r="E17" s="210" t="n">
        <v>0</v>
      </c>
      <c r="F17" s="19"/>
      <c r="G17" s="19" t="s">
        <v>16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6" t="s">
        <v>17</v>
      </c>
      <c r="Z17" s="19"/>
    </row>
    <row r="18" customFormat="false" ht="18.75" hidden="false" customHeight="true" outlineLevel="0" collapsed="false">
      <c r="A18" s="405" t="s">
        <v>15</v>
      </c>
      <c r="B18" s="406" t="s">
        <v>142</v>
      </c>
      <c r="C18" s="406"/>
      <c r="D18" s="406"/>
      <c r="E18" s="479" t="n">
        <v>0</v>
      </c>
      <c r="F18" s="19"/>
      <c r="G18" s="205" t="n">
        <f aca="false">(B3+C3+D3+E3+E10)*1.2</f>
        <v>57885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6" t="s">
        <v>18</v>
      </c>
      <c r="Z18" s="19"/>
    </row>
    <row r="19" customFormat="false" ht="18.75" hidden="false" customHeight="true" outlineLevel="0" collapsed="false">
      <c r="A19" s="405" t="s">
        <v>17</v>
      </c>
      <c r="B19" s="406" t="s">
        <v>142</v>
      </c>
      <c r="C19" s="406"/>
      <c r="D19" s="406"/>
      <c r="E19" s="479" t="n"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 t="s">
        <v>9</v>
      </c>
    </row>
    <row r="20" customFormat="false" ht="18.75" hidden="false" customHeight="true" outlineLevel="0" collapsed="false">
      <c r="A20" s="405" t="s">
        <v>18</v>
      </c>
      <c r="B20" s="406" t="s">
        <v>142</v>
      </c>
      <c r="C20" s="406"/>
      <c r="D20" s="406"/>
      <c r="E20" s="479" t="n"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 t="s">
        <v>10</v>
      </c>
    </row>
    <row r="21" customFormat="false" ht="18.75" hidden="false" customHeight="true" outlineLevel="0" collapsed="false">
      <c r="A21" s="407" t="s">
        <v>143</v>
      </c>
      <c r="B21" s="407"/>
      <c r="C21" s="407"/>
      <c r="D21" s="407"/>
      <c r="E21" s="480" t="n">
        <f aca="false">E15-((E18*1.2)+(E19*1.2)+(E20*1.2)+(E16*1.2))</f>
        <v>58525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8.75" hidden="false" customHeight="true" outlineLevel="0" collapsed="false">
      <c r="A22" s="207"/>
      <c r="B22" s="207"/>
      <c r="C22" s="207"/>
      <c r="D22" s="207"/>
      <c r="E22" s="207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8.75" hidden="false" customHeight="true" outlineLevel="0" collapsed="false">
      <c r="A23" s="207"/>
      <c r="B23" s="207"/>
      <c r="C23" s="207"/>
      <c r="D23" s="207"/>
      <c r="E23" s="207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45.75" hidden="false" customHeight="true" outlineLevel="0" collapsed="false">
      <c r="A24" s="208" t="s">
        <v>21</v>
      </c>
      <c r="B24" s="208"/>
      <c r="C24" s="208"/>
      <c r="D24" s="208"/>
      <c r="E24" s="20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8.75" hidden="false" customHeight="true" outlineLevel="0" collapsed="false">
      <c r="A25" s="209"/>
      <c r="B25" s="207"/>
      <c r="C25" s="207"/>
      <c r="D25" s="207"/>
      <c r="E25" s="21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8.75" hidden="false" customHeight="true" outlineLevel="0" collapsed="false">
      <c r="A26" s="214" t="s">
        <v>22</v>
      </c>
      <c r="B26" s="216" t="s">
        <v>10</v>
      </c>
      <c r="C26" s="207"/>
      <c r="D26" s="207"/>
      <c r="E26" s="210"/>
      <c r="F26" s="19"/>
      <c r="G26" s="212" t="s">
        <v>23</v>
      </c>
      <c r="H26" s="212" t="s">
        <v>24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8.75" hidden="false" customHeight="true" outlineLevel="0" collapsed="false">
      <c r="A27" s="209"/>
      <c r="B27" s="207"/>
      <c r="C27" s="207"/>
      <c r="D27" s="207"/>
      <c r="E27" s="210"/>
      <c r="F27" s="19"/>
      <c r="G27" s="213" t="s">
        <v>25</v>
      </c>
      <c r="H27" s="213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8.75" hidden="false" customHeight="true" outlineLevel="0" collapsed="false">
      <c r="A28" s="211" t="s">
        <v>153</v>
      </c>
      <c r="B28" s="211"/>
      <c r="C28" s="211"/>
      <c r="D28" s="211"/>
      <c r="E28" s="211"/>
      <c r="F28" s="19"/>
      <c r="G28" s="213" t="s">
        <v>27</v>
      </c>
      <c r="H28" s="213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8.75" hidden="false" customHeight="true" outlineLevel="0" collapsed="false">
      <c r="A29" s="209"/>
      <c r="B29" s="207"/>
      <c r="C29" s="207"/>
      <c r="D29" s="207"/>
      <c r="E29" s="210"/>
      <c r="F29" s="19"/>
      <c r="G29" s="212" t="s">
        <v>214</v>
      </c>
      <c r="H29" s="371" t="n">
        <v>22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8.75" hidden="false" customHeight="true" outlineLevel="0" collapsed="false">
      <c r="A30" s="209" t="s">
        <v>29</v>
      </c>
      <c r="B30" s="168" t="s">
        <v>30</v>
      </c>
      <c r="C30" s="168"/>
      <c r="D30" s="207"/>
      <c r="E30" s="210"/>
      <c r="F30" s="19"/>
      <c r="G30" s="212" t="s">
        <v>31</v>
      </c>
      <c r="H30" s="371" t="n">
        <v>22000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8.75" hidden="false" customHeight="true" outlineLevel="0" collapsed="false">
      <c r="A31" s="209"/>
      <c r="B31" s="207"/>
      <c r="C31" s="207"/>
      <c r="D31" s="207"/>
      <c r="E31" s="210"/>
      <c r="F31" s="19"/>
      <c r="G31" s="212" t="s">
        <v>32</v>
      </c>
      <c r="H31" s="62" t="n">
        <v>28900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8.75" hidden="false" customHeight="true" outlineLevel="0" collapsed="false">
      <c r="A32" s="209" t="s">
        <v>28</v>
      </c>
      <c r="B32" s="207" t="s">
        <v>33</v>
      </c>
      <c r="C32" s="207"/>
      <c r="D32" s="372" t="s">
        <v>34</v>
      </c>
      <c r="E32" s="210"/>
      <c r="F32" s="19"/>
      <c r="G32" s="212" t="s">
        <v>35</v>
      </c>
      <c r="I32" s="62" t="n">
        <v>0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31.6" hidden="false" customHeight="true" outlineLevel="0" collapsed="false">
      <c r="A33" s="222" t="n">
        <f aca="false">A52</f>
        <v>22</v>
      </c>
      <c r="B33" s="174" t="n">
        <v>10000</v>
      </c>
      <c r="C33" s="223"/>
      <c r="D33" s="373" t="n">
        <f aca="false">H48</f>
        <v>1334.55835324858</v>
      </c>
      <c r="E33" s="210"/>
      <c r="F33" s="19"/>
      <c r="G33" s="213" t="s">
        <v>36</v>
      </c>
      <c r="H33" s="374" t="n">
        <f aca="false">E21-E11+((E16*20%)+(E19*20%)+(E20*20%))</f>
        <v>48877.5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8.75" hidden="false" customHeight="true" outlineLevel="0" collapsed="false">
      <c r="A34" s="209"/>
      <c r="B34" s="207"/>
      <c r="C34" s="207"/>
      <c r="D34" s="207"/>
      <c r="E34" s="210"/>
      <c r="F34" s="19"/>
      <c r="G34" s="19" t="s">
        <v>316</v>
      </c>
      <c r="H34" s="19" t="n">
        <f aca="false">H29</f>
        <v>22</v>
      </c>
      <c r="I34" s="19" t="n">
        <v>43957.29</v>
      </c>
      <c r="J34" s="19" t="n">
        <v>841.24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8.75" hidden="false" customHeight="true" outlineLevel="0" collapsed="false">
      <c r="A35" s="209" t="s">
        <v>37</v>
      </c>
      <c r="B35" s="207" t="s">
        <v>38</v>
      </c>
      <c r="C35" s="207"/>
      <c r="D35" s="207" t="s">
        <v>39</v>
      </c>
      <c r="E35" s="210"/>
      <c r="F35" s="19"/>
      <c r="G35" s="225" t="s">
        <v>40</v>
      </c>
      <c r="H35" s="226" t="n">
        <v>0.065</v>
      </c>
      <c r="I35" s="19" t="n">
        <v>46215.83</v>
      </c>
      <c r="J35" s="19" t="n">
        <v>909.69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8.75" hidden="false" customHeight="true" outlineLevel="0" collapsed="false">
      <c r="A36" s="69" t="n">
        <f aca="false">H47</f>
        <v>1334.55835324858</v>
      </c>
      <c r="B36" s="37" t="str">
        <f aca="false">IF(B26="YES", H42, "")</f>
        <v/>
      </c>
      <c r="C36" s="215"/>
      <c r="D36" s="232" t="n">
        <f aca="false">H31</f>
        <v>28900</v>
      </c>
      <c r="E36" s="210"/>
      <c r="F36" s="19"/>
      <c r="G36" s="19"/>
      <c r="H36" s="19"/>
      <c r="I36" s="19" t="n">
        <f aca="false">I35-I34</f>
        <v>2258.54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8.75" hidden="false" customHeight="true" outlineLevel="0" collapsed="false">
      <c r="A37" s="70"/>
      <c r="B37" s="37"/>
      <c r="C37" s="215"/>
      <c r="D37" s="37"/>
      <c r="E37" s="210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8.75" hidden="false" customHeight="true" outlineLevel="0" collapsed="false">
      <c r="A38" s="209"/>
      <c r="B38" s="207"/>
      <c r="C38" s="207"/>
      <c r="D38" s="207"/>
      <c r="E38" s="210"/>
      <c r="F38" s="19"/>
      <c r="G38" s="237" t="s">
        <v>42</v>
      </c>
      <c r="H38" s="237"/>
      <c r="I38" s="22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8.75" hidden="false" customHeight="true" outlineLevel="0" collapsed="false">
      <c r="A39" s="209" t="s">
        <v>43</v>
      </c>
      <c r="B39" s="207" t="s">
        <v>44</v>
      </c>
      <c r="C39" s="207"/>
      <c r="D39" s="207" t="s">
        <v>45</v>
      </c>
      <c r="E39" s="210"/>
      <c r="F39" s="19"/>
      <c r="G39" s="19" t="s">
        <v>46</v>
      </c>
      <c r="H39" s="228" t="n">
        <f aca="false">H33</f>
        <v>48877.5</v>
      </c>
      <c r="I39" s="228" t="n">
        <f aca="false">(I48*H46)+H44</f>
        <v>50231.2921912742</v>
      </c>
      <c r="J39" s="22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8.75" hidden="false" customHeight="true" outlineLevel="0" collapsed="false">
      <c r="A40" s="72" t="n">
        <f aca="false">D36*A45/100</f>
        <v>28900</v>
      </c>
      <c r="B40" s="72" t="str">
        <f aca="false">IF(B26="YES",H42,"0")</f>
        <v>0</v>
      </c>
      <c r="C40" s="72"/>
      <c r="D40" s="232" t="n">
        <f aca="false">I32</f>
        <v>0</v>
      </c>
      <c r="E40" s="210"/>
      <c r="F40" s="19"/>
      <c r="G40" s="19" t="s">
        <v>47</v>
      </c>
      <c r="H40" s="228" t="n">
        <f aca="false">(A40)/1.2</f>
        <v>24083.3333333333</v>
      </c>
      <c r="I40" s="228" t="n">
        <f aca="false">H39-I39</f>
        <v>-1353.79219127425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8.75" hidden="false" customHeight="true" outlineLevel="0" collapsed="false">
      <c r="A41" s="209"/>
      <c r="B41" s="207"/>
      <c r="C41" s="207"/>
      <c r="D41" s="207"/>
      <c r="E41" s="210"/>
      <c r="F41" s="19"/>
      <c r="G41" s="19" t="s">
        <v>48</v>
      </c>
      <c r="H41" s="235" t="n">
        <f aca="false">H35/12</f>
        <v>0.00541666666666667</v>
      </c>
      <c r="I41" s="22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8.75" hidden="false" customHeight="true" outlineLevel="0" collapsed="false">
      <c r="A42" s="209"/>
      <c r="B42" s="207"/>
      <c r="C42" s="207"/>
      <c r="D42" s="207"/>
      <c r="E42" s="210"/>
      <c r="F42" s="19"/>
      <c r="G42" s="19" t="s">
        <v>49</v>
      </c>
      <c r="H42" s="228" t="n">
        <f aca="false">(I32/H34)*(C45/100)</f>
        <v>0</v>
      </c>
      <c r="I42" s="22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8.75" hidden="false" customHeight="true" outlineLevel="0" collapsed="false">
      <c r="A43" s="255"/>
      <c r="B43" s="256"/>
      <c r="C43" s="256"/>
      <c r="D43" s="256"/>
      <c r="E43" s="257"/>
      <c r="F43" s="19"/>
      <c r="G43" s="19" t="s">
        <v>50</v>
      </c>
      <c r="H43" s="19"/>
      <c r="I43" s="22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8.75" hidden="false" customHeight="true" outlineLevel="0" collapsed="false">
      <c r="A44" s="375" t="s">
        <v>51</v>
      </c>
      <c r="B44" s="207"/>
      <c r="C44" s="339" t="s">
        <v>52</v>
      </c>
      <c r="D44" s="339"/>
      <c r="E44" s="210"/>
      <c r="F44" s="19"/>
      <c r="G44" s="19" t="s">
        <v>317</v>
      </c>
      <c r="H44" s="228" t="n">
        <f aca="false">(H40/(1+H41)^(H34+1))</f>
        <v>21269.4741156504</v>
      </c>
      <c r="I44" s="228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8.75" hidden="false" customHeight="true" outlineLevel="0" collapsed="false">
      <c r="A45" s="376" t="n">
        <v>100</v>
      </c>
      <c r="B45" s="207"/>
      <c r="C45" s="501" t="n">
        <v>100</v>
      </c>
      <c r="D45" s="501"/>
      <c r="E45" s="210"/>
      <c r="F45" s="19"/>
      <c r="G45" s="19" t="s">
        <v>318</v>
      </c>
      <c r="H45" s="228" t="n">
        <f aca="false">(H39-H44)</f>
        <v>27608.0258843496</v>
      </c>
      <c r="I45" s="22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8.75" hidden="false" customHeight="true" outlineLevel="0" collapsed="false">
      <c r="A46" s="252"/>
      <c r="B46" s="253"/>
      <c r="C46" s="253"/>
      <c r="D46" s="253"/>
      <c r="E46" s="254"/>
      <c r="F46" s="19"/>
      <c r="G46" s="19" t="s">
        <v>319</v>
      </c>
      <c r="H46" s="228" t="n">
        <f aca="false">((1-(1/((1+H41)^H34)))/H41)</f>
        <v>20.6870129111599</v>
      </c>
      <c r="I46" s="22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8.75" hidden="false" customHeight="true" outlineLevel="0" collapsed="false">
      <c r="A47" s="209"/>
      <c r="B47" s="207"/>
      <c r="C47" s="207"/>
      <c r="D47" s="207"/>
      <c r="E47" s="210"/>
      <c r="F47" s="19"/>
      <c r="G47" s="19" t="s">
        <v>56</v>
      </c>
      <c r="H47" s="228" t="n">
        <f aca="false">H45/H46</f>
        <v>1334.55835324858</v>
      </c>
      <c r="I47" s="22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8.75" hidden="false" customHeight="true" outlineLevel="0" collapsed="false">
      <c r="A48" s="243" t="s">
        <v>57</v>
      </c>
      <c r="B48" s="207"/>
      <c r="C48" s="207"/>
      <c r="D48" s="244"/>
      <c r="E48" s="245"/>
      <c r="F48" s="19"/>
      <c r="G48" s="378" t="s">
        <v>58</v>
      </c>
      <c r="H48" s="228" t="n">
        <f aca="false">IF(B26="YES", H47+H42, H47)</f>
        <v>1334.55835324858</v>
      </c>
      <c r="I48" s="228" t="n">
        <f aca="false">I49-H42</f>
        <v>1400</v>
      </c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8.75" hidden="false" customHeight="true" outlineLevel="0" collapsed="false">
      <c r="A49" s="209"/>
      <c r="B49" s="246"/>
      <c r="C49" s="246"/>
      <c r="D49" s="207"/>
      <c r="E49" s="210"/>
      <c r="F49" s="19"/>
      <c r="G49" s="19" t="s">
        <v>59</v>
      </c>
      <c r="H49" s="247"/>
      <c r="I49" s="228" t="n">
        <v>1400</v>
      </c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8.75" hidden="false" customHeight="true" outlineLevel="0" collapsed="false">
      <c r="A50" s="248" t="s">
        <v>28</v>
      </c>
      <c r="B50" s="249" t="s">
        <v>33</v>
      </c>
      <c r="C50" s="249"/>
      <c r="D50" s="207"/>
      <c r="E50" s="210"/>
      <c r="F50" s="19"/>
      <c r="G50" s="19"/>
      <c r="H50" s="19"/>
      <c r="I50" s="22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8.75" hidden="false" customHeight="true" outlineLevel="0" collapsed="false">
      <c r="A51" s="248"/>
      <c r="B51" s="250" t="n">
        <f aca="false">H30</f>
        <v>22000</v>
      </c>
      <c r="C51" s="250"/>
      <c r="D51" s="207"/>
      <c r="E51" s="210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8.75" hidden="false" customHeight="true" outlineLevel="0" collapsed="false">
      <c r="A52" s="251" t="n">
        <f aca="false">H29</f>
        <v>22</v>
      </c>
      <c r="B52" s="92" t="n">
        <f aca="false">H48</f>
        <v>1334.55835324858</v>
      </c>
      <c r="C52" s="92"/>
      <c r="D52" s="207"/>
      <c r="E52" s="210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8.75" hidden="false" customHeight="true" outlineLevel="0" collapsed="false">
      <c r="A53" s="209"/>
      <c r="B53" s="207"/>
      <c r="C53" s="207"/>
      <c r="D53" s="207"/>
      <c r="E53" s="210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8.75" hidden="false" customHeight="true" outlineLevel="0" collapsed="false">
      <c r="A54" s="252"/>
      <c r="B54" s="253"/>
      <c r="C54" s="253"/>
      <c r="D54" s="253"/>
      <c r="E54" s="254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8.75" hidden="false" customHeight="true" outlineLevel="0" collapsed="false">
      <c r="A55" s="207"/>
      <c r="B55" s="207"/>
      <c r="C55" s="207"/>
      <c r="D55" s="207"/>
      <c r="E55" s="207"/>
      <c r="F55" s="19"/>
      <c r="G55" s="207"/>
      <c r="H55" s="207"/>
      <c r="I55" s="207"/>
      <c r="J55" s="207"/>
      <c r="K55" s="207"/>
      <c r="L55" s="19"/>
      <c r="M55" s="207"/>
      <c r="N55" s="207"/>
      <c r="O55" s="207"/>
      <c r="P55" s="207"/>
      <c r="Q55" s="207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8.75" hidden="false" customHeight="true" outlineLevel="0" collapsed="false">
      <c r="A56" s="255"/>
      <c r="B56" s="256"/>
      <c r="C56" s="256"/>
      <c r="D56" s="256"/>
      <c r="E56" s="257"/>
      <c r="F56" s="19"/>
      <c r="G56" s="255"/>
      <c r="H56" s="256"/>
      <c r="I56" s="256"/>
      <c r="J56" s="256"/>
      <c r="K56" s="257"/>
      <c r="L56" s="19"/>
      <c r="M56" s="255"/>
      <c r="N56" s="256"/>
      <c r="O56" s="256"/>
      <c r="P56" s="256"/>
      <c r="Q56" s="257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8.75" hidden="false" customHeight="true" outlineLevel="0" collapsed="false">
      <c r="A57" s="209" t="s">
        <v>46</v>
      </c>
      <c r="B57" s="207" t="n">
        <f aca="false">IF(B99=Y97,1,IF(B99=Y98,1,IF(B99=Y99,3,IF(B99=Y100,6,IF(B99=Y101,9,IF(B99=Y102,12,IF(B99=Y103,3,IF(B99=Y104,6,IF(B99=Y105,9,0)))))))))</f>
        <v>9</v>
      </c>
      <c r="C57" s="207"/>
      <c r="D57" s="207"/>
      <c r="E57" s="210"/>
      <c r="F57" s="19"/>
      <c r="G57" s="209" t="s">
        <v>46</v>
      </c>
      <c r="H57" s="207" t="n">
        <f aca="false">IF(H99=Y97,1,IF(H99=Y98,1,IF(H99=Y99,3,IF(H99=Y100,6,IF(H99=Y101,9,IF(H99=Y102,12,IF(H99=Y103,3,IF(H99=Y104,6,IF(H99=Y105,9,0)))))))))</f>
        <v>6</v>
      </c>
      <c r="I57" s="207"/>
      <c r="J57" s="207"/>
      <c r="K57" s="210"/>
      <c r="L57" s="19"/>
      <c r="M57" s="209" t="s">
        <v>46</v>
      </c>
      <c r="N57" s="207" t="n">
        <f aca="false">IF(N99=Y97,1,IF(N99=Y98,1,IF(N99=Y99,3,IF(N99=Y100,6,IF(N99=Y101,9,IF(N99=Y102,12,IF(N99=Y103,3,IF(N99=Y104,6,IF(N99=Y105,9,0)))))))))</f>
        <v>6</v>
      </c>
      <c r="O57" s="207"/>
      <c r="P57" s="207"/>
      <c r="Q57" s="210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8.75" hidden="false" customHeight="true" outlineLevel="0" collapsed="false">
      <c r="A58" s="209" t="s">
        <v>60</v>
      </c>
      <c r="B58" s="207" t="n">
        <f aca="false">IF(B99=Y97,H29-B57,IF(B99=Y98,H29-B57,IF(B99=Y99,H29-1,IF(B99=Y100,H29-1,IF(B99=Y101,H29-1,IF(B99=Y102,H29-1,IF(B99=Y103,H29-B57,IF(B99=Y104,H29-B57,IF(B99=Y105,H29-B57,0)))))))))</f>
        <v>13</v>
      </c>
      <c r="C58" s="207"/>
      <c r="D58" s="207"/>
      <c r="E58" s="210"/>
      <c r="F58" s="19"/>
      <c r="G58" s="209" t="s">
        <v>60</v>
      </c>
      <c r="H58" s="207" t="n">
        <f aca="false">IF(H99=Y97,H29-H57,IF(H99=Y98,H29-H57,IF(H99=Y99,H29-1,IF(H99=Y100,H29-1,IF(H99=Y101,H29-1,IF(H99=Y102,H29-1,IF(H99=Y103,H29-H57,IF(H99=Y104,H29-H57,IF(H99=Y105,H29-H57,0)))))))))</f>
        <v>21</v>
      </c>
      <c r="I58" s="207"/>
      <c r="J58" s="207"/>
      <c r="K58" s="210"/>
      <c r="L58" s="19"/>
      <c r="M58" s="209" t="s">
        <v>60</v>
      </c>
      <c r="N58" s="207" t="n">
        <f aca="false">IF(N99=Y97,H29-N57,IF(N99=Y98,H29-N57,IF(N99=Y99,H29-1,IF(N99=Y100,H29-1,IF(N99=Y101,H29-1,IF(N99=Y102,H29-1,IF(N99=Y103,H29-N57,IF(N99=Y104,H29-N57,IF(N99=Y105,H29-N57,0)))))))))</f>
        <v>21</v>
      </c>
      <c r="O58" s="207"/>
      <c r="P58" s="207"/>
      <c r="Q58" s="210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8.75" hidden="false" customHeight="true" outlineLevel="0" collapsed="false">
      <c r="A59" s="209"/>
      <c r="B59" s="207"/>
      <c r="C59" s="207"/>
      <c r="D59" s="207"/>
      <c r="E59" s="210"/>
      <c r="F59" s="19"/>
      <c r="G59" s="209"/>
      <c r="H59" s="207"/>
      <c r="I59" s="207"/>
      <c r="J59" s="207"/>
      <c r="K59" s="210"/>
      <c r="L59" s="19"/>
      <c r="M59" s="209"/>
      <c r="N59" s="207"/>
      <c r="O59" s="207"/>
      <c r="P59" s="207"/>
      <c r="Q59" s="210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8.75" hidden="false" customHeight="true" outlineLevel="0" collapsed="false">
      <c r="A60" s="209"/>
      <c r="B60" s="207"/>
      <c r="C60" s="207"/>
      <c r="D60" s="207"/>
      <c r="E60" s="210"/>
      <c r="F60" s="19"/>
      <c r="G60" s="209"/>
      <c r="H60" s="207"/>
      <c r="I60" s="207"/>
      <c r="J60" s="207"/>
      <c r="K60" s="210"/>
      <c r="L60" s="19"/>
      <c r="M60" s="209"/>
      <c r="N60" s="207"/>
      <c r="O60" s="207"/>
      <c r="P60" s="207"/>
      <c r="Q60" s="210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8.75" hidden="false" customHeight="true" outlineLevel="0" collapsed="false">
      <c r="A61" s="209" t="s">
        <v>16</v>
      </c>
      <c r="B61" s="79" t="n">
        <f aca="false">G18</f>
        <v>57885</v>
      </c>
      <c r="C61" s="207"/>
      <c r="D61" s="207"/>
      <c r="E61" s="210"/>
      <c r="F61" s="19"/>
      <c r="G61" s="209" t="s">
        <v>16</v>
      </c>
      <c r="H61" s="79" t="n">
        <f aca="false">G18</f>
        <v>57885</v>
      </c>
      <c r="I61" s="207"/>
      <c r="J61" s="207"/>
      <c r="K61" s="210"/>
      <c r="L61" s="19"/>
      <c r="M61" s="209" t="s">
        <v>16</v>
      </c>
      <c r="N61" s="79" t="n">
        <f aca="false">G18</f>
        <v>57885</v>
      </c>
      <c r="O61" s="207"/>
      <c r="P61" s="207"/>
      <c r="Q61" s="210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8.75" hidden="false" customHeight="true" outlineLevel="0" collapsed="false">
      <c r="A62" s="258" t="s">
        <v>241</v>
      </c>
      <c r="B62" s="259" t="n">
        <v>0.07</v>
      </c>
      <c r="C62" s="207"/>
      <c r="D62" s="207"/>
      <c r="E62" s="210"/>
      <c r="F62" s="19"/>
      <c r="G62" s="258" t="s">
        <v>241</v>
      </c>
      <c r="H62" s="259" t="n">
        <v>0.07</v>
      </c>
      <c r="I62" s="207"/>
      <c r="J62" s="207"/>
      <c r="K62" s="210"/>
      <c r="L62" s="19"/>
      <c r="M62" s="258" t="s">
        <v>241</v>
      </c>
      <c r="N62" s="259" t="n">
        <v>0.07</v>
      </c>
      <c r="O62" s="207"/>
      <c r="P62" s="207"/>
      <c r="Q62" s="210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8.75" hidden="false" customHeight="true" outlineLevel="0" collapsed="false">
      <c r="A63" s="209" t="s">
        <v>242</v>
      </c>
      <c r="B63" s="260" t="n">
        <f aca="false">B62+(B62*0.25*(H29/12-1))</f>
        <v>0.0845833333333333</v>
      </c>
      <c r="C63" s="207"/>
      <c r="D63" s="207"/>
      <c r="E63" s="210"/>
      <c r="F63" s="19"/>
      <c r="G63" s="209" t="s">
        <v>242</v>
      </c>
      <c r="H63" s="260" t="n">
        <f aca="false">H62+(H62*0.25*(H29/12-1))</f>
        <v>0.0845833333333333</v>
      </c>
      <c r="I63" s="207"/>
      <c r="J63" s="207"/>
      <c r="K63" s="210"/>
      <c r="L63" s="19"/>
      <c r="M63" s="209" t="s">
        <v>242</v>
      </c>
      <c r="N63" s="260" t="n">
        <f aca="false">N62+(N62*0.25*(H29/12-1))</f>
        <v>0.0845833333333333</v>
      </c>
      <c r="O63" s="207"/>
      <c r="P63" s="207"/>
      <c r="Q63" s="210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8.75" hidden="false" customHeight="true" outlineLevel="0" collapsed="false">
      <c r="A64" s="252" t="s">
        <v>65</v>
      </c>
      <c r="B64" s="139" t="n">
        <f aca="false">B61*B63</f>
        <v>4896.10625</v>
      </c>
      <c r="C64" s="207" t="n">
        <v>10000</v>
      </c>
      <c r="D64" s="79" t="n">
        <f aca="false">B64-A143</f>
        <v>4896.10625</v>
      </c>
      <c r="E64" s="380" t="n">
        <f aca="false">D64/(B58+B57)</f>
        <v>222.550284090909</v>
      </c>
      <c r="F64" s="19"/>
      <c r="G64" s="252" t="s">
        <v>65</v>
      </c>
      <c r="H64" s="139" t="n">
        <f aca="false">H61*H63</f>
        <v>4896.10625</v>
      </c>
      <c r="I64" s="207"/>
      <c r="J64" s="79" t="n">
        <f aca="false">H64-G145</f>
        <v>4896.10625</v>
      </c>
      <c r="K64" s="210"/>
      <c r="L64" s="19"/>
      <c r="M64" s="252" t="s">
        <v>65</v>
      </c>
      <c r="N64" s="139" t="n">
        <f aca="false">N61*N63</f>
        <v>4896.10625</v>
      </c>
      <c r="O64" s="207"/>
      <c r="P64" s="79" t="n">
        <f aca="false">N64-M145</f>
        <v>4896.10625</v>
      </c>
      <c r="Q64" s="210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8.75" hidden="false" customHeight="true" outlineLevel="0" collapsed="false">
      <c r="A65" s="258" t="s">
        <v>66</v>
      </c>
      <c r="B65" s="259" t="n">
        <v>0.01</v>
      </c>
      <c r="C65" s="207"/>
      <c r="D65" s="207"/>
      <c r="E65" s="210"/>
      <c r="F65" s="19"/>
      <c r="G65" s="258" t="s">
        <v>66</v>
      </c>
      <c r="H65" s="259" t="n">
        <v>0.01</v>
      </c>
      <c r="I65" s="207"/>
      <c r="J65" s="207"/>
      <c r="K65" s="210"/>
      <c r="L65" s="19"/>
      <c r="M65" s="258" t="s">
        <v>66</v>
      </c>
      <c r="N65" s="259" t="n">
        <v>0.01</v>
      </c>
      <c r="O65" s="207"/>
      <c r="P65" s="207"/>
      <c r="Q65" s="210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8.75" hidden="false" customHeight="true" outlineLevel="0" collapsed="false">
      <c r="A66" s="209" t="s">
        <v>67</v>
      </c>
      <c r="B66" s="260" t="n">
        <f aca="false">B65+(B65*0.5*(H29/12-1))</f>
        <v>0.0141666666666667</v>
      </c>
      <c r="C66" s="207"/>
      <c r="D66" s="207"/>
      <c r="E66" s="210"/>
      <c r="F66" s="19"/>
      <c r="G66" s="209" t="s">
        <v>67</v>
      </c>
      <c r="H66" s="260" t="n">
        <f aca="false">H65+(H65*0.5*(H29/12-1))</f>
        <v>0.0141666666666667</v>
      </c>
      <c r="I66" s="207"/>
      <c r="J66" s="207"/>
      <c r="K66" s="210"/>
      <c r="L66" s="19"/>
      <c r="M66" s="209" t="s">
        <v>67</v>
      </c>
      <c r="N66" s="260" t="n">
        <f aca="false">N65+(N65*0.5*(H29/12-1))</f>
        <v>0.0141666666666667</v>
      </c>
      <c r="O66" s="207"/>
      <c r="P66" s="207"/>
      <c r="Q66" s="210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8.75" hidden="false" customHeight="true" outlineLevel="0" collapsed="false">
      <c r="A67" s="252" t="s">
        <v>68</v>
      </c>
      <c r="B67" s="139" t="n">
        <f aca="false">B61*B66</f>
        <v>820.0375</v>
      </c>
      <c r="C67" s="207"/>
      <c r="D67" s="79"/>
      <c r="E67" s="210"/>
      <c r="F67" s="19"/>
      <c r="G67" s="252" t="s">
        <v>68</v>
      </c>
      <c r="H67" s="139" t="n">
        <f aca="false">(H61*H66)/1.2</f>
        <v>683.364583333333</v>
      </c>
      <c r="I67" s="207"/>
      <c r="J67" s="79"/>
      <c r="K67" s="210"/>
      <c r="L67" s="19"/>
      <c r="M67" s="252" t="s">
        <v>68</v>
      </c>
      <c r="N67" s="139" t="n">
        <f aca="false">(N61*N66)/1.2</f>
        <v>683.364583333333</v>
      </c>
      <c r="O67" s="207"/>
      <c r="P67" s="79"/>
      <c r="Q67" s="210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8.75" hidden="false" customHeight="true" outlineLevel="0" collapsed="false">
      <c r="A68" s="258" t="s">
        <v>69</v>
      </c>
      <c r="B68" s="259" t="n">
        <v>0.0075</v>
      </c>
      <c r="C68" s="207"/>
      <c r="D68" s="207"/>
      <c r="E68" s="210"/>
      <c r="F68" s="19"/>
      <c r="G68" s="258" t="s">
        <v>69</v>
      </c>
      <c r="H68" s="259" t="n">
        <v>0.0075</v>
      </c>
      <c r="I68" s="207"/>
      <c r="J68" s="207"/>
      <c r="K68" s="210"/>
      <c r="L68" s="19"/>
      <c r="M68" s="258" t="s">
        <v>69</v>
      </c>
      <c r="N68" s="259" t="n">
        <v>0.0075</v>
      </c>
      <c r="O68" s="207"/>
      <c r="P68" s="207"/>
      <c r="Q68" s="210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8.75" hidden="false" customHeight="true" outlineLevel="0" collapsed="false">
      <c r="A69" s="261" t="s">
        <v>70</v>
      </c>
      <c r="B69" s="262" t="n">
        <v>0.12</v>
      </c>
      <c r="C69" s="207"/>
      <c r="D69" s="207"/>
      <c r="E69" s="210"/>
      <c r="F69" s="19"/>
      <c r="G69" s="261" t="s">
        <v>70</v>
      </c>
      <c r="H69" s="262" t="n">
        <v>0.12</v>
      </c>
      <c r="I69" s="207"/>
      <c r="J69" s="207"/>
      <c r="K69" s="210"/>
      <c r="L69" s="19"/>
      <c r="M69" s="261" t="s">
        <v>70</v>
      </c>
      <c r="N69" s="262" t="n">
        <v>0.12</v>
      </c>
      <c r="O69" s="207"/>
      <c r="P69" s="207"/>
      <c r="Q69" s="210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18.75" hidden="false" customHeight="true" outlineLevel="0" collapsed="false">
      <c r="A70" s="252" t="s">
        <v>71</v>
      </c>
      <c r="B70" s="263" t="n">
        <f aca="false">B68*(1+B69)</f>
        <v>0.0084</v>
      </c>
      <c r="C70" s="207"/>
      <c r="D70" s="207"/>
      <c r="E70" s="210"/>
      <c r="F70" s="19"/>
      <c r="G70" s="252" t="s">
        <v>71</v>
      </c>
      <c r="H70" s="263" t="n">
        <f aca="false">H68*(1+H69)</f>
        <v>0.0084</v>
      </c>
      <c r="I70" s="207"/>
      <c r="J70" s="207"/>
      <c r="K70" s="210"/>
      <c r="L70" s="19"/>
      <c r="M70" s="252" t="s">
        <v>71</v>
      </c>
      <c r="N70" s="385" t="n">
        <f aca="false">N68*(1+N69)</f>
        <v>0.0084</v>
      </c>
      <c r="O70" s="207"/>
      <c r="P70" s="207"/>
      <c r="Q70" s="210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18.75" hidden="false" customHeight="true" outlineLevel="0" collapsed="false">
      <c r="A71" s="258" t="s">
        <v>72</v>
      </c>
      <c r="B71" s="264" t="n">
        <v>200</v>
      </c>
      <c r="C71" s="207"/>
      <c r="D71" s="207"/>
      <c r="E71" s="210"/>
      <c r="F71" s="19"/>
      <c r="G71" s="258" t="s">
        <v>72</v>
      </c>
      <c r="H71" s="264" t="n">
        <v>160</v>
      </c>
      <c r="I71" s="207"/>
      <c r="J71" s="207"/>
      <c r="K71" s="210"/>
      <c r="L71" s="19"/>
      <c r="M71" s="258" t="s">
        <v>72</v>
      </c>
      <c r="N71" s="264" t="n">
        <v>160</v>
      </c>
      <c r="O71" s="207"/>
      <c r="P71" s="207"/>
      <c r="Q71" s="210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8.75" hidden="false" customHeight="true" outlineLevel="0" collapsed="false">
      <c r="A72" s="261" t="s">
        <v>73</v>
      </c>
      <c r="B72" s="265" t="n">
        <v>5</v>
      </c>
      <c r="C72" s="207"/>
      <c r="D72" s="207"/>
      <c r="E72" s="210"/>
      <c r="F72" s="19"/>
      <c r="G72" s="261" t="s">
        <v>73</v>
      </c>
      <c r="H72" s="265" t="n">
        <v>4.5</v>
      </c>
      <c r="I72" s="207"/>
      <c r="J72" s="207"/>
      <c r="K72" s="210"/>
      <c r="L72" s="19"/>
      <c r="M72" s="261" t="s">
        <v>73</v>
      </c>
      <c r="N72" s="265" t="n">
        <v>4.5</v>
      </c>
      <c r="O72" s="207"/>
      <c r="P72" s="207"/>
      <c r="Q72" s="210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8.75" hidden="false" customHeight="true" outlineLevel="0" collapsed="false">
      <c r="A73" s="252" t="s">
        <v>74</v>
      </c>
      <c r="B73" s="139" t="n">
        <f aca="false">B72*H29</f>
        <v>110</v>
      </c>
      <c r="C73" s="207"/>
      <c r="D73" s="79" t="n">
        <f aca="false">B73+B71</f>
        <v>310</v>
      </c>
      <c r="E73" s="210"/>
      <c r="F73" s="19"/>
      <c r="G73" s="252" t="s">
        <v>74</v>
      </c>
      <c r="H73" s="139" t="n">
        <f aca="false">H72*H29</f>
        <v>99</v>
      </c>
      <c r="I73" s="207"/>
      <c r="J73" s="79" t="n">
        <f aca="false">H73+H71</f>
        <v>259</v>
      </c>
      <c r="K73" s="210"/>
      <c r="L73" s="19"/>
      <c r="M73" s="252" t="s">
        <v>74</v>
      </c>
      <c r="N73" s="139" t="n">
        <f aca="false">N72*H29</f>
        <v>99</v>
      </c>
      <c r="O73" s="207"/>
      <c r="P73" s="79" t="n">
        <f aca="false">N73+N71</f>
        <v>259</v>
      </c>
      <c r="Q73" s="210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8.75" hidden="false" customHeight="true" outlineLevel="0" collapsed="false">
      <c r="A74" s="258" t="s">
        <v>243</v>
      </c>
      <c r="B74" s="264" t="n">
        <v>165</v>
      </c>
      <c r="C74" s="207"/>
      <c r="D74" s="207"/>
      <c r="E74" s="210"/>
      <c r="F74" s="19"/>
      <c r="G74" s="258" t="s">
        <v>243</v>
      </c>
      <c r="H74" s="264" t="n">
        <v>165</v>
      </c>
      <c r="I74" s="207"/>
      <c r="J74" s="207"/>
      <c r="K74" s="210"/>
      <c r="L74" s="19"/>
      <c r="M74" s="267" t="s">
        <v>243</v>
      </c>
      <c r="N74" s="268" t="n">
        <v>0</v>
      </c>
      <c r="O74" s="207"/>
      <c r="P74" s="207"/>
      <c r="Q74" s="210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8.75" hidden="false" customHeight="true" outlineLevel="0" collapsed="false">
      <c r="A75" s="261" t="s">
        <v>244</v>
      </c>
      <c r="B75" s="265" t="n">
        <v>355</v>
      </c>
      <c r="C75" s="207"/>
      <c r="D75" s="207"/>
      <c r="E75" s="210"/>
      <c r="F75" s="19"/>
      <c r="G75" s="261" t="s">
        <v>244</v>
      </c>
      <c r="H75" s="265" t="n">
        <v>0</v>
      </c>
      <c r="I75" s="207"/>
      <c r="J75" s="207"/>
      <c r="K75" s="210"/>
      <c r="L75" s="19"/>
      <c r="M75" s="269" t="s">
        <v>244</v>
      </c>
      <c r="N75" s="270" t="n">
        <v>0</v>
      </c>
      <c r="O75" s="207"/>
      <c r="P75" s="207"/>
      <c r="Q75" s="210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8.75" hidden="false" customHeight="true" outlineLevel="0" collapsed="false">
      <c r="A76" s="252" t="s">
        <v>245</v>
      </c>
      <c r="B76" s="139" t="n">
        <f aca="false">((B74+B75)/12)*(H29-11)</f>
        <v>476.666666666667</v>
      </c>
      <c r="C76" s="207"/>
      <c r="D76" s="79" t="n">
        <f aca="false">B76</f>
        <v>476.666666666667</v>
      </c>
      <c r="E76" s="210"/>
      <c r="F76" s="19"/>
      <c r="G76" s="252" t="s">
        <v>245</v>
      </c>
      <c r="H76" s="139" t="n">
        <f aca="false">((H74+H75)/12)*(H29-11)</f>
        <v>151.25</v>
      </c>
      <c r="I76" s="207"/>
      <c r="J76" s="79" t="n">
        <f aca="false">H76</f>
        <v>151.25</v>
      </c>
      <c r="K76" s="210"/>
      <c r="L76" s="19"/>
      <c r="M76" s="271" t="s">
        <v>245</v>
      </c>
      <c r="N76" s="272" t="n">
        <f aca="false">((N74+N75)/12)*(H29-11)</f>
        <v>0</v>
      </c>
      <c r="O76" s="207"/>
      <c r="P76" s="79" t="n">
        <f aca="false">N76</f>
        <v>0</v>
      </c>
      <c r="Q76" s="210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8.75" hidden="false" customHeight="true" outlineLevel="0" collapsed="false">
      <c r="A77" s="258" t="s">
        <v>246</v>
      </c>
      <c r="B77" s="137" t="n">
        <f aca="false">B102/(1-0.1)</f>
        <v>444.444444444444</v>
      </c>
      <c r="C77" s="207"/>
      <c r="D77" s="79" t="n">
        <f aca="false">B77</f>
        <v>444.444444444444</v>
      </c>
      <c r="E77" s="380" t="n">
        <f aca="false">D77/(B58+B57)</f>
        <v>20.2020202020202</v>
      </c>
      <c r="F77" s="19"/>
      <c r="G77" s="258" t="s">
        <v>246</v>
      </c>
      <c r="H77" s="264" t="n">
        <v>0</v>
      </c>
      <c r="I77" s="207"/>
      <c r="J77" s="79" t="n">
        <f aca="false">H77</f>
        <v>0</v>
      </c>
      <c r="K77" s="210"/>
      <c r="L77" s="19"/>
      <c r="M77" s="258" t="s">
        <v>246</v>
      </c>
      <c r="N77" s="264" t="n">
        <v>0</v>
      </c>
      <c r="O77" s="207"/>
      <c r="P77" s="79" t="n">
        <f aca="false">N77</f>
        <v>0</v>
      </c>
      <c r="Q77" s="210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8.75" hidden="false" customHeight="true" outlineLevel="0" collapsed="false">
      <c r="A78" s="209" t="s">
        <v>248</v>
      </c>
      <c r="B78" s="273" t="n">
        <f aca="false">D102/(1-0.1)</f>
        <v>222.222222222222</v>
      </c>
      <c r="C78" s="207"/>
      <c r="D78" s="79" t="n">
        <f aca="false">B78</f>
        <v>222.222222222222</v>
      </c>
      <c r="E78" s="380"/>
      <c r="F78" s="19"/>
      <c r="G78" s="209" t="s">
        <v>248</v>
      </c>
      <c r="H78" s="273" t="n">
        <v>0</v>
      </c>
      <c r="I78" s="207"/>
      <c r="J78" s="79" t="n">
        <f aca="false">H78</f>
        <v>0</v>
      </c>
      <c r="K78" s="210"/>
      <c r="L78" s="19"/>
      <c r="M78" s="209" t="s">
        <v>248</v>
      </c>
      <c r="N78" s="273" t="n">
        <v>0</v>
      </c>
      <c r="O78" s="207"/>
      <c r="P78" s="79" t="n">
        <f aca="false">N78</f>
        <v>0</v>
      </c>
      <c r="Q78" s="210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8.75" hidden="false" customHeight="true" outlineLevel="0" collapsed="false">
      <c r="A79" s="261" t="s">
        <v>75</v>
      </c>
      <c r="B79" s="265" t="n">
        <v>200</v>
      </c>
      <c r="C79" s="207"/>
      <c r="D79" s="79" t="n">
        <f aca="false">B79</f>
        <v>200</v>
      </c>
      <c r="E79" s="380"/>
      <c r="F79" s="19"/>
      <c r="G79" s="261" t="s">
        <v>75</v>
      </c>
      <c r="H79" s="265" t="n">
        <v>200</v>
      </c>
      <c r="I79" s="207"/>
      <c r="J79" s="79" t="n">
        <f aca="false">H79</f>
        <v>200</v>
      </c>
      <c r="K79" s="210"/>
      <c r="L79" s="19"/>
      <c r="M79" s="261" t="s">
        <v>75</v>
      </c>
      <c r="N79" s="265" t="n">
        <v>200</v>
      </c>
      <c r="O79" s="207"/>
      <c r="P79" s="79" t="n">
        <f aca="false">N79</f>
        <v>200</v>
      </c>
      <c r="Q79" s="210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8.75" hidden="false" customHeight="true" outlineLevel="0" collapsed="false">
      <c r="A80" s="274" t="s">
        <v>76</v>
      </c>
      <c r="B80" s="275" t="n">
        <v>200</v>
      </c>
      <c r="C80" s="207"/>
      <c r="D80" s="79" t="n">
        <f aca="false">B80</f>
        <v>200</v>
      </c>
      <c r="E80" s="380" t="n">
        <f aca="false">(D73+D76+D79+D80)/(B58+B57)</f>
        <v>53.9393939393939</v>
      </c>
      <c r="F80" s="19"/>
      <c r="G80" s="274" t="s">
        <v>76</v>
      </c>
      <c r="H80" s="275" t="n">
        <v>200</v>
      </c>
      <c r="I80" s="207"/>
      <c r="J80" s="79" t="n">
        <f aca="false">H80</f>
        <v>200</v>
      </c>
      <c r="K80" s="210"/>
      <c r="L80" s="19"/>
      <c r="M80" s="274" t="s">
        <v>76</v>
      </c>
      <c r="N80" s="275" t="n">
        <v>200</v>
      </c>
      <c r="O80" s="207"/>
      <c r="P80" s="79" t="n">
        <f aca="false">N80</f>
        <v>200</v>
      </c>
      <c r="Q80" s="210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18.75" hidden="false" customHeight="true" outlineLevel="0" collapsed="false">
      <c r="A81" s="276" t="s">
        <v>77</v>
      </c>
      <c r="B81" s="277" t="n">
        <f aca="false">SUM(D64:D80)</f>
        <v>6749.43958333333</v>
      </c>
      <c r="C81" s="207"/>
      <c r="D81" s="207"/>
      <c r="E81" s="380"/>
      <c r="F81" s="19"/>
      <c r="G81" s="276" t="s">
        <v>77</v>
      </c>
      <c r="H81" s="277" t="n">
        <f aca="false">SUM(J64:J80)</f>
        <v>5706.35625</v>
      </c>
      <c r="I81" s="207"/>
      <c r="J81" s="207"/>
      <c r="K81" s="210"/>
      <c r="L81" s="19"/>
      <c r="M81" s="276" t="s">
        <v>77</v>
      </c>
      <c r="N81" s="277" t="n">
        <f aca="false">SUM(P64:P80)</f>
        <v>5555.10625</v>
      </c>
      <c r="O81" s="207"/>
      <c r="P81" s="207"/>
      <c r="Q81" s="210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18.75" hidden="false" customHeight="true" outlineLevel="0" collapsed="false">
      <c r="A82" s="209" t="s">
        <v>78</v>
      </c>
      <c r="B82" s="273" t="n">
        <f aca="false">B81/H29</f>
        <v>306.792708333333</v>
      </c>
      <c r="C82" s="207"/>
      <c r="D82" s="207"/>
      <c r="E82" s="380"/>
      <c r="F82" s="19"/>
      <c r="G82" s="209" t="s">
        <v>78</v>
      </c>
      <c r="H82" s="273" t="n">
        <f aca="false">H81/H29</f>
        <v>259.379829545455</v>
      </c>
      <c r="I82" s="207"/>
      <c r="J82" s="207"/>
      <c r="K82" s="210"/>
      <c r="L82" s="19"/>
      <c r="M82" s="209" t="s">
        <v>78</v>
      </c>
      <c r="N82" s="273" t="n">
        <f aca="false">N81/H29</f>
        <v>252.504829545455</v>
      </c>
      <c r="O82" s="207"/>
      <c r="P82" s="207"/>
      <c r="Q82" s="210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8.75" hidden="false" customHeight="true" outlineLevel="0" collapsed="false">
      <c r="A83" s="278" t="s">
        <v>79</v>
      </c>
      <c r="B83" s="279" t="n">
        <f aca="false">H47</f>
        <v>1334.55835324858</v>
      </c>
      <c r="C83" s="207"/>
      <c r="D83" s="207"/>
      <c r="E83" s="380" t="n">
        <f aca="false">B83+E80+E77+E64</f>
        <v>1631.2500514809</v>
      </c>
      <c r="F83" s="19"/>
      <c r="G83" s="278" t="s">
        <v>79</v>
      </c>
      <c r="H83" s="279" t="n">
        <f aca="false">H47</f>
        <v>1334.55835324858</v>
      </c>
      <c r="I83" s="207"/>
      <c r="J83" s="207"/>
      <c r="K83" s="210"/>
      <c r="L83" s="19"/>
      <c r="M83" s="278" t="s">
        <v>79</v>
      </c>
      <c r="N83" s="279" t="n">
        <f aca="false">H47</f>
        <v>1334.55835324858</v>
      </c>
      <c r="O83" s="207"/>
      <c r="P83" s="207"/>
      <c r="Q83" s="210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18.75" hidden="false" customHeight="true" outlineLevel="0" collapsed="false">
      <c r="A84" s="209"/>
      <c r="B84" s="79"/>
      <c r="C84" s="207"/>
      <c r="D84" s="207"/>
      <c r="E84" s="380"/>
      <c r="F84" s="19"/>
      <c r="G84" s="209"/>
      <c r="H84" s="79"/>
      <c r="I84" s="207"/>
      <c r="J84" s="207"/>
      <c r="K84" s="210"/>
      <c r="L84" s="19"/>
      <c r="M84" s="209"/>
      <c r="N84" s="79"/>
      <c r="O84" s="207"/>
      <c r="P84" s="207"/>
      <c r="Q84" s="210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8.75" hidden="false" customHeight="true" outlineLevel="0" collapsed="false">
      <c r="A85" s="255" t="s">
        <v>88</v>
      </c>
      <c r="B85" s="137" t="n">
        <f aca="false">((B83*H29)+B81)*1.2</f>
        <v>43331.6680257625</v>
      </c>
      <c r="C85" s="207"/>
      <c r="D85" s="207"/>
      <c r="E85" s="380" t="n">
        <f aca="false">B85/(B58+B57)</f>
        <v>1969.62127389829</v>
      </c>
      <c r="F85" s="19"/>
      <c r="G85" s="255" t="s">
        <v>88</v>
      </c>
      <c r="H85" s="137" t="n">
        <f aca="false">((H83*H29)+H81)*1.2</f>
        <v>42079.9680257624</v>
      </c>
      <c r="I85" s="207"/>
      <c r="J85" s="207"/>
      <c r="K85" s="210"/>
      <c r="L85" s="19"/>
      <c r="M85" s="255" t="s">
        <v>88</v>
      </c>
      <c r="N85" s="137" t="n">
        <f aca="false">((N83*H29)+N81)</f>
        <v>34915.3900214687</v>
      </c>
      <c r="O85" s="207"/>
      <c r="P85" s="207"/>
      <c r="Q85" s="210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8.75" hidden="false" customHeight="true" outlineLevel="0" collapsed="false">
      <c r="A86" s="209" t="s">
        <v>89</v>
      </c>
      <c r="B86" s="273" t="n">
        <f aca="false">((((B83*H29)+B81))/(1-B70))*B70</f>
        <v>305.891161940638</v>
      </c>
      <c r="C86" s="207"/>
      <c r="D86" s="207"/>
      <c r="E86" s="380" t="n">
        <f aca="false">B86/(B58+B57)</f>
        <v>13.9041437245745</v>
      </c>
      <c r="F86" s="19"/>
      <c r="G86" s="209" t="s">
        <v>89</v>
      </c>
      <c r="H86" s="273" t="n">
        <f aca="false">((((H83*H29)+H81))/(1-H70))*H70</f>
        <v>297.055038503769</v>
      </c>
      <c r="I86" s="207"/>
      <c r="J86" s="207"/>
      <c r="K86" s="210"/>
      <c r="L86" s="19"/>
      <c r="M86" s="209" t="s">
        <v>89</v>
      </c>
      <c r="N86" s="273" t="n">
        <f aca="false">(N85/(1-N70))*N70</f>
        <v>295.773775897879</v>
      </c>
      <c r="O86" s="207"/>
      <c r="P86" s="207"/>
      <c r="Q86" s="210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8.75" hidden="false" customHeight="true" outlineLevel="0" collapsed="false">
      <c r="A87" s="252" t="s">
        <v>90</v>
      </c>
      <c r="B87" s="139" t="n">
        <f aca="false">IF(B110="YES",((B85+B86)-E114),(B85+B86))</f>
        <v>43637.5591877031</v>
      </c>
      <c r="C87" s="207"/>
      <c r="D87" s="207"/>
      <c r="E87" s="380" t="n">
        <f aca="false">E86+E85</f>
        <v>1983.52541762287</v>
      </c>
      <c r="F87" s="19"/>
      <c r="G87" s="252" t="s">
        <v>90</v>
      </c>
      <c r="H87" s="139" t="n">
        <f aca="false">IF(H110="YES",((H85+H86)-K114),(H85+H86))</f>
        <v>42377.0230642662</v>
      </c>
      <c r="I87" s="207"/>
      <c r="J87" s="207"/>
      <c r="K87" s="210"/>
      <c r="L87" s="19"/>
      <c r="M87" s="252" t="s">
        <v>90</v>
      </c>
      <c r="N87" s="139" t="n">
        <f aca="false">IF(N110="YES",((N85+N86)-Q114),(N85+N86))</f>
        <v>35211.1637973666</v>
      </c>
      <c r="O87" s="207"/>
      <c r="P87" s="207"/>
      <c r="Q87" s="210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8.75" hidden="false" customHeight="true" outlineLevel="0" collapsed="false">
      <c r="A88" s="209"/>
      <c r="B88" s="79"/>
      <c r="C88" s="207"/>
      <c r="D88" s="207"/>
      <c r="E88" s="210"/>
      <c r="F88" s="19"/>
      <c r="G88" s="209"/>
      <c r="H88" s="79"/>
      <c r="I88" s="207"/>
      <c r="J88" s="207"/>
      <c r="K88" s="210"/>
      <c r="L88" s="19"/>
      <c r="M88" s="209"/>
      <c r="N88" s="79"/>
      <c r="O88" s="207"/>
      <c r="P88" s="207"/>
      <c r="Q88" s="210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8.75" hidden="false" customHeight="true" outlineLevel="0" collapsed="false">
      <c r="A89" s="276" t="s">
        <v>91</v>
      </c>
      <c r="B89" s="277" t="n">
        <f aca="false">IF(B99=Y98, (D40+(D40*B105))/(B58), (D40+(D40*B105))/(B57+B58))*1.2*(C45/100)</f>
        <v>0</v>
      </c>
      <c r="C89" s="207"/>
      <c r="D89" s="207"/>
      <c r="E89" s="210"/>
      <c r="F89" s="19"/>
      <c r="G89" s="276" t="s">
        <v>91</v>
      </c>
      <c r="H89" s="277" t="n">
        <f aca="false">IF(H99=Y98, (D40+(D40*H105))/(H58), (D40+(D40*H105))/(H57+H58))*1.2</f>
        <v>0</v>
      </c>
      <c r="I89" s="207"/>
      <c r="J89" s="207"/>
      <c r="K89" s="210"/>
      <c r="L89" s="19"/>
      <c r="M89" s="276" t="s">
        <v>91</v>
      </c>
      <c r="N89" s="277" t="n">
        <f aca="false">IF(N99=Y98, (D40+(D40*N105))/(N58), (D40+(D40*N105))/(N57+N58))</f>
        <v>0</v>
      </c>
      <c r="O89" s="207"/>
      <c r="P89" s="207"/>
      <c r="Q89" s="210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8.75" hidden="false" customHeight="true" outlineLevel="0" collapsed="false">
      <c r="A90" s="281" t="s">
        <v>92</v>
      </c>
      <c r="B90" s="282" t="n">
        <f aca="false">IF(B99=Y98, (B87-D105)/(B58), B87/(B57+B58))</f>
        <v>1983.52541762287</v>
      </c>
      <c r="C90" s="207"/>
      <c r="D90" s="207"/>
      <c r="E90" s="210"/>
      <c r="F90" s="19"/>
      <c r="G90" s="281" t="s">
        <v>92</v>
      </c>
      <c r="H90" s="282" t="n">
        <f aca="false">IF(H99=Y98, (H87-J105)/(H58), H87/(H57+H58))</f>
        <v>1569.5193727506</v>
      </c>
      <c r="I90" s="207"/>
      <c r="J90" s="207"/>
      <c r="K90" s="210"/>
      <c r="L90" s="19"/>
      <c r="M90" s="281" t="s">
        <v>92</v>
      </c>
      <c r="N90" s="282" t="n">
        <f aca="false">IF(N99=Y98, (N87-P105)/(N58), N87/(N57+N58))</f>
        <v>1304.11717768024</v>
      </c>
      <c r="O90" s="207"/>
      <c r="P90" s="207"/>
      <c r="Q90" s="210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8.75" hidden="false" customHeight="true" outlineLevel="0" collapsed="false">
      <c r="A91" s="283" t="s">
        <v>93</v>
      </c>
      <c r="B91" s="284" t="n">
        <f aca="false">IF(A105="YES", B90+B89, B90)</f>
        <v>1983.52541762287</v>
      </c>
      <c r="C91" s="207"/>
      <c r="D91" s="207"/>
      <c r="E91" s="210"/>
      <c r="F91" s="19"/>
      <c r="G91" s="283" t="s">
        <v>93</v>
      </c>
      <c r="H91" s="284" t="n">
        <f aca="false">IF(G105="YES", H90+H89, H90)</f>
        <v>1569.5193727506</v>
      </c>
      <c r="I91" s="207"/>
      <c r="J91" s="207"/>
      <c r="K91" s="210"/>
      <c r="L91" s="19"/>
      <c r="M91" s="283" t="s">
        <v>93</v>
      </c>
      <c r="N91" s="284" t="n">
        <f aca="false">IF(M105="YES", N90+N89, N90)</f>
        <v>1304.11717768024</v>
      </c>
      <c r="O91" s="207"/>
      <c r="P91" s="207"/>
      <c r="Q91" s="210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8.75" hidden="false" customHeight="true" outlineLevel="0" collapsed="false">
      <c r="A92" s="252"/>
      <c r="B92" s="253"/>
      <c r="C92" s="253"/>
      <c r="D92" s="253"/>
      <c r="E92" s="254"/>
      <c r="F92" s="19"/>
      <c r="G92" s="252"/>
      <c r="H92" s="253"/>
      <c r="I92" s="253"/>
      <c r="J92" s="253"/>
      <c r="K92" s="254"/>
      <c r="L92" s="19"/>
      <c r="M92" s="252"/>
      <c r="N92" s="253"/>
      <c r="O92" s="253"/>
      <c r="P92" s="253"/>
      <c r="Q92" s="254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8.75" hidden="false" customHeight="true" outlineLevel="0" collapsed="false">
      <c r="A93" s="207"/>
      <c r="B93" s="207"/>
      <c r="C93" s="207"/>
      <c r="D93" s="207"/>
      <c r="E93" s="207"/>
      <c r="F93" s="19"/>
      <c r="G93" s="207"/>
      <c r="H93" s="207"/>
      <c r="I93" s="207"/>
      <c r="J93" s="207"/>
      <c r="K93" s="207"/>
      <c r="L93" s="19"/>
      <c r="M93" s="207"/>
      <c r="N93" s="207"/>
      <c r="O93" s="207"/>
      <c r="P93" s="207"/>
      <c r="Q93" s="207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56.25" hidden="false" customHeight="true" outlineLevel="0" collapsed="false">
      <c r="A94" s="208" t="s">
        <v>250</v>
      </c>
      <c r="B94" s="208"/>
      <c r="C94" s="208"/>
      <c r="D94" s="208"/>
      <c r="E94" s="208"/>
      <c r="F94" s="19"/>
      <c r="G94" s="208" t="s">
        <v>250</v>
      </c>
      <c r="H94" s="208"/>
      <c r="I94" s="208"/>
      <c r="J94" s="208"/>
      <c r="K94" s="208"/>
      <c r="L94" s="19"/>
      <c r="M94" s="208" t="s">
        <v>251</v>
      </c>
      <c r="N94" s="208"/>
      <c r="O94" s="208"/>
      <c r="P94" s="208"/>
      <c r="Q94" s="208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8.75" hidden="false" customHeight="true" outlineLevel="0" collapsed="false">
      <c r="A95" s="209"/>
      <c r="B95" s="207"/>
      <c r="C95" s="207"/>
      <c r="D95" s="207"/>
      <c r="E95" s="210"/>
      <c r="F95" s="19"/>
      <c r="G95" s="209"/>
      <c r="H95" s="207"/>
      <c r="I95" s="207"/>
      <c r="J95" s="207"/>
      <c r="K95" s="210"/>
      <c r="L95" s="19"/>
      <c r="M95" s="209"/>
      <c r="N95" s="207"/>
      <c r="O95" s="207"/>
      <c r="P95" s="207"/>
      <c r="Q95" s="210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8.75" hidden="false" customHeight="true" outlineLevel="0" collapsed="false">
      <c r="A96" s="211" t="s">
        <v>26</v>
      </c>
      <c r="B96" s="211"/>
      <c r="C96" s="211"/>
      <c r="D96" s="211"/>
      <c r="E96" s="211"/>
      <c r="F96" s="19"/>
      <c r="G96" s="211" t="s">
        <v>26</v>
      </c>
      <c r="H96" s="211"/>
      <c r="I96" s="211"/>
      <c r="J96" s="211"/>
      <c r="K96" s="211"/>
      <c r="L96" s="19"/>
      <c r="M96" s="211" t="s">
        <v>26</v>
      </c>
      <c r="N96" s="211"/>
      <c r="O96" s="211"/>
      <c r="P96" s="211"/>
      <c r="Q96" s="211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8.75" hidden="false" customHeight="true" outlineLevel="0" collapsed="false">
      <c r="A97" s="209"/>
      <c r="B97" s="207"/>
      <c r="C97" s="207"/>
      <c r="D97" s="207"/>
      <c r="E97" s="210"/>
      <c r="F97" s="19"/>
      <c r="G97" s="209"/>
      <c r="H97" s="207"/>
      <c r="I97" s="207"/>
      <c r="J97" s="207"/>
      <c r="K97" s="210"/>
      <c r="L97" s="19"/>
      <c r="M97" s="209"/>
      <c r="N97" s="207"/>
      <c r="O97" s="207"/>
      <c r="P97" s="207"/>
      <c r="Q97" s="210"/>
      <c r="R97" s="19"/>
      <c r="S97" s="19"/>
      <c r="T97" s="19"/>
      <c r="U97" s="19"/>
      <c r="V97" s="19"/>
      <c r="W97" s="19"/>
      <c r="X97" s="19"/>
      <c r="Y97" s="19" t="s">
        <v>100</v>
      </c>
      <c r="Z97" s="19"/>
      <c r="AC97" s="394"/>
    </row>
    <row r="98" customFormat="false" ht="18.75" hidden="false" customHeight="true" outlineLevel="0" collapsed="false">
      <c r="A98" s="209" t="s">
        <v>98</v>
      </c>
      <c r="B98" s="207" t="s">
        <v>23</v>
      </c>
      <c r="C98" s="207"/>
      <c r="D98" s="207" t="s">
        <v>252</v>
      </c>
      <c r="E98" s="210"/>
      <c r="F98" s="19"/>
      <c r="G98" s="209" t="s">
        <v>98</v>
      </c>
      <c r="H98" s="207" t="s">
        <v>23</v>
      </c>
      <c r="I98" s="207"/>
      <c r="J98" s="207" t="s">
        <v>252</v>
      </c>
      <c r="K98" s="210"/>
      <c r="L98" s="19"/>
      <c r="M98" s="209" t="s">
        <v>98</v>
      </c>
      <c r="N98" s="207" t="s">
        <v>23</v>
      </c>
      <c r="O98" s="207"/>
      <c r="P98" s="207" t="s">
        <v>252</v>
      </c>
      <c r="Q98" s="210"/>
      <c r="R98" s="19"/>
      <c r="S98" s="19"/>
      <c r="T98" s="19"/>
      <c r="U98" s="19"/>
      <c r="V98" s="19"/>
      <c r="W98" s="19"/>
      <c r="X98" s="19"/>
      <c r="Y98" s="19" t="s">
        <v>253</v>
      </c>
      <c r="Z98" s="19"/>
    </row>
    <row r="99" customFormat="false" ht="18.75" hidden="false" customHeight="true" outlineLevel="0" collapsed="false">
      <c r="A99" s="214" t="s">
        <v>254</v>
      </c>
      <c r="B99" s="286" t="s">
        <v>315</v>
      </c>
      <c r="C99" s="286"/>
      <c r="D99" s="72" t="n">
        <v>1000</v>
      </c>
      <c r="E99" s="72"/>
      <c r="F99" s="19"/>
      <c r="G99" s="214" t="s">
        <v>254</v>
      </c>
      <c r="H99" s="286" t="s">
        <v>258</v>
      </c>
      <c r="I99" s="286"/>
      <c r="J99" s="72" t="n">
        <v>0</v>
      </c>
      <c r="K99" s="72"/>
      <c r="L99" s="19"/>
      <c r="M99" s="214" t="s">
        <v>254</v>
      </c>
      <c r="N99" s="286" t="s">
        <v>258</v>
      </c>
      <c r="O99" s="286"/>
      <c r="P99" s="72" t="n">
        <v>0</v>
      </c>
      <c r="Q99" s="72"/>
      <c r="R99" s="19"/>
      <c r="S99" s="19"/>
      <c r="T99" s="19"/>
      <c r="U99" s="19"/>
      <c r="V99" s="19"/>
      <c r="W99" s="19"/>
      <c r="X99" s="19"/>
      <c r="Y99" s="19" t="s">
        <v>257</v>
      </c>
      <c r="Z99" s="19"/>
    </row>
    <row r="100" customFormat="false" ht="18.75" hidden="false" customHeight="true" outlineLevel="0" collapsed="false">
      <c r="A100" s="209"/>
      <c r="B100" s="207"/>
      <c r="C100" s="207"/>
      <c r="D100" s="207"/>
      <c r="E100" s="210"/>
      <c r="F100" s="19"/>
      <c r="G100" s="209"/>
      <c r="H100" s="207"/>
      <c r="I100" s="207"/>
      <c r="J100" s="207"/>
      <c r="K100" s="210"/>
      <c r="L100" s="19"/>
      <c r="M100" s="209"/>
      <c r="N100" s="207"/>
      <c r="O100" s="207"/>
      <c r="P100" s="207"/>
      <c r="Q100" s="210"/>
      <c r="R100" s="19"/>
      <c r="S100" s="19"/>
      <c r="T100" s="19"/>
      <c r="U100" s="19"/>
      <c r="V100" s="19"/>
      <c r="W100" s="19"/>
      <c r="X100" s="19"/>
      <c r="Y100" s="19" t="s">
        <v>258</v>
      </c>
      <c r="Z100" s="19"/>
    </row>
    <row r="101" customFormat="false" ht="18.75" hidden="false" customHeight="true" outlineLevel="0" collapsed="false">
      <c r="A101" s="209" t="s">
        <v>259</v>
      </c>
      <c r="B101" s="207" t="s">
        <v>260</v>
      </c>
      <c r="C101" s="207"/>
      <c r="D101" s="207" t="s">
        <v>261</v>
      </c>
      <c r="E101" s="210"/>
      <c r="F101" s="19"/>
      <c r="G101" s="209" t="s">
        <v>259</v>
      </c>
      <c r="H101" s="207" t="s">
        <v>260</v>
      </c>
      <c r="I101" s="207"/>
      <c r="J101" s="207" t="s">
        <v>261</v>
      </c>
      <c r="K101" s="210"/>
      <c r="L101" s="19"/>
      <c r="M101" s="209" t="s">
        <v>259</v>
      </c>
      <c r="N101" s="207" t="s">
        <v>260</v>
      </c>
      <c r="O101" s="207"/>
      <c r="P101" s="207" t="s">
        <v>261</v>
      </c>
      <c r="Q101" s="210"/>
      <c r="R101" s="19"/>
      <c r="S101" s="19"/>
      <c r="T101" s="19"/>
      <c r="U101" s="19"/>
      <c r="V101" s="19"/>
      <c r="W101" s="19"/>
      <c r="X101" s="19"/>
      <c r="Y101" s="19" t="s">
        <v>262</v>
      </c>
      <c r="Z101" s="19"/>
    </row>
    <row r="102" customFormat="false" ht="18.75" hidden="false" customHeight="true" outlineLevel="0" collapsed="false">
      <c r="A102" s="288" t="n">
        <v>239.99</v>
      </c>
      <c r="B102" s="72" t="n">
        <v>400</v>
      </c>
      <c r="C102" s="72"/>
      <c r="D102" s="72" t="n">
        <v>200</v>
      </c>
      <c r="E102" s="72"/>
      <c r="F102" s="19"/>
      <c r="G102" s="288" t="n">
        <v>199.99</v>
      </c>
      <c r="H102" s="72" t="n">
        <v>0</v>
      </c>
      <c r="I102" s="72"/>
      <c r="J102" s="72" t="n">
        <v>0</v>
      </c>
      <c r="K102" s="72"/>
      <c r="L102" s="19"/>
      <c r="M102" s="288" t="n">
        <v>199.99</v>
      </c>
      <c r="N102" s="72" t="n">
        <v>0</v>
      </c>
      <c r="O102" s="72"/>
      <c r="P102" s="72" t="n">
        <v>0</v>
      </c>
      <c r="Q102" s="72"/>
      <c r="R102" s="19"/>
      <c r="S102" s="19"/>
      <c r="T102" s="19"/>
      <c r="U102" s="19"/>
      <c r="V102" s="19"/>
      <c r="W102" s="19"/>
      <c r="X102" s="19"/>
      <c r="Y102" s="19" t="s">
        <v>256</v>
      </c>
      <c r="Z102" s="19"/>
    </row>
    <row r="103" customFormat="false" ht="18.75" hidden="false" customHeight="true" outlineLevel="0" collapsed="false">
      <c r="A103" s="209"/>
      <c r="B103" s="207"/>
      <c r="C103" s="207"/>
      <c r="D103" s="207"/>
      <c r="E103" s="210"/>
      <c r="F103" s="19"/>
      <c r="G103" s="209"/>
      <c r="H103" s="207"/>
      <c r="I103" s="207"/>
      <c r="J103" s="207"/>
      <c r="K103" s="210"/>
      <c r="L103" s="19"/>
      <c r="M103" s="209"/>
      <c r="N103" s="207"/>
      <c r="O103" s="207"/>
      <c r="P103" s="207"/>
      <c r="Q103" s="210"/>
      <c r="R103" s="19"/>
      <c r="S103" s="19"/>
      <c r="T103" s="19"/>
      <c r="U103" s="19"/>
      <c r="V103" s="19"/>
      <c r="W103" s="19"/>
      <c r="X103" s="19"/>
      <c r="Y103" s="19" t="s">
        <v>255</v>
      </c>
      <c r="Z103" s="19"/>
    </row>
    <row r="104" customFormat="false" ht="18.75" hidden="false" customHeight="true" outlineLevel="0" collapsed="false">
      <c r="A104" s="214" t="s">
        <v>22</v>
      </c>
      <c r="B104" s="19" t="s">
        <v>101</v>
      </c>
      <c r="C104" s="207"/>
      <c r="D104" s="207" t="s">
        <v>112</v>
      </c>
      <c r="E104" s="210"/>
      <c r="F104" s="19"/>
      <c r="G104" s="214" t="s">
        <v>22</v>
      </c>
      <c r="H104" s="19" t="s">
        <v>101</v>
      </c>
      <c r="I104" s="207"/>
      <c r="J104" s="207" t="s">
        <v>112</v>
      </c>
      <c r="K104" s="210"/>
      <c r="L104" s="19"/>
      <c r="M104" s="214" t="s">
        <v>22</v>
      </c>
      <c r="N104" s="19" t="s">
        <v>101</v>
      </c>
      <c r="O104" s="207"/>
      <c r="P104" s="207" t="s">
        <v>112</v>
      </c>
      <c r="Q104" s="210"/>
      <c r="R104" s="19"/>
      <c r="S104" s="19"/>
      <c r="T104" s="19"/>
      <c r="U104" s="19"/>
      <c r="V104" s="19"/>
      <c r="W104" s="19"/>
      <c r="X104" s="19"/>
      <c r="Y104" s="19" t="s">
        <v>263</v>
      </c>
      <c r="Z104" s="19"/>
    </row>
    <row r="105" customFormat="false" ht="18.75" hidden="false" customHeight="true" outlineLevel="0" collapsed="false">
      <c r="A105" s="216" t="s">
        <v>10</v>
      </c>
      <c r="B105" s="289" t="n">
        <v>0</v>
      </c>
      <c r="C105" s="289"/>
      <c r="D105" s="72" t="s">
        <v>264</v>
      </c>
      <c r="E105" s="72"/>
      <c r="F105" s="19"/>
      <c r="G105" s="216" t="s">
        <v>9</v>
      </c>
      <c r="H105" s="289" t="n">
        <v>0.2</v>
      </c>
      <c r="I105" s="289"/>
      <c r="J105" s="72"/>
      <c r="K105" s="72"/>
      <c r="L105" s="19"/>
      <c r="M105" s="216" t="s">
        <v>9</v>
      </c>
      <c r="N105" s="289" t="n">
        <v>0.2</v>
      </c>
      <c r="O105" s="289"/>
      <c r="P105" s="72" t="n">
        <v>0</v>
      </c>
      <c r="Q105" s="72"/>
      <c r="R105" s="19"/>
      <c r="S105" s="19"/>
      <c r="T105" s="19"/>
      <c r="U105" s="19"/>
      <c r="V105" s="19"/>
      <c r="W105" s="19"/>
      <c r="X105" s="19"/>
      <c r="Y105" s="19" t="s">
        <v>265</v>
      </c>
      <c r="Z105" s="19"/>
    </row>
    <row r="106" customFormat="false" ht="18.75" hidden="false" customHeight="true" outlineLevel="0" collapsed="false">
      <c r="A106" s="209"/>
      <c r="B106" s="207"/>
      <c r="C106" s="207"/>
      <c r="D106" s="207"/>
      <c r="E106" s="210"/>
      <c r="F106" s="19"/>
      <c r="G106" s="209"/>
      <c r="H106" s="207"/>
      <c r="I106" s="207"/>
      <c r="J106" s="207"/>
      <c r="K106" s="210"/>
      <c r="L106" s="19"/>
      <c r="M106" s="209"/>
      <c r="N106" s="207"/>
      <c r="O106" s="207"/>
      <c r="P106" s="207"/>
      <c r="Q106" s="210"/>
      <c r="R106" s="19"/>
      <c r="S106" s="19"/>
      <c r="T106" s="19"/>
      <c r="U106" s="19"/>
      <c r="V106" s="19"/>
      <c r="W106" s="19"/>
      <c r="X106" s="19"/>
      <c r="Y106" s="19"/>
      <c r="Z106" s="19"/>
    </row>
    <row r="107" customFormat="false" ht="18.75" hidden="false" customHeight="true" outlineLevel="0" collapsed="false">
      <c r="A107" s="209"/>
      <c r="B107" s="207"/>
      <c r="C107" s="207"/>
      <c r="D107" s="207"/>
      <c r="E107" s="210"/>
      <c r="F107" s="19"/>
      <c r="G107" s="209"/>
      <c r="H107" s="207"/>
      <c r="I107" s="207"/>
      <c r="J107" s="207"/>
      <c r="K107" s="210"/>
      <c r="L107" s="19"/>
      <c r="M107" s="209"/>
      <c r="N107" s="207" t="s">
        <v>266</v>
      </c>
      <c r="O107" s="216" t="s">
        <v>9</v>
      </c>
      <c r="P107" s="207"/>
      <c r="Q107" s="210"/>
      <c r="R107" s="19"/>
      <c r="S107" s="19"/>
      <c r="T107" s="19"/>
      <c r="U107" s="19"/>
      <c r="V107" s="19"/>
      <c r="W107" s="19"/>
      <c r="X107" s="19"/>
      <c r="Y107" s="19"/>
      <c r="Z107" s="19"/>
    </row>
    <row r="108" customFormat="false" ht="18.75" hidden="false" customHeight="true" outlineLevel="0" collapsed="false">
      <c r="A108" s="211" t="s">
        <v>267</v>
      </c>
      <c r="B108" s="211"/>
      <c r="C108" s="211"/>
      <c r="D108" s="211"/>
      <c r="E108" s="211"/>
      <c r="F108" s="19"/>
      <c r="G108" s="211" t="s">
        <v>267</v>
      </c>
      <c r="H108" s="211"/>
      <c r="I108" s="211"/>
      <c r="J108" s="211"/>
      <c r="K108" s="211"/>
      <c r="L108" s="19"/>
      <c r="M108" s="211" t="s">
        <v>267</v>
      </c>
      <c r="N108" s="211"/>
      <c r="O108" s="211"/>
      <c r="P108" s="211"/>
      <c r="Q108" s="211"/>
      <c r="R108" s="19"/>
      <c r="S108" s="19"/>
      <c r="T108" s="19"/>
      <c r="U108" s="19"/>
      <c r="V108" s="19"/>
      <c r="W108" s="19"/>
      <c r="X108" s="19"/>
      <c r="Y108" s="19"/>
      <c r="Z108" s="19"/>
    </row>
    <row r="109" customFormat="false" ht="18.75" hidden="false" customHeight="true" outlineLevel="0" collapsed="false">
      <c r="A109" s="209"/>
      <c r="B109" s="207"/>
      <c r="C109" s="207"/>
      <c r="D109" s="207"/>
      <c r="E109" s="210"/>
      <c r="F109" s="19"/>
      <c r="G109" s="209"/>
      <c r="H109" s="207"/>
      <c r="I109" s="207"/>
      <c r="J109" s="207"/>
      <c r="K109" s="210"/>
      <c r="L109" s="19"/>
      <c r="M109" s="209"/>
      <c r="N109" s="207"/>
      <c r="O109" s="207"/>
      <c r="P109" s="207"/>
      <c r="Q109" s="210"/>
      <c r="R109" s="19"/>
      <c r="S109" s="19"/>
      <c r="T109" s="19"/>
      <c r="U109" s="19"/>
      <c r="V109" s="19"/>
      <c r="W109" s="19"/>
      <c r="X109" s="19"/>
      <c r="Y109" s="19"/>
      <c r="Z109" s="19"/>
    </row>
    <row r="110" customFormat="false" ht="18.75" hidden="false" customHeight="true" outlineLevel="0" collapsed="false">
      <c r="A110" s="209" t="s">
        <v>268</v>
      </c>
      <c r="B110" s="216" t="s">
        <v>10</v>
      </c>
      <c r="C110" s="207"/>
      <c r="D110" s="207"/>
      <c r="E110" s="210"/>
      <c r="F110" s="19"/>
      <c r="G110" s="209" t="s">
        <v>268</v>
      </c>
      <c r="H110" s="216" t="s">
        <v>10</v>
      </c>
      <c r="I110" s="207"/>
      <c r="J110" s="207"/>
      <c r="K110" s="210"/>
      <c r="L110" s="19"/>
      <c r="M110" s="209" t="s">
        <v>268</v>
      </c>
      <c r="N110" s="216" t="s">
        <v>10</v>
      </c>
      <c r="O110" s="207"/>
      <c r="P110" s="207"/>
      <c r="Q110" s="210"/>
      <c r="R110" s="19"/>
      <c r="S110" s="19"/>
      <c r="T110" s="19"/>
      <c r="U110" s="19"/>
      <c r="V110" s="19"/>
      <c r="W110" s="19"/>
      <c r="X110" s="19"/>
      <c r="Y110" s="19"/>
      <c r="Z110" s="19"/>
    </row>
    <row r="111" customFormat="false" ht="18.75" hidden="false" customHeight="true" outlineLevel="0" collapsed="false">
      <c r="A111" s="209"/>
      <c r="B111" s="207"/>
      <c r="C111" s="207"/>
      <c r="D111" s="207"/>
      <c r="E111" s="210"/>
      <c r="F111" s="19"/>
      <c r="G111" s="209"/>
      <c r="H111" s="207"/>
      <c r="I111" s="207"/>
      <c r="J111" s="207"/>
      <c r="K111" s="210"/>
      <c r="L111" s="19"/>
      <c r="M111" s="209"/>
      <c r="N111" s="207"/>
      <c r="O111" s="207"/>
      <c r="P111" s="207"/>
      <c r="Q111" s="210"/>
      <c r="R111" s="19"/>
      <c r="S111" s="19"/>
      <c r="T111" s="19"/>
      <c r="U111" s="19"/>
      <c r="V111" s="19"/>
      <c r="W111" s="19"/>
      <c r="X111" s="19"/>
      <c r="Y111" s="19"/>
      <c r="Z111" s="19"/>
    </row>
    <row r="112" customFormat="false" ht="18.75" hidden="false" customHeight="true" outlineLevel="0" collapsed="false">
      <c r="A112" s="209" t="s">
        <v>146</v>
      </c>
      <c r="B112" s="207"/>
      <c r="C112" s="207"/>
      <c r="D112" s="288" t="n">
        <v>10000</v>
      </c>
      <c r="E112" s="72" t="n">
        <v>6000</v>
      </c>
      <c r="F112" s="19"/>
      <c r="G112" s="209" t="s">
        <v>146</v>
      </c>
      <c r="H112" s="207"/>
      <c r="I112" s="207"/>
      <c r="J112" s="288" t="n">
        <v>0</v>
      </c>
      <c r="K112" s="72" t="n">
        <v>0</v>
      </c>
      <c r="L112" s="19"/>
      <c r="M112" s="209" t="s">
        <v>146</v>
      </c>
      <c r="N112" s="207"/>
      <c r="O112" s="207"/>
      <c r="P112" s="288" t="n">
        <v>500</v>
      </c>
      <c r="Q112" s="72" t="n">
        <v>300</v>
      </c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8.75" hidden="false" customHeight="true" outlineLevel="0" collapsed="false">
      <c r="A113" s="209" t="s">
        <v>147</v>
      </c>
      <c r="B113" s="207"/>
      <c r="C113" s="207"/>
      <c r="D113" s="38" t="n">
        <f aca="false">E113</f>
        <v>2000</v>
      </c>
      <c r="E113" s="72" t="n">
        <v>2000</v>
      </c>
      <c r="F113" s="19"/>
      <c r="G113" s="209" t="s">
        <v>147</v>
      </c>
      <c r="H113" s="207"/>
      <c r="I113" s="207"/>
      <c r="J113" s="38" t="n">
        <f aca="false">K113</f>
        <v>0</v>
      </c>
      <c r="K113" s="72" t="n">
        <v>0</v>
      </c>
      <c r="L113" s="19"/>
      <c r="M113" s="209" t="s">
        <v>147</v>
      </c>
      <c r="N113" s="207"/>
      <c r="O113" s="207"/>
      <c r="P113" s="38" t="n">
        <f aca="false">Q113</f>
        <v>100</v>
      </c>
      <c r="Q113" s="72" t="n">
        <v>100</v>
      </c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8.75" hidden="false" customHeight="true" outlineLevel="0" collapsed="false">
      <c r="A114" s="209" t="s">
        <v>148</v>
      </c>
      <c r="B114" s="207"/>
      <c r="C114" s="207"/>
      <c r="D114" s="38" t="n">
        <f aca="false">D112-D113</f>
        <v>8000</v>
      </c>
      <c r="E114" s="163" t="n">
        <f aca="false">E112-E113</f>
        <v>4000</v>
      </c>
      <c r="F114" s="19"/>
      <c r="G114" s="209" t="s">
        <v>148</v>
      </c>
      <c r="H114" s="207"/>
      <c r="I114" s="207"/>
      <c r="J114" s="38" t="n">
        <f aca="false">J112-J113</f>
        <v>0</v>
      </c>
      <c r="K114" s="163" t="n">
        <f aca="false">K112-K113</f>
        <v>0</v>
      </c>
      <c r="L114" s="19"/>
      <c r="M114" s="209" t="s">
        <v>148</v>
      </c>
      <c r="N114" s="207"/>
      <c r="O114" s="207"/>
      <c r="P114" s="38" t="n">
        <f aca="false">P112-P113</f>
        <v>400</v>
      </c>
      <c r="Q114" s="163" t="n">
        <f aca="false">Q112-Q113</f>
        <v>200</v>
      </c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8.75" hidden="false" customHeight="true" outlineLevel="0" collapsed="false">
      <c r="A115" s="209" t="s">
        <v>149</v>
      </c>
      <c r="B115" s="207"/>
      <c r="C115" s="207"/>
      <c r="D115" s="38" t="n">
        <f aca="false">D114-E114</f>
        <v>4000</v>
      </c>
      <c r="E115" s="210"/>
      <c r="F115" s="19"/>
      <c r="G115" s="209" t="s">
        <v>149</v>
      </c>
      <c r="H115" s="207"/>
      <c r="I115" s="207"/>
      <c r="J115" s="38" t="n">
        <f aca="false">J114-K114</f>
        <v>0</v>
      </c>
      <c r="K115" s="210"/>
      <c r="L115" s="19"/>
      <c r="M115" s="209" t="s">
        <v>149</v>
      </c>
      <c r="N115" s="207"/>
      <c r="O115" s="207"/>
      <c r="P115" s="38" t="n">
        <f aca="false">P114-Q114</f>
        <v>200</v>
      </c>
      <c r="Q115" s="210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8.75" hidden="false" customHeight="true" outlineLevel="0" collapsed="false">
      <c r="A116" s="209"/>
      <c r="B116" s="207"/>
      <c r="C116" s="207"/>
      <c r="D116" s="207"/>
      <c r="E116" s="210"/>
      <c r="F116" s="19"/>
      <c r="G116" s="209"/>
      <c r="H116" s="207"/>
      <c r="I116" s="207"/>
      <c r="J116" s="207"/>
      <c r="K116" s="210"/>
      <c r="L116" s="19"/>
      <c r="M116" s="209"/>
      <c r="N116" s="207"/>
      <c r="O116" s="207"/>
      <c r="P116" s="207"/>
      <c r="Q116" s="210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8.75" hidden="false" customHeight="true" outlineLevel="0" collapsed="false">
      <c r="A117" s="255" t="s">
        <v>108</v>
      </c>
      <c r="B117" s="256"/>
      <c r="C117" s="256"/>
      <c r="D117" s="256"/>
      <c r="E117" s="137" t="n">
        <f aca="false">D99</f>
        <v>1000</v>
      </c>
      <c r="F117" s="19"/>
      <c r="G117" s="255" t="s">
        <v>108</v>
      </c>
      <c r="H117" s="256"/>
      <c r="I117" s="256"/>
      <c r="J117" s="256"/>
      <c r="K117" s="137" t="n">
        <f aca="false">J99</f>
        <v>0</v>
      </c>
      <c r="L117" s="19"/>
      <c r="M117" s="255" t="s">
        <v>108</v>
      </c>
      <c r="N117" s="256"/>
      <c r="O117" s="256"/>
      <c r="P117" s="256"/>
      <c r="Q117" s="137" t="n">
        <f aca="false">P99</f>
        <v>0</v>
      </c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8.75" hidden="false" customHeight="true" outlineLevel="0" collapsed="false">
      <c r="A118" s="209" t="s">
        <v>152</v>
      </c>
      <c r="B118" s="207"/>
      <c r="C118" s="207"/>
      <c r="D118" s="207"/>
      <c r="E118" s="273" t="n">
        <f aca="false">A102</f>
        <v>239.99</v>
      </c>
      <c r="F118" s="19"/>
      <c r="G118" s="209" t="s">
        <v>152</v>
      </c>
      <c r="H118" s="207"/>
      <c r="I118" s="207"/>
      <c r="J118" s="207"/>
      <c r="K118" s="273" t="n">
        <f aca="false">G102</f>
        <v>199.99</v>
      </c>
      <c r="L118" s="19"/>
      <c r="M118" s="209" t="s">
        <v>152</v>
      </c>
      <c r="N118" s="207"/>
      <c r="O118" s="207"/>
      <c r="P118" s="207"/>
      <c r="Q118" s="273" t="n">
        <f aca="false">M102</f>
        <v>199.99</v>
      </c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8.75" hidden="false" customHeight="true" outlineLevel="0" collapsed="false">
      <c r="A119" s="290" t="s">
        <v>269</v>
      </c>
      <c r="B119" s="253"/>
      <c r="C119" s="253"/>
      <c r="D119" s="253"/>
      <c r="E119" s="139" t="n">
        <f aca="false">((E118/1.2)+E117)-(D115-E113)</f>
        <v>-800.008333333333</v>
      </c>
      <c r="F119" s="19"/>
      <c r="G119" s="290" t="s">
        <v>269</v>
      </c>
      <c r="H119" s="253"/>
      <c r="I119" s="253"/>
      <c r="J119" s="253"/>
      <c r="K119" s="139" t="n">
        <f aca="false">((K118/1.2)+K117)-(J115-K113)</f>
        <v>166.658333333333</v>
      </c>
      <c r="L119" s="19"/>
      <c r="M119" s="290" t="s">
        <v>269</v>
      </c>
      <c r="N119" s="253"/>
      <c r="O119" s="253"/>
      <c r="P119" s="253"/>
      <c r="Q119" s="139" t="n">
        <f aca="false">(Q118+Q117)-P115</f>
        <v>-0.00999999999999091</v>
      </c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8.75" hidden="false" customHeight="true" outlineLevel="0" collapsed="false">
      <c r="A120" s="209"/>
      <c r="B120" s="207"/>
      <c r="C120" s="207"/>
      <c r="D120" s="207"/>
      <c r="E120" s="210"/>
      <c r="F120" s="19"/>
      <c r="G120" s="209"/>
      <c r="H120" s="207"/>
      <c r="I120" s="207"/>
      <c r="J120" s="207"/>
      <c r="K120" s="210"/>
      <c r="L120" s="19"/>
      <c r="M120" s="209"/>
      <c r="N120" s="207"/>
      <c r="O120" s="207"/>
      <c r="P120" s="207"/>
      <c r="Q120" s="210"/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8.75" hidden="false" customHeight="true" outlineLevel="0" collapsed="false">
      <c r="A121" s="209"/>
      <c r="B121" s="207"/>
      <c r="C121" s="207"/>
      <c r="D121" s="207"/>
      <c r="E121" s="210"/>
      <c r="F121" s="19"/>
      <c r="G121" s="209"/>
      <c r="H121" s="207"/>
      <c r="I121" s="207"/>
      <c r="J121" s="207"/>
      <c r="K121" s="210"/>
      <c r="L121" s="19"/>
      <c r="M121" s="209"/>
      <c r="N121" s="207"/>
      <c r="O121" s="207"/>
      <c r="P121" s="207"/>
      <c r="Q121" s="210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8.75" hidden="false" customHeight="true" outlineLevel="0" collapsed="false">
      <c r="A122" s="211" t="s">
        <v>270</v>
      </c>
      <c r="B122" s="211"/>
      <c r="C122" s="211"/>
      <c r="D122" s="211"/>
      <c r="E122" s="211"/>
      <c r="F122" s="19"/>
      <c r="G122" s="211" t="s">
        <v>270</v>
      </c>
      <c r="H122" s="211"/>
      <c r="I122" s="211"/>
      <c r="J122" s="211"/>
      <c r="K122" s="211"/>
      <c r="L122" s="19"/>
      <c r="M122" s="211" t="s">
        <v>270</v>
      </c>
      <c r="N122" s="211"/>
      <c r="O122" s="211"/>
      <c r="P122" s="211"/>
      <c r="Q122" s="211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8.75" hidden="false" customHeight="true" outlineLevel="0" collapsed="false">
      <c r="A123" s="291"/>
      <c r="B123" s="292"/>
      <c r="C123" s="292"/>
      <c r="D123" s="292"/>
      <c r="E123" s="293"/>
      <c r="F123" s="19"/>
      <c r="G123" s="209"/>
      <c r="H123" s="207"/>
      <c r="I123" s="207"/>
      <c r="J123" s="207"/>
      <c r="K123" s="210"/>
      <c r="L123" s="19"/>
      <c r="M123" s="209"/>
      <c r="N123" s="207"/>
      <c r="O123" s="207"/>
      <c r="P123" s="207"/>
      <c r="Q123" s="210"/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8.75" hidden="false" customHeight="true" outlineLevel="0" collapsed="false">
      <c r="A124" s="294" t="s">
        <v>98</v>
      </c>
      <c r="B124" s="295" t="n">
        <v>0</v>
      </c>
      <c r="C124" s="296"/>
      <c r="D124" s="295" t="s">
        <v>33</v>
      </c>
      <c r="E124" s="297"/>
      <c r="F124" s="19"/>
      <c r="G124" s="209" t="s">
        <v>29</v>
      </c>
      <c r="H124" s="168" t="n">
        <v>0</v>
      </c>
      <c r="I124" s="168"/>
      <c r="J124" s="207"/>
      <c r="K124" s="210"/>
      <c r="L124" s="19"/>
      <c r="M124" s="209" t="s">
        <v>29</v>
      </c>
      <c r="N124" s="168" t="n">
        <v>0</v>
      </c>
      <c r="O124" s="168"/>
      <c r="P124" s="207"/>
      <c r="Q124" s="210"/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8.75" hidden="false" customHeight="true" outlineLevel="0" collapsed="false">
      <c r="A125" s="298" t="s">
        <v>254</v>
      </c>
      <c r="B125" s="299" t="n">
        <f aca="false">A161</f>
        <v>22</v>
      </c>
      <c r="C125" s="300"/>
      <c r="D125" s="299" t="n">
        <f aca="false">B160</f>
        <v>22000</v>
      </c>
      <c r="E125" s="297"/>
      <c r="F125" s="19"/>
      <c r="G125" s="209"/>
      <c r="H125" s="207"/>
      <c r="I125" s="207"/>
      <c r="J125" s="207"/>
      <c r="K125" s="210"/>
      <c r="L125" s="19"/>
      <c r="M125" s="209"/>
      <c r="N125" s="207"/>
      <c r="O125" s="207"/>
      <c r="P125" s="207"/>
      <c r="Q125" s="210"/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8.75" hidden="false" customHeight="true" outlineLevel="0" collapsed="false">
      <c r="A126" s="294"/>
      <c r="B126" s="295"/>
      <c r="C126" s="295"/>
      <c r="D126" s="295"/>
      <c r="E126" s="297"/>
      <c r="F126" s="19"/>
      <c r="G126" s="302" t="s">
        <v>273</v>
      </c>
      <c r="H126" s="303" t="s">
        <v>274</v>
      </c>
      <c r="I126" s="303"/>
      <c r="J126" s="303" t="s">
        <v>275</v>
      </c>
      <c r="K126" s="210"/>
      <c r="L126" s="19"/>
      <c r="M126" s="302" t="s">
        <v>276</v>
      </c>
      <c r="N126" s="303" t="s">
        <v>227</v>
      </c>
      <c r="O126" s="303"/>
      <c r="P126" s="303" t="s">
        <v>93</v>
      </c>
      <c r="Q126" s="210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8.75" hidden="false" customHeight="true" outlineLevel="0" collapsed="false">
      <c r="A127" s="294" t="s">
        <v>92</v>
      </c>
      <c r="B127" s="295" t="s">
        <v>271</v>
      </c>
      <c r="C127" s="296"/>
      <c r="D127" s="295" t="s">
        <v>272</v>
      </c>
      <c r="E127" s="297"/>
      <c r="F127" s="19"/>
      <c r="G127" s="307" t="n">
        <f aca="false">H90</f>
        <v>1569.5193727506</v>
      </c>
      <c r="H127" s="172" t="n">
        <f aca="false">IF(G105="YES", H89*H57, 0)</f>
        <v>0</v>
      </c>
      <c r="I127" s="172"/>
      <c r="J127" s="308" t="n">
        <f aca="false">H91</f>
        <v>1569.5193727506</v>
      </c>
      <c r="K127" s="210"/>
      <c r="L127" s="19"/>
      <c r="M127" s="307" t="n">
        <f aca="false">N90</f>
        <v>1304.11717768024</v>
      </c>
      <c r="N127" s="172" t="n">
        <f aca="false">IF(M105="YES", N89*N57, 0)</f>
        <v>0</v>
      </c>
      <c r="O127" s="172"/>
      <c r="P127" s="172" t="n">
        <f aca="false">N91</f>
        <v>1304.11717768024</v>
      </c>
      <c r="Q127" s="210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8.75" hidden="false" customHeight="true" outlineLevel="0" collapsed="false">
      <c r="A128" s="298" t="n">
        <f aca="false">B90</f>
        <v>1983.52541762287</v>
      </c>
      <c r="B128" s="296" t="n">
        <f aca="false">IF(A105="YES", B89, 0)</f>
        <v>0</v>
      </c>
      <c r="C128" s="300"/>
      <c r="D128" s="296" t="n">
        <f aca="false">B91</f>
        <v>1983.52541762287</v>
      </c>
      <c r="E128" s="297"/>
      <c r="F128" s="19"/>
      <c r="G128" s="209"/>
      <c r="H128" s="207"/>
      <c r="I128" s="207"/>
      <c r="J128" s="207"/>
      <c r="K128" s="210"/>
      <c r="L128" s="19"/>
      <c r="M128" s="209"/>
      <c r="N128" s="207"/>
      <c r="O128" s="207"/>
      <c r="P128" s="207"/>
      <c r="Q128" s="210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8.75" hidden="false" customHeight="true" outlineLevel="0" collapsed="false">
      <c r="A129" s="291"/>
      <c r="B129" s="292"/>
      <c r="C129" s="292"/>
      <c r="D129" s="292"/>
      <c r="E129" s="293"/>
      <c r="F129" s="19"/>
      <c r="G129" s="209" t="s">
        <v>28</v>
      </c>
      <c r="H129" s="207" t="s">
        <v>33</v>
      </c>
      <c r="I129" s="207"/>
      <c r="J129" s="207" t="s">
        <v>60</v>
      </c>
      <c r="K129" s="210"/>
      <c r="L129" s="19"/>
      <c r="M129" s="209" t="s">
        <v>28</v>
      </c>
      <c r="N129" s="207" t="s">
        <v>33</v>
      </c>
      <c r="O129" s="207"/>
      <c r="P129" s="207" t="s">
        <v>60</v>
      </c>
      <c r="Q129" s="210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8.75" hidden="false" customHeight="true" outlineLevel="0" collapsed="false">
      <c r="A130" s="304" t="s">
        <v>23</v>
      </c>
      <c r="B130" s="305" t="s">
        <v>277</v>
      </c>
      <c r="C130" s="306"/>
      <c r="D130" s="305" t="s">
        <v>278</v>
      </c>
      <c r="E130" s="293"/>
      <c r="F130" s="19"/>
      <c r="G130" s="222" t="n">
        <f aca="false">G152</f>
        <v>22</v>
      </c>
      <c r="H130" s="174" t="n">
        <f aca="false">B151</f>
        <v>0</v>
      </c>
      <c r="I130" s="223"/>
      <c r="J130" s="174" t="n">
        <f aca="false">B58</f>
        <v>13</v>
      </c>
      <c r="K130" s="210"/>
      <c r="L130" s="19"/>
      <c r="M130" s="222" t="n">
        <f aca="false">M155</f>
        <v>22</v>
      </c>
      <c r="N130" s="174" t="n">
        <f aca="false">B151</f>
        <v>0</v>
      </c>
      <c r="O130" s="223"/>
      <c r="P130" s="174" t="n">
        <f aca="false">B58</f>
        <v>13</v>
      </c>
      <c r="Q130" s="210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8.75" hidden="false" customHeight="true" outlineLevel="0" collapsed="false">
      <c r="A131" s="309" t="str">
        <f aca="false">B99</f>
        <v>Terminal pause with 9 down</v>
      </c>
      <c r="B131" s="201" t="n">
        <f aca="false">B90*B57</f>
        <v>17851.7287586058</v>
      </c>
      <c r="C131" s="292"/>
      <c r="D131" s="201" t="n">
        <f aca="false">IF(A105="YES", B89*B57, 0)</f>
        <v>0</v>
      </c>
      <c r="E131" s="293"/>
      <c r="F131" s="19"/>
      <c r="G131" s="209"/>
      <c r="H131" s="207"/>
      <c r="I131" s="207"/>
      <c r="J131" s="207"/>
      <c r="K131" s="210"/>
      <c r="L131" s="19"/>
      <c r="M131" s="209"/>
      <c r="N131" s="207"/>
      <c r="O131" s="207"/>
      <c r="P131" s="207"/>
      <c r="Q131" s="210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8.75" hidden="false" customHeight="true" outlineLevel="0" collapsed="false">
      <c r="A132" s="291"/>
      <c r="B132" s="292"/>
      <c r="C132" s="292"/>
      <c r="D132" s="292"/>
      <c r="E132" s="293"/>
      <c r="F132" s="19"/>
      <c r="G132" s="209" t="s">
        <v>279</v>
      </c>
      <c r="H132" s="207" t="s">
        <v>280</v>
      </c>
      <c r="I132" s="207"/>
      <c r="J132" s="207" t="s">
        <v>281</v>
      </c>
      <c r="K132" s="210"/>
      <c r="L132" s="19"/>
      <c r="M132" s="209" t="s">
        <v>282</v>
      </c>
      <c r="N132" s="207" t="s">
        <v>216</v>
      </c>
      <c r="O132" s="207"/>
      <c r="P132" s="207" t="s">
        <v>220</v>
      </c>
      <c r="Q132" s="210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8.75" hidden="false" customHeight="true" outlineLevel="0" collapsed="false">
      <c r="A133" s="123" t="s">
        <v>283</v>
      </c>
      <c r="B133" s="200" t="s">
        <v>284</v>
      </c>
      <c r="C133" s="310"/>
      <c r="D133" s="240" t="s">
        <v>177</v>
      </c>
      <c r="E133" s="293"/>
      <c r="F133" s="19"/>
      <c r="G133" s="69" t="n">
        <f aca="false">H90*H57</f>
        <v>9417.1162365036</v>
      </c>
      <c r="H133" s="37" t="n">
        <f aca="false">IF(G105="YES", H89*H57, 0)</f>
        <v>0</v>
      </c>
      <c r="I133" s="215"/>
      <c r="J133" s="232" t="n">
        <f aca="false">H91*H57</f>
        <v>9417.1162365036</v>
      </c>
      <c r="K133" s="210"/>
      <c r="L133" s="19"/>
      <c r="M133" s="69" t="n">
        <f aca="false">N90*N57</f>
        <v>7824.70306608146</v>
      </c>
      <c r="N133" s="37" t="n">
        <f aca="false">IF(M105="YES", N89*N57, 0)</f>
        <v>0</v>
      </c>
      <c r="O133" s="215"/>
      <c r="P133" s="232" t="n">
        <f aca="false">N91*N57</f>
        <v>7824.70306608146</v>
      </c>
      <c r="Q133" s="210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8.75" hidden="false" customHeight="true" outlineLevel="0" collapsed="false">
      <c r="A134" s="70" t="n">
        <f aca="false">B91*B57</f>
        <v>17851.7287586058</v>
      </c>
      <c r="B134" s="201" t="n">
        <f aca="false">E114</f>
        <v>4000</v>
      </c>
      <c r="C134" s="292"/>
      <c r="D134" s="311" t="n">
        <f aca="false">B58</f>
        <v>13</v>
      </c>
      <c r="E134" s="293"/>
      <c r="F134" s="19"/>
      <c r="G134" s="209"/>
      <c r="H134" s="207"/>
      <c r="I134" s="207"/>
      <c r="J134" s="207"/>
      <c r="K134" s="210"/>
      <c r="L134" s="19"/>
      <c r="M134" s="209"/>
      <c r="N134" s="207"/>
      <c r="O134" s="207"/>
      <c r="P134" s="207"/>
      <c r="Q134" s="210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8.75" hidden="false" customHeight="true" outlineLevel="0" collapsed="false">
      <c r="A135" s="70"/>
      <c r="B135" s="312"/>
      <c r="C135" s="292"/>
      <c r="D135" s="292"/>
      <c r="E135" s="293"/>
      <c r="F135" s="19"/>
      <c r="G135" s="209" t="s">
        <v>285</v>
      </c>
      <c r="H135" s="207" t="s">
        <v>286</v>
      </c>
      <c r="I135" s="207"/>
      <c r="J135" s="207" t="s">
        <v>287</v>
      </c>
      <c r="K135" s="210"/>
      <c r="L135" s="19"/>
      <c r="M135" s="209" t="s">
        <v>229</v>
      </c>
      <c r="N135" s="207" t="s">
        <v>230</v>
      </c>
      <c r="O135" s="207"/>
      <c r="P135" s="207" t="s">
        <v>235</v>
      </c>
      <c r="Q135" s="210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8.75" hidden="false" customHeight="true" outlineLevel="0" collapsed="false">
      <c r="A136" s="78" t="s">
        <v>92</v>
      </c>
      <c r="B136" s="313" t="s">
        <v>271</v>
      </c>
      <c r="C136" s="292"/>
      <c r="D136" s="292" t="s">
        <v>272</v>
      </c>
      <c r="E136" s="293"/>
      <c r="F136" s="19"/>
      <c r="G136" s="70" t="n">
        <f aca="false">E15*0.000006</f>
        <v>0.35115</v>
      </c>
      <c r="H136" s="37" t="n">
        <f aca="false">IF(G105="YES", E15*0.000002, 0)</f>
        <v>0.11705</v>
      </c>
      <c r="I136" s="37"/>
      <c r="J136" s="37" t="n">
        <f aca="false">G136+H136</f>
        <v>0.4682</v>
      </c>
      <c r="K136" s="177"/>
      <c r="L136" s="19"/>
      <c r="M136" s="70" t="n">
        <f aca="false">E15*0.000006</f>
        <v>0.35115</v>
      </c>
      <c r="N136" s="37" t="n">
        <f aca="false">IF(M105="YES", E15*0.000002, 0)</f>
        <v>0.11705</v>
      </c>
      <c r="O136" s="37"/>
      <c r="P136" s="37" t="n">
        <f aca="false">M136+N136</f>
        <v>0.4682</v>
      </c>
      <c r="Q136" s="177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8.75" hidden="false" customHeight="true" outlineLevel="0" collapsed="false">
      <c r="A137" s="70" t="n">
        <f aca="false">B90</f>
        <v>1983.52541762287</v>
      </c>
      <c r="B137" s="201" t="n">
        <f aca="false">IF(A105="YES", B89, 0)</f>
        <v>0</v>
      </c>
      <c r="C137" s="292"/>
      <c r="D137" s="201" t="n">
        <f aca="false">B91</f>
        <v>1983.52541762287</v>
      </c>
      <c r="E137" s="293"/>
      <c r="F137" s="19"/>
      <c r="G137" s="209"/>
      <c r="H137" s="207"/>
      <c r="I137" s="207"/>
      <c r="J137" s="207"/>
      <c r="K137" s="210"/>
      <c r="L137" s="19"/>
      <c r="M137" s="209"/>
      <c r="N137" s="207"/>
      <c r="O137" s="207"/>
      <c r="P137" s="207"/>
      <c r="Q137" s="210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8.75" hidden="false" customHeight="true" outlineLevel="0" collapsed="false">
      <c r="A138" s="291"/>
      <c r="B138" s="292"/>
      <c r="C138" s="292"/>
      <c r="D138" s="292"/>
      <c r="E138" s="293"/>
      <c r="F138" s="19"/>
      <c r="G138" s="209" t="s">
        <v>288</v>
      </c>
      <c r="H138" s="207" t="s">
        <v>289</v>
      </c>
      <c r="I138" s="207"/>
      <c r="J138" s="207" t="s">
        <v>290</v>
      </c>
      <c r="K138" s="210"/>
      <c r="L138" s="19"/>
      <c r="M138" s="209" t="s">
        <v>111</v>
      </c>
      <c r="N138" s="207" t="s">
        <v>289</v>
      </c>
      <c r="O138" s="207"/>
      <c r="P138" s="207" t="s">
        <v>290</v>
      </c>
      <c r="Q138" s="210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8.75" hidden="false" customHeight="true" outlineLevel="0" collapsed="false">
      <c r="A139" s="314" t="s">
        <v>180</v>
      </c>
      <c r="B139" s="315" t="s">
        <v>291</v>
      </c>
      <c r="C139" s="201"/>
      <c r="D139" s="315" t="s">
        <v>182</v>
      </c>
      <c r="E139" s="177"/>
      <c r="F139" s="19"/>
      <c r="G139" s="70" t="n">
        <f aca="false">G102</f>
        <v>199.99</v>
      </c>
      <c r="H139" s="37" t="n">
        <f aca="false">H67</f>
        <v>683.364583333333</v>
      </c>
      <c r="I139" s="37"/>
      <c r="J139" s="37" t="n">
        <f aca="false">H102*0.9</f>
        <v>0</v>
      </c>
      <c r="K139" s="177"/>
      <c r="L139" s="19"/>
      <c r="M139" s="70" t="n">
        <f aca="false">M102</f>
        <v>199.99</v>
      </c>
      <c r="N139" s="37" t="n">
        <f aca="false">N67</f>
        <v>683.364583333333</v>
      </c>
      <c r="O139" s="37"/>
      <c r="P139" s="37" t="n">
        <f aca="false">N102*0.9</f>
        <v>0</v>
      </c>
      <c r="Q139" s="177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8.75" hidden="false" customHeight="true" outlineLevel="0" collapsed="false">
      <c r="A140" s="316" t="n">
        <f aca="false">(G18*0.000006)*1.2*100</f>
        <v>41.6772</v>
      </c>
      <c r="B140" s="317" t="n">
        <f aca="false">IF(A105="YES", G18*0.000002, 0)*1.2*100</f>
        <v>0</v>
      </c>
      <c r="C140" s="292"/>
      <c r="D140" s="317" t="n">
        <f aca="false">A140+B140</f>
        <v>41.6772</v>
      </c>
      <c r="E140" s="293"/>
      <c r="F140" s="19"/>
      <c r="G140" s="209"/>
      <c r="H140" s="207"/>
      <c r="I140" s="207"/>
      <c r="J140" s="207"/>
      <c r="K140" s="210"/>
      <c r="L140" s="19"/>
      <c r="M140" s="209"/>
      <c r="N140" s="207"/>
      <c r="O140" s="207"/>
      <c r="P140" s="207"/>
      <c r="Q140" s="210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8.75" hidden="false" customHeight="true" outlineLevel="0" collapsed="false">
      <c r="A141" s="316"/>
      <c r="B141" s="317"/>
      <c r="C141" s="292"/>
      <c r="D141" s="317"/>
      <c r="E141" s="293"/>
      <c r="F141" s="19"/>
      <c r="G141" s="209" t="s">
        <v>292</v>
      </c>
      <c r="H141" s="207" t="s">
        <v>293</v>
      </c>
      <c r="I141" s="207"/>
      <c r="J141" s="207" t="s">
        <v>294</v>
      </c>
      <c r="K141" s="210"/>
      <c r="L141" s="19"/>
      <c r="M141" s="209" t="s">
        <v>292</v>
      </c>
      <c r="N141" s="207" t="s">
        <v>293</v>
      </c>
      <c r="O141" s="207"/>
      <c r="P141" s="207" t="s">
        <v>294</v>
      </c>
      <c r="Q141" s="210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8.75" hidden="false" customHeight="true" outlineLevel="0" collapsed="false">
      <c r="A142" s="314" t="s">
        <v>295</v>
      </c>
      <c r="B142" s="315" t="s">
        <v>152</v>
      </c>
      <c r="C142" s="201"/>
      <c r="D142" s="315" t="s">
        <v>246</v>
      </c>
      <c r="E142" s="293"/>
      <c r="F142" s="19"/>
      <c r="G142" s="70" t="e">
        <f aca="false">IF(G105="YES", ((B36*H105)*0.1)*(G130), 0)</f>
        <v>#VALUE!</v>
      </c>
      <c r="H142" s="37" t="n">
        <f aca="false">G102-100</f>
        <v>99.99</v>
      </c>
      <c r="I142" s="37"/>
      <c r="J142" s="37" t="e">
        <f aca="false">(H139+J139+G142+H142)-H145</f>
        <v>#VALUE!</v>
      </c>
      <c r="K142" s="177"/>
      <c r="L142" s="19"/>
      <c r="M142" s="70" t="e">
        <f aca="false">IF(M105="YES", ((B36*N105)*0.1)*(M130), 0)</f>
        <v>#VALUE!</v>
      </c>
      <c r="N142" s="37" t="n">
        <f aca="false">M102-100</f>
        <v>99.99</v>
      </c>
      <c r="O142" s="37"/>
      <c r="P142" s="37" t="e">
        <f aca="false">(N139+P139+M142+N142)-N145</f>
        <v>#VALUE!</v>
      </c>
      <c r="Q142" s="177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8.75" hidden="false" customHeight="true" outlineLevel="0" collapsed="false">
      <c r="A143" s="70" t="n">
        <v>0</v>
      </c>
      <c r="B143" s="201" t="n">
        <f aca="false">E118</f>
        <v>239.99</v>
      </c>
      <c r="C143" s="292"/>
      <c r="D143" s="152" t="n">
        <f aca="false">B102</f>
        <v>400</v>
      </c>
      <c r="E143" s="293"/>
      <c r="F143" s="19"/>
      <c r="G143" s="209"/>
      <c r="H143" s="207"/>
      <c r="I143" s="207"/>
      <c r="J143" s="207"/>
      <c r="K143" s="210"/>
      <c r="L143" s="19"/>
      <c r="M143" s="209"/>
      <c r="N143" s="207"/>
      <c r="O143" s="207"/>
      <c r="P143" s="207"/>
      <c r="Q143" s="210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8.75" hidden="false" customHeight="true" outlineLevel="0" collapsed="false">
      <c r="A144" s="70"/>
      <c r="B144" s="201"/>
      <c r="C144" s="292"/>
      <c r="D144" s="201"/>
      <c r="E144" s="293"/>
      <c r="F144" s="19"/>
      <c r="G144" s="209" t="s">
        <v>296</v>
      </c>
      <c r="H144" s="207" t="s">
        <v>297</v>
      </c>
      <c r="I144" s="207"/>
      <c r="J144" s="207"/>
      <c r="K144" s="210"/>
      <c r="L144" s="19"/>
      <c r="M144" s="209" t="s">
        <v>296</v>
      </c>
      <c r="N144" s="207" t="s">
        <v>297</v>
      </c>
      <c r="O144" s="207"/>
      <c r="P144" s="207"/>
      <c r="Q144" s="210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8.75" hidden="false" customHeight="true" outlineLevel="0" collapsed="false">
      <c r="A145" s="318" t="s">
        <v>298</v>
      </c>
      <c r="B145" s="319"/>
      <c r="C145" s="320"/>
      <c r="D145" s="319"/>
      <c r="E145" s="321"/>
      <c r="F145" s="19"/>
      <c r="G145" s="70" t="n">
        <v>0</v>
      </c>
      <c r="H145" s="37" t="e">
        <f aca="false">(H139+J139+G142+H142)*(G145/H64)</f>
        <v>#VALUE!</v>
      </c>
      <c r="I145" s="207"/>
      <c r="J145" s="207"/>
      <c r="K145" s="210"/>
      <c r="L145" s="19"/>
      <c r="M145" s="70" t="n">
        <v>0</v>
      </c>
      <c r="N145" s="37" t="e">
        <f aca="false">(N139+P139+M142+N142)*(M145/N64)</f>
        <v>#VALUE!</v>
      </c>
      <c r="O145" s="207"/>
      <c r="P145" s="207"/>
      <c r="Q145" s="210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8.75" hidden="false" customHeight="true" outlineLevel="0" collapsed="false">
      <c r="A146" s="316"/>
      <c r="B146" s="317"/>
      <c r="C146" s="292"/>
      <c r="D146" s="317"/>
      <c r="E146" s="293"/>
      <c r="F146" s="19"/>
      <c r="G146" s="209"/>
      <c r="H146" s="207"/>
      <c r="I146" s="207"/>
      <c r="J146" s="207"/>
      <c r="K146" s="210"/>
      <c r="L146" s="19"/>
      <c r="M146" s="70"/>
      <c r="N146" s="37"/>
      <c r="O146" s="207"/>
      <c r="P146" s="207"/>
      <c r="Q146" s="210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8.75" hidden="false" customHeight="true" outlineLevel="0" collapsed="false">
      <c r="A147" s="291" t="s">
        <v>299</v>
      </c>
      <c r="B147" s="292" t="s">
        <v>300</v>
      </c>
      <c r="C147" s="292"/>
      <c r="D147" s="292" t="s">
        <v>301</v>
      </c>
      <c r="E147" s="293"/>
      <c r="F147" s="19"/>
      <c r="G147" s="209"/>
      <c r="H147" s="207"/>
      <c r="I147" s="207"/>
      <c r="J147" s="207"/>
      <c r="K147" s="210"/>
      <c r="L147" s="19"/>
      <c r="M147" s="78" t="s">
        <v>302</v>
      </c>
      <c r="N147" s="38" t="s">
        <v>303</v>
      </c>
      <c r="O147" s="207"/>
      <c r="P147" s="207"/>
      <c r="Q147" s="210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8.75" hidden="false" customHeight="true" outlineLevel="0" collapsed="false">
      <c r="A148" s="70" t="n">
        <f aca="false">B67</f>
        <v>820.0375</v>
      </c>
      <c r="B148" s="201" t="n">
        <f aca="false">B102</f>
        <v>400</v>
      </c>
      <c r="C148" s="201"/>
      <c r="D148" s="201" t="n">
        <f aca="false">IF(A105="YES", (B40*B105)*B125, 0)*0.1</f>
        <v>0</v>
      </c>
      <c r="E148" s="177"/>
      <c r="F148" s="19"/>
      <c r="G148" s="243" t="s">
        <v>304</v>
      </c>
      <c r="H148" s="207"/>
      <c r="I148" s="207"/>
      <c r="J148" s="244"/>
      <c r="K148" s="245"/>
      <c r="L148" s="19"/>
      <c r="M148" s="322" t="n">
        <v>18000</v>
      </c>
      <c r="N148" s="323" t="n">
        <v>0.99</v>
      </c>
      <c r="O148" s="323"/>
      <c r="P148" s="207"/>
      <c r="Q148" s="210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8.75" hidden="false" customHeight="true" outlineLevel="0" collapsed="false">
      <c r="A149" s="291"/>
      <c r="B149" s="292"/>
      <c r="C149" s="292"/>
      <c r="D149" s="292"/>
      <c r="E149" s="293"/>
      <c r="F149" s="19"/>
      <c r="G149" s="209"/>
      <c r="H149" s="246"/>
      <c r="I149" s="246"/>
      <c r="J149" s="207"/>
      <c r="K149" s="210"/>
      <c r="L149" s="19"/>
      <c r="M149" s="209"/>
      <c r="N149" s="207"/>
      <c r="O149" s="207"/>
      <c r="P149" s="207"/>
      <c r="Q149" s="210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8.75" hidden="false" customHeight="true" outlineLevel="0" collapsed="false">
      <c r="A150" s="291" t="s">
        <v>305</v>
      </c>
      <c r="B150" s="292" t="s">
        <v>297</v>
      </c>
      <c r="C150" s="292"/>
      <c r="D150" s="292" t="s">
        <v>294</v>
      </c>
      <c r="E150" s="293"/>
      <c r="F150" s="19"/>
      <c r="G150" s="248" t="s">
        <v>28</v>
      </c>
      <c r="H150" s="249" t="s">
        <v>33</v>
      </c>
      <c r="I150" s="249"/>
      <c r="J150" s="207"/>
      <c r="K150" s="210"/>
      <c r="L150" s="19"/>
      <c r="M150" s="209"/>
      <c r="N150" s="207"/>
      <c r="O150" s="207"/>
      <c r="P150" s="207"/>
      <c r="Q150" s="210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8.75" hidden="false" customHeight="true" outlineLevel="0" collapsed="false">
      <c r="A151" s="70" t="n">
        <f aca="false">E118/1.2-100</f>
        <v>99.9916666666667</v>
      </c>
      <c r="B151" s="201" t="n">
        <f aca="false">(A148+B148+D148+A151)*(A143/B64)</f>
        <v>0</v>
      </c>
      <c r="C151" s="201"/>
      <c r="D151" s="201" t="n">
        <f aca="false">(A148+B148+D148+A151)-B151</f>
        <v>1320.02916666667</v>
      </c>
      <c r="E151" s="177"/>
      <c r="F151" s="19"/>
      <c r="G151" s="248"/>
      <c r="H151" s="250" t="n">
        <f aca="false">B51</f>
        <v>22000</v>
      </c>
      <c r="I151" s="250"/>
      <c r="J151" s="207"/>
      <c r="K151" s="210"/>
      <c r="L151" s="19"/>
      <c r="M151" s="243" t="s">
        <v>304</v>
      </c>
      <c r="N151" s="207"/>
      <c r="O151" s="207"/>
      <c r="P151" s="244"/>
      <c r="Q151" s="245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8.75" hidden="false" customHeight="true" outlineLevel="0" collapsed="false">
      <c r="A152" s="291"/>
      <c r="B152" s="292"/>
      <c r="C152" s="292"/>
      <c r="D152" s="292"/>
      <c r="E152" s="293"/>
      <c r="F152" s="19"/>
      <c r="G152" s="251" t="n">
        <f aca="false">A52</f>
        <v>22</v>
      </c>
      <c r="H152" s="92" t="n">
        <f aca="false">H91</f>
        <v>1569.5193727506</v>
      </c>
      <c r="I152" s="92"/>
      <c r="J152" s="207"/>
      <c r="K152" s="210"/>
      <c r="L152" s="19"/>
      <c r="M152" s="209"/>
      <c r="N152" s="246"/>
      <c r="O152" s="246"/>
      <c r="P152" s="207"/>
      <c r="Q152" s="210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8.75" hidden="false" customHeight="true" outlineLevel="0" collapsed="false">
      <c r="A153" s="291" t="s">
        <v>306</v>
      </c>
      <c r="B153" s="292"/>
      <c r="C153" s="292"/>
      <c r="D153" s="292"/>
      <c r="E153" s="293"/>
      <c r="F153" s="19"/>
      <c r="G153" s="209"/>
      <c r="H153" s="207"/>
      <c r="I153" s="207"/>
      <c r="J153" s="207"/>
      <c r="K153" s="210"/>
      <c r="L153" s="19"/>
      <c r="M153" s="248" t="s">
        <v>28</v>
      </c>
      <c r="N153" s="249" t="s">
        <v>33</v>
      </c>
      <c r="O153" s="249"/>
      <c r="P153" s="207"/>
      <c r="Q153" s="210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8.75" hidden="false" customHeight="true" outlineLevel="0" collapsed="false">
      <c r="A154" s="70" t="n">
        <f aca="false">D102</f>
        <v>200</v>
      </c>
      <c r="B154" s="201"/>
      <c r="C154" s="292"/>
      <c r="D154" s="292"/>
      <c r="E154" s="293"/>
      <c r="F154" s="19"/>
      <c r="G154" s="209"/>
      <c r="H154" s="207"/>
      <c r="I154" s="207"/>
      <c r="J154" s="207"/>
      <c r="K154" s="210"/>
      <c r="L154" s="19"/>
      <c r="M154" s="248"/>
      <c r="N154" s="250" t="n">
        <f aca="false">B51</f>
        <v>22000</v>
      </c>
      <c r="O154" s="250"/>
      <c r="P154" s="207"/>
      <c r="Q154" s="210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8.75" hidden="false" customHeight="true" outlineLevel="0" collapsed="false">
      <c r="A155" s="291"/>
      <c r="B155" s="292"/>
      <c r="C155" s="292"/>
      <c r="D155" s="292"/>
      <c r="E155" s="293"/>
      <c r="F155" s="19"/>
      <c r="G155" s="209"/>
      <c r="H155" s="207"/>
      <c r="I155" s="207"/>
      <c r="J155" s="207"/>
      <c r="K155" s="210"/>
      <c r="L155" s="19"/>
      <c r="M155" s="251" t="n">
        <f aca="false">A52</f>
        <v>22</v>
      </c>
      <c r="N155" s="92" t="n">
        <f aca="false">N91</f>
        <v>1304.11717768024</v>
      </c>
      <c r="O155" s="92"/>
      <c r="P155" s="207"/>
      <c r="Q155" s="210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8.75" hidden="false" customHeight="true" outlineLevel="0" collapsed="false">
      <c r="A156" s="291"/>
      <c r="B156" s="292"/>
      <c r="C156" s="292"/>
      <c r="D156" s="292"/>
      <c r="E156" s="293"/>
      <c r="F156" s="19"/>
      <c r="G156" s="209"/>
      <c r="H156" s="207"/>
      <c r="I156" s="207"/>
      <c r="J156" s="207"/>
      <c r="K156" s="210"/>
      <c r="L156" s="19"/>
      <c r="M156" s="209"/>
      <c r="N156" s="207"/>
      <c r="O156" s="207"/>
      <c r="P156" s="207"/>
      <c r="Q156" s="210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8.75" hidden="false" customHeight="true" outlineLevel="0" collapsed="false">
      <c r="A157" s="324" t="s">
        <v>304</v>
      </c>
      <c r="B157" s="292"/>
      <c r="C157" s="292"/>
      <c r="D157" s="325"/>
      <c r="E157" s="326"/>
      <c r="F157" s="19"/>
      <c r="G157" s="252"/>
      <c r="H157" s="253"/>
      <c r="I157" s="253"/>
      <c r="J157" s="253"/>
      <c r="K157" s="254"/>
      <c r="L157" s="19"/>
      <c r="M157" s="209"/>
      <c r="N157" s="207"/>
      <c r="O157" s="207"/>
      <c r="P157" s="207"/>
      <c r="Q157" s="210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8.75" hidden="false" customHeight="true" outlineLevel="0" collapsed="false">
      <c r="A158" s="291"/>
      <c r="B158" s="327"/>
      <c r="C158" s="327"/>
      <c r="D158" s="292"/>
      <c r="E158" s="293"/>
      <c r="F158" s="19"/>
      <c r="G158" s="19"/>
      <c r="H158" s="19"/>
      <c r="I158" s="19"/>
      <c r="J158" s="19"/>
      <c r="K158" s="19"/>
      <c r="L158" s="19"/>
      <c r="M158" s="209"/>
      <c r="N158" s="207"/>
      <c r="O158" s="207"/>
      <c r="P158" s="207"/>
      <c r="Q158" s="210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8.75" hidden="false" customHeight="true" outlineLevel="0" collapsed="false">
      <c r="A159" s="248" t="s">
        <v>28</v>
      </c>
      <c r="B159" s="249" t="s">
        <v>33</v>
      </c>
      <c r="C159" s="249"/>
      <c r="D159" s="292"/>
      <c r="E159" s="293"/>
      <c r="F159" s="19"/>
      <c r="G159" s="19"/>
      <c r="H159" s="19"/>
      <c r="I159" s="19"/>
      <c r="J159" s="19"/>
      <c r="K159" s="19"/>
      <c r="L159" s="19"/>
      <c r="M159" s="209"/>
      <c r="N159" s="207"/>
      <c r="O159" s="207"/>
      <c r="P159" s="207"/>
      <c r="Q159" s="210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8.75" hidden="false" customHeight="true" outlineLevel="0" collapsed="false">
      <c r="A160" s="248"/>
      <c r="B160" s="250" t="n">
        <f aca="false">B51</f>
        <v>22000</v>
      </c>
      <c r="C160" s="250"/>
      <c r="D160" s="292"/>
      <c r="E160" s="293"/>
      <c r="F160" s="19"/>
      <c r="G160" s="19"/>
      <c r="H160" s="19"/>
      <c r="I160" s="19"/>
      <c r="J160" s="19"/>
      <c r="K160" s="19"/>
      <c r="L160" s="19"/>
      <c r="M160" s="209"/>
      <c r="N160" s="207"/>
      <c r="O160" s="207"/>
      <c r="P160" s="207"/>
      <c r="Q160" s="210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8.75" hidden="false" customHeight="true" outlineLevel="0" collapsed="false">
      <c r="A161" s="251" t="n">
        <f aca="false">A52</f>
        <v>22</v>
      </c>
      <c r="B161" s="92" t="n">
        <f aca="false">B91</f>
        <v>1983.52541762287</v>
      </c>
      <c r="C161" s="92"/>
      <c r="D161" s="292"/>
      <c r="E161" s="293"/>
      <c r="F161" s="19"/>
      <c r="G161" s="19"/>
      <c r="H161" s="19"/>
      <c r="I161" s="19"/>
      <c r="J161" s="19"/>
      <c r="K161" s="19"/>
      <c r="L161" s="19"/>
      <c r="M161" s="209"/>
      <c r="N161" s="207"/>
      <c r="O161" s="207"/>
      <c r="P161" s="207"/>
      <c r="Q161" s="210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8.75" hidden="false" customHeight="true" outlineLevel="0" collapsed="false">
      <c r="A162" s="291"/>
      <c r="B162" s="292"/>
      <c r="C162" s="292"/>
      <c r="D162" s="292"/>
      <c r="E162" s="293"/>
      <c r="F162" s="19"/>
      <c r="G162" s="19"/>
      <c r="H162" s="19"/>
      <c r="I162" s="19"/>
      <c r="J162" s="19"/>
      <c r="K162" s="19"/>
      <c r="L162" s="19"/>
      <c r="M162" s="252"/>
      <c r="N162" s="253"/>
      <c r="O162" s="253"/>
      <c r="P162" s="253"/>
      <c r="Q162" s="254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8.75" hidden="false" customHeight="true" outlineLevel="0" collapsed="false">
      <c r="A163" s="291"/>
      <c r="B163" s="292"/>
      <c r="C163" s="292"/>
      <c r="D163" s="292"/>
      <c r="E163" s="293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8.75" hidden="false" customHeight="true" outlineLevel="0" collapsed="false">
      <c r="A164" s="291"/>
      <c r="B164" s="292"/>
      <c r="C164" s="292"/>
      <c r="D164" s="292"/>
      <c r="E164" s="293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8.75" hidden="false" customHeight="true" outlineLevel="0" collapsed="false">
      <c r="A165" s="291"/>
      <c r="B165" s="292"/>
      <c r="C165" s="292"/>
      <c r="D165" s="292"/>
      <c r="E165" s="293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8.75" hidden="false" customHeight="true" outlineLevel="0" collapsed="false">
      <c r="A166" s="342"/>
      <c r="B166" s="343"/>
      <c r="C166" s="343"/>
      <c r="D166" s="343"/>
      <c r="E166" s="344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8.75" hidden="false" customHeight="true" outlineLevel="0" collapsed="false">
      <c r="A167" s="394"/>
      <c r="B167" s="394"/>
      <c r="C167" s="394"/>
      <c r="D167" s="394"/>
      <c r="E167" s="394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8.75" hidden="false" customHeight="true" outlineLevel="0" collapsed="false">
      <c r="A168" s="394"/>
      <c r="B168" s="394"/>
      <c r="C168" s="394"/>
      <c r="D168" s="394"/>
      <c r="E168" s="394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8.75" hidden="false" customHeight="true" outlineLevel="0" collapsed="false">
      <c r="A169" s="394"/>
      <c r="B169" s="394"/>
      <c r="C169" s="394"/>
      <c r="D169" s="394"/>
      <c r="E169" s="394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8.75" hidden="false" customHeight="true" outlineLevel="0" collapsed="false">
      <c r="A170" s="394"/>
      <c r="B170" s="394"/>
      <c r="C170" s="394"/>
      <c r="D170" s="394"/>
      <c r="E170" s="394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8.75" hidden="false" customHeight="true" outlineLevel="0" collapsed="false">
      <c r="A171" s="328" t="s">
        <v>270</v>
      </c>
      <c r="B171" s="328"/>
      <c r="C171" s="328"/>
      <c r="D171" s="328"/>
      <c r="E171" s="328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8.75" hidden="false" customHeight="true" outlineLevel="0" collapsed="false">
      <c r="A172" s="291"/>
      <c r="B172" s="329"/>
      <c r="C172" s="329"/>
      <c r="D172" s="329"/>
      <c r="E172" s="293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8.75" hidden="false" customHeight="true" outlineLevel="0" collapsed="false">
      <c r="A173" s="294" t="s">
        <v>98</v>
      </c>
      <c r="B173" s="330" t="s">
        <v>174</v>
      </c>
      <c r="C173" s="331"/>
      <c r="D173" s="330" t="s">
        <v>33</v>
      </c>
      <c r="E173" s="297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8.75" hidden="false" customHeight="true" outlineLevel="0" collapsed="false">
      <c r="A174" s="298" t="s">
        <v>254</v>
      </c>
      <c r="B174" s="299" t="n">
        <f aca="false">A161</f>
        <v>22</v>
      </c>
      <c r="C174" s="333"/>
      <c r="D174" s="299" t="n">
        <f aca="false">D125</f>
        <v>22000</v>
      </c>
      <c r="E174" s="297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8.75" hidden="false" customHeight="true" outlineLevel="0" collapsed="false">
      <c r="A175" s="294"/>
      <c r="B175" s="330"/>
      <c r="C175" s="330"/>
      <c r="D175" s="330"/>
      <c r="E175" s="297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8.75" hidden="false" customHeight="true" outlineLevel="0" collapsed="false">
      <c r="A176" s="294" t="s">
        <v>92</v>
      </c>
      <c r="B176" s="330" t="s">
        <v>271</v>
      </c>
      <c r="C176" s="331"/>
      <c r="D176" s="330" t="s">
        <v>272</v>
      </c>
      <c r="E176" s="297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8.75" hidden="false" customHeight="true" outlineLevel="0" collapsed="false">
      <c r="A177" s="298" t="n">
        <f aca="false">B90</f>
        <v>1983.52541762287</v>
      </c>
      <c r="B177" s="331" t="n">
        <f aca="false">IF(A105="YES", B89, 0)</f>
        <v>0</v>
      </c>
      <c r="C177" s="333"/>
      <c r="D177" s="331" t="n">
        <f aca="false">B91</f>
        <v>1983.52541762287</v>
      </c>
      <c r="E177" s="297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8.75" hidden="false" customHeight="true" outlineLevel="0" collapsed="false">
      <c r="A178" s="291"/>
      <c r="B178" s="329"/>
      <c r="C178" s="329"/>
      <c r="D178" s="329"/>
      <c r="E178" s="293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8.75" hidden="false" customHeight="true" outlineLevel="0" collapsed="false">
      <c r="A179" s="304" t="s">
        <v>23</v>
      </c>
      <c r="B179" s="335" t="s">
        <v>277</v>
      </c>
      <c r="C179" s="223"/>
      <c r="D179" s="335" t="s">
        <v>278</v>
      </c>
      <c r="E179" s="293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8.75" hidden="false" customHeight="true" outlineLevel="0" collapsed="false">
      <c r="A180" s="309" t="str">
        <f aca="false">B99</f>
        <v>Terminal pause with 9 down</v>
      </c>
      <c r="B180" s="37" t="n">
        <f aca="false">B90*B57</f>
        <v>17851.7287586058</v>
      </c>
      <c r="C180" s="329"/>
      <c r="D180" s="37" t="n">
        <f aca="false">IF(A105="YES", B89*B57, 0)</f>
        <v>0</v>
      </c>
      <c r="E180" s="293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8.75" hidden="false" customHeight="true" outlineLevel="0" collapsed="false">
      <c r="A181" s="291"/>
      <c r="B181" s="329"/>
      <c r="C181" s="329"/>
      <c r="D181" s="329"/>
      <c r="E181" s="293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8.75" hidden="false" customHeight="true" outlineLevel="0" collapsed="false">
      <c r="A182" s="123" t="s">
        <v>283</v>
      </c>
      <c r="B182" s="38" t="s">
        <v>284</v>
      </c>
      <c r="C182" s="336"/>
      <c r="D182" s="233" t="s">
        <v>177</v>
      </c>
      <c r="E182" s="293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8.75" hidden="false" customHeight="true" outlineLevel="0" collapsed="false">
      <c r="A183" s="70" t="n">
        <f aca="false">B91*B57</f>
        <v>17851.7287586058</v>
      </c>
      <c r="B183" s="37" t="n">
        <f aca="false">E114</f>
        <v>4000</v>
      </c>
      <c r="C183" s="329"/>
      <c r="D183" s="337" t="n">
        <f aca="false">B58</f>
        <v>13</v>
      </c>
      <c r="E183" s="293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8.75" hidden="false" customHeight="true" outlineLevel="0" collapsed="false">
      <c r="A184" s="70"/>
      <c r="B184" s="338"/>
      <c r="C184" s="329"/>
      <c r="D184" s="329"/>
      <c r="E184" s="293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8.75" hidden="false" customHeight="true" outlineLevel="0" collapsed="false">
      <c r="A185" s="78" t="s">
        <v>92</v>
      </c>
      <c r="B185" s="339" t="s">
        <v>271</v>
      </c>
      <c r="C185" s="329"/>
      <c r="D185" s="329" t="s">
        <v>272</v>
      </c>
      <c r="E185" s="293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8.75" hidden="false" customHeight="true" outlineLevel="0" collapsed="false">
      <c r="A186" s="70" t="n">
        <f aca="false">B90</f>
        <v>1983.52541762287</v>
      </c>
      <c r="B186" s="37" t="n">
        <f aca="false">IF(A105="YES", B89, 0)</f>
        <v>0</v>
      </c>
      <c r="C186" s="329"/>
      <c r="D186" s="37" t="n">
        <f aca="false">B91</f>
        <v>1983.52541762287</v>
      </c>
      <c r="E186" s="293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8.75" hidden="false" customHeight="true" outlineLevel="0" collapsed="false">
      <c r="A187" s="291"/>
      <c r="B187" s="329"/>
      <c r="C187" s="329"/>
      <c r="D187" s="329"/>
      <c r="E187" s="293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8.75" hidden="false" customHeight="true" outlineLevel="0" collapsed="false">
      <c r="A188" s="314" t="s">
        <v>180</v>
      </c>
      <c r="B188" s="340" t="s">
        <v>291</v>
      </c>
      <c r="C188" s="37"/>
      <c r="D188" s="340" t="s">
        <v>182</v>
      </c>
      <c r="E188" s="177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8.75" hidden="false" customHeight="true" outlineLevel="0" collapsed="false">
      <c r="A189" s="316" t="n">
        <f aca="false">(G18*0.000006)*1.2*100</f>
        <v>41.6772</v>
      </c>
      <c r="B189" s="341" t="n">
        <f aca="false">IF(A105="YES", G18*0.000002, 0)*1.2*100</f>
        <v>0</v>
      </c>
      <c r="C189" s="329"/>
      <c r="D189" s="341" t="n">
        <f aca="false">A189+B189</f>
        <v>41.6772</v>
      </c>
      <c r="E189" s="293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8.75" hidden="false" customHeight="true" outlineLevel="0" collapsed="false">
      <c r="A190" s="316"/>
      <c r="B190" s="341"/>
      <c r="C190" s="329"/>
      <c r="D190" s="341"/>
      <c r="E190" s="293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8.75" hidden="false" customHeight="true" outlineLevel="0" collapsed="false">
      <c r="A191" s="314" t="s">
        <v>295</v>
      </c>
      <c r="B191" s="340" t="s">
        <v>152</v>
      </c>
      <c r="C191" s="37"/>
      <c r="D191" s="340" t="s">
        <v>246</v>
      </c>
      <c r="E191" s="293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8.75" hidden="false" customHeight="true" outlineLevel="0" collapsed="false">
      <c r="A192" s="70" t="n">
        <v>0</v>
      </c>
      <c r="B192" s="37" t="n">
        <f aca="false">E118</f>
        <v>239.99</v>
      </c>
      <c r="C192" s="329"/>
      <c r="D192" s="152" t="n">
        <f aca="false">B102</f>
        <v>400</v>
      </c>
      <c r="E192" s="293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8.75" hidden="false" customHeight="true" outlineLevel="0" collapsed="false">
      <c r="A193" s="70"/>
      <c r="B193" s="37"/>
      <c r="C193" s="329"/>
      <c r="D193" s="37"/>
      <c r="E193" s="293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8.75" hidden="false" customHeight="true" outlineLevel="0" collapsed="false">
      <c r="A194" s="318" t="s">
        <v>298</v>
      </c>
      <c r="B194" s="319"/>
      <c r="C194" s="320"/>
      <c r="D194" s="319"/>
      <c r="E194" s="321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8.75" hidden="false" customHeight="true" outlineLevel="0" collapsed="false">
      <c r="A195" s="316"/>
      <c r="B195" s="341"/>
      <c r="C195" s="329"/>
      <c r="D195" s="341"/>
      <c r="E195" s="293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8.75" hidden="false" customHeight="true" outlineLevel="0" collapsed="false">
      <c r="A196" s="291" t="s">
        <v>299</v>
      </c>
      <c r="B196" s="329" t="s">
        <v>300</v>
      </c>
      <c r="C196" s="329"/>
      <c r="D196" s="329" t="s">
        <v>301</v>
      </c>
      <c r="E196" s="293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8.75" hidden="false" customHeight="true" outlineLevel="0" collapsed="false">
      <c r="A197" s="70" t="n">
        <f aca="false">B67</f>
        <v>820.0375</v>
      </c>
      <c r="B197" s="37" t="n">
        <f aca="false">B102</f>
        <v>400</v>
      </c>
      <c r="C197" s="37"/>
      <c r="D197" s="37" t="n">
        <f aca="false">IF(A105="YES", (B40*B105)*B125, 0)*0.1</f>
        <v>0</v>
      </c>
      <c r="E197" s="177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8.75" hidden="false" customHeight="true" outlineLevel="0" collapsed="false">
      <c r="A198" s="291"/>
      <c r="B198" s="329"/>
      <c r="C198" s="329"/>
      <c r="D198" s="329"/>
      <c r="E198" s="293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8.75" hidden="false" customHeight="true" outlineLevel="0" collapsed="false">
      <c r="A199" s="291" t="s">
        <v>305</v>
      </c>
      <c r="B199" s="329" t="s">
        <v>297</v>
      </c>
      <c r="C199" s="329"/>
      <c r="D199" s="329" t="s">
        <v>294</v>
      </c>
      <c r="E199" s="293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8.75" hidden="false" customHeight="true" outlineLevel="0" collapsed="false">
      <c r="A200" s="70" t="n">
        <f aca="false">(E118/1.2)-100</f>
        <v>99.9916666666667</v>
      </c>
      <c r="B200" s="37" t="n">
        <f aca="false">(A148+B148+D148+A151)*(A143/B64)</f>
        <v>0</v>
      </c>
      <c r="C200" s="37"/>
      <c r="D200" s="37" t="n">
        <f aca="false">(A148+B148+D148+A151)-B151</f>
        <v>1320.02916666667</v>
      </c>
      <c r="E200" s="177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8.75" hidden="false" customHeight="true" outlineLevel="0" collapsed="false">
      <c r="A201" s="291"/>
      <c r="B201" s="329"/>
      <c r="C201" s="329"/>
      <c r="D201" s="329"/>
      <c r="E201" s="293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8.75" hidden="false" customHeight="true" outlineLevel="0" collapsed="false">
      <c r="A202" s="291" t="s">
        <v>306</v>
      </c>
      <c r="B202" s="329"/>
      <c r="C202" s="329"/>
      <c r="D202" s="329"/>
      <c r="E202" s="293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8.75" hidden="false" customHeight="true" outlineLevel="0" collapsed="false">
      <c r="A203" s="70" t="n">
        <f aca="false">D102</f>
        <v>200</v>
      </c>
      <c r="B203" s="37"/>
      <c r="C203" s="329"/>
      <c r="D203" s="329"/>
      <c r="E203" s="293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8.75" hidden="false" customHeight="true" outlineLevel="0" collapsed="false">
      <c r="A204" s="342"/>
      <c r="B204" s="343"/>
      <c r="C204" s="343"/>
      <c r="D204" s="343"/>
      <c r="E204" s="344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8.75" hidden="false" customHeight="true" outlineLevel="0" collapsed="false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8.75" hidden="false" customHeight="true" outlineLevel="0" collapsed="false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8.75" hidden="false" customHeight="true" outlineLevel="0" collapsed="false">
      <c r="A207" s="328" t="s">
        <v>185</v>
      </c>
      <c r="B207" s="328"/>
      <c r="C207" s="328"/>
      <c r="D207" s="328"/>
      <c r="E207" s="328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8.75" hidden="false" customHeight="true" outlineLevel="0" collapsed="false">
      <c r="A208" s="291"/>
      <c r="B208" s="292"/>
      <c r="C208" s="292"/>
      <c r="D208" s="292"/>
      <c r="E208" s="293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8.75" hidden="false" customHeight="true" outlineLevel="0" collapsed="false">
      <c r="A209" s="294" t="s">
        <v>186</v>
      </c>
      <c r="B209" s="345" t="n">
        <f aca="false">H35</f>
        <v>0.065</v>
      </c>
      <c r="C209" s="296" t="s">
        <v>188</v>
      </c>
      <c r="D209" s="346" t="n">
        <f aca="false">D64</f>
        <v>4896.10625</v>
      </c>
      <c r="E209" s="297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8.75" hidden="false" customHeight="true" outlineLevel="0" collapsed="false">
      <c r="A210" s="298"/>
      <c r="B210" s="299"/>
      <c r="C210" s="300"/>
      <c r="D210" s="299"/>
      <c r="E210" s="297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8.75" hidden="false" customHeight="true" outlineLevel="0" collapsed="false">
      <c r="A211" s="294" t="s">
        <v>189</v>
      </c>
      <c r="B211" s="296" t="n">
        <f aca="false">B219</f>
        <v>820.0375</v>
      </c>
      <c r="C211" s="295" t="s">
        <v>190</v>
      </c>
      <c r="D211" s="346" t="n">
        <f aca="false">B225+E221+B221+B223</f>
        <v>339.991666666667</v>
      </c>
      <c r="E211" s="297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8.75" hidden="false" customHeight="true" outlineLevel="0" collapsed="false">
      <c r="A212" s="294"/>
      <c r="B212" s="347"/>
      <c r="C212" s="296"/>
      <c r="D212" s="295"/>
      <c r="E212" s="297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8.75" hidden="false" customHeight="true" outlineLevel="0" collapsed="false">
      <c r="A213" s="298" t="s">
        <v>191</v>
      </c>
      <c r="B213" s="296" t="n">
        <f aca="false">E223</f>
        <v>4416.06041666667</v>
      </c>
      <c r="C213" s="300"/>
      <c r="D213" s="296"/>
      <c r="E213" s="297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8.75" hidden="false" customHeight="true" outlineLevel="0" collapsed="false">
      <c r="A214" s="291"/>
      <c r="B214" s="313"/>
      <c r="C214" s="292"/>
      <c r="D214" s="292"/>
      <c r="E214" s="293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8.75" hidden="false" customHeight="true" outlineLevel="0" collapsed="false">
      <c r="A215" s="222" t="s">
        <v>186</v>
      </c>
      <c r="B215" s="348" t="n">
        <v>0.065</v>
      </c>
      <c r="C215" s="306"/>
      <c r="D215" s="305"/>
      <c r="E215" s="293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8.75" hidden="false" customHeight="true" outlineLevel="0" collapsed="false">
      <c r="A216" s="349"/>
      <c r="B216" s="200"/>
      <c r="C216" s="292"/>
      <c r="D216" s="201"/>
      <c r="E216" s="293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8.75" hidden="false" customHeight="true" outlineLevel="0" collapsed="false">
      <c r="A217" s="350" t="s">
        <v>188</v>
      </c>
      <c r="B217" s="60" t="n">
        <f aca="false">D64</f>
        <v>4896.10625</v>
      </c>
      <c r="C217" s="351" t="s">
        <v>194</v>
      </c>
      <c r="D217" s="292"/>
      <c r="E217" s="352" t="n">
        <f aca="false">B66</f>
        <v>0.0141666666666667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8.75" hidden="false" customHeight="true" outlineLevel="0" collapsed="false">
      <c r="A218" s="69"/>
      <c r="B218" s="200"/>
      <c r="C218" s="310"/>
      <c r="D218" s="240"/>
      <c r="E218" s="293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8.75" hidden="false" customHeight="true" outlineLevel="0" collapsed="false">
      <c r="A219" s="70" t="s">
        <v>194</v>
      </c>
      <c r="B219" s="60" t="n">
        <f aca="false">B67</f>
        <v>820.0375</v>
      </c>
      <c r="C219" s="310" t="s">
        <v>307</v>
      </c>
      <c r="D219" s="353"/>
      <c r="E219" s="103" t="n">
        <v>0.001</v>
      </c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8.75" hidden="false" customHeight="true" outlineLevel="0" collapsed="false">
      <c r="A220" s="70"/>
      <c r="B220" s="313"/>
      <c r="C220" s="310"/>
      <c r="D220" s="292"/>
      <c r="E220" s="293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8.75" hidden="false" customHeight="true" outlineLevel="0" collapsed="false">
      <c r="A221" s="70" t="s">
        <v>307</v>
      </c>
      <c r="B221" s="233" t="n">
        <f aca="false">B197*E219*100</f>
        <v>40</v>
      </c>
      <c r="C221" s="310" t="s">
        <v>196</v>
      </c>
      <c r="D221" s="292"/>
      <c r="E221" s="20" t="n">
        <f aca="false">A200</f>
        <v>99.9916666666667</v>
      </c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18.75" hidden="false" customHeight="true" outlineLevel="0" collapsed="false">
      <c r="A222" s="70"/>
      <c r="B222" s="200"/>
      <c r="C222" s="310"/>
      <c r="D222" s="201"/>
      <c r="E222" s="293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18.75" hidden="false" customHeight="true" outlineLevel="0" collapsed="false">
      <c r="A223" s="350" t="s">
        <v>308</v>
      </c>
      <c r="B223" s="233" t="n">
        <f aca="false">B78-(B78*(E219*100))</f>
        <v>200</v>
      </c>
      <c r="C223" s="310" t="s">
        <v>191</v>
      </c>
      <c r="D223" s="292"/>
      <c r="E223" s="20" t="n">
        <f aca="false">(B217-B211+D211)</f>
        <v>4416.06041666667</v>
      </c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18.75" hidden="false" customHeight="true" outlineLevel="0" collapsed="false">
      <c r="A224" s="354"/>
      <c r="B224" s="315"/>
      <c r="C224" s="201"/>
      <c r="D224" s="315"/>
      <c r="E224" s="163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18.75" hidden="false" customHeight="true" outlineLevel="0" collapsed="false">
      <c r="A225" s="354" t="s">
        <v>309</v>
      </c>
      <c r="B225" s="315" t="n">
        <f aca="false">D197/0.1</f>
        <v>0</v>
      </c>
      <c r="C225" s="201"/>
      <c r="D225" s="315"/>
      <c r="E225" s="163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18.75" hidden="false" customHeight="true" outlineLevel="0" collapsed="false">
      <c r="A226" s="354"/>
      <c r="B226" s="315"/>
      <c r="C226" s="201"/>
      <c r="D226" s="315"/>
      <c r="E226" s="163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customFormat="false" ht="18.75" hidden="false" customHeight="true" outlineLevel="0" collapsed="false">
      <c r="A227" s="318" t="s">
        <v>310</v>
      </c>
      <c r="B227" s="355"/>
      <c r="C227" s="320"/>
      <c r="D227" s="319"/>
      <c r="E227" s="321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18.75" hidden="false" customHeight="true" outlineLevel="0" collapsed="false">
      <c r="A228" s="316"/>
      <c r="B228" s="356"/>
      <c r="C228" s="292"/>
      <c r="D228" s="317"/>
      <c r="E228" s="293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18.75" hidden="false" customHeight="true" outlineLevel="0" collapsed="false">
      <c r="A229" s="316" t="s">
        <v>198</v>
      </c>
      <c r="B229" s="60" t="n">
        <f aca="false">B71</f>
        <v>200</v>
      </c>
      <c r="C229" s="310" t="s">
        <v>199</v>
      </c>
      <c r="D229" s="317"/>
      <c r="E229" s="150" t="n">
        <f aca="false">B72</f>
        <v>5</v>
      </c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18.75" hidden="false" customHeight="true" outlineLevel="0" collapsed="false">
      <c r="A230" s="316"/>
      <c r="B230" s="356"/>
      <c r="C230" s="310" t="s">
        <v>200</v>
      </c>
      <c r="D230" s="317"/>
      <c r="E230" s="20" t="n">
        <f aca="false">D73</f>
        <v>310</v>
      </c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18.75" hidden="false" customHeight="true" outlineLevel="0" collapsed="false">
      <c r="A231" s="316" t="s">
        <v>201</v>
      </c>
      <c r="B231" s="357" t="n">
        <f aca="false">B68</f>
        <v>0.0075</v>
      </c>
      <c r="C231" s="310" t="s">
        <v>202</v>
      </c>
      <c r="D231" s="317"/>
      <c r="E231" s="352" t="n">
        <f aca="false">B69</f>
        <v>0.12</v>
      </c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8.75" hidden="false" customHeight="true" outlineLevel="0" collapsed="false">
      <c r="A232" s="316"/>
      <c r="B232" s="356"/>
      <c r="C232" s="310" t="s">
        <v>203</v>
      </c>
      <c r="D232" s="317"/>
      <c r="E232" s="20" t="n">
        <f aca="false">B86</f>
        <v>305.891161940638</v>
      </c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18.75" hidden="false" customHeight="true" outlineLevel="0" collapsed="false">
      <c r="A233" s="316" t="s">
        <v>204</v>
      </c>
      <c r="B233" s="60" t="n">
        <f aca="false">B79</f>
        <v>200</v>
      </c>
      <c r="C233" s="358" t="s">
        <v>311</v>
      </c>
      <c r="D233" s="359"/>
      <c r="E233" s="150" t="n">
        <f aca="false">B74</f>
        <v>165</v>
      </c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18.75" hidden="false" customHeight="true" outlineLevel="0" collapsed="false">
      <c r="A234" s="350"/>
      <c r="B234" s="313"/>
      <c r="C234" s="358"/>
      <c r="D234" s="360"/>
      <c r="E234" s="361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18.75" hidden="false" customHeight="true" outlineLevel="0" collapsed="false">
      <c r="A235" s="70" t="s">
        <v>205</v>
      </c>
      <c r="B235" s="60" t="n">
        <f aca="false">B80</f>
        <v>200</v>
      </c>
      <c r="C235" s="362" t="s">
        <v>312</v>
      </c>
      <c r="D235" s="362"/>
      <c r="E235" s="150" t="n">
        <f aca="false">B75</f>
        <v>355</v>
      </c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18.75" hidden="false" customHeight="true" outlineLevel="0" collapsed="false">
      <c r="A236" s="291"/>
      <c r="B236" s="292"/>
      <c r="C236" s="292"/>
      <c r="D236" s="292"/>
      <c r="E236" s="293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18.75" hidden="false" customHeight="true" outlineLevel="0" collapsed="false">
      <c r="A237" s="291"/>
      <c r="B237" s="292"/>
      <c r="C237" s="292"/>
      <c r="D237" s="292"/>
      <c r="E237" s="293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18.75" hidden="false" customHeight="true" outlineLevel="0" collapsed="false">
      <c r="A238" s="70"/>
      <c r="B238" s="201"/>
      <c r="C238" s="201"/>
      <c r="D238" s="201"/>
      <c r="E238" s="177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18.75" hidden="false" customHeight="true" outlineLevel="0" collapsed="false">
      <c r="A239" s="291"/>
      <c r="B239" s="292"/>
      <c r="C239" s="292"/>
      <c r="D239" s="292"/>
      <c r="E239" s="293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18.75" hidden="false" customHeight="true" outlineLevel="0" collapsed="false">
      <c r="A240" s="291"/>
      <c r="B240" s="292"/>
      <c r="C240" s="292"/>
      <c r="D240" s="292"/>
      <c r="E240" s="293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18.75" hidden="false" customHeight="true" outlineLevel="0" collapsed="false">
      <c r="A241" s="70"/>
      <c r="B241" s="201"/>
      <c r="C241" s="292"/>
      <c r="D241" s="292"/>
      <c r="E241" s="293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18.75" hidden="false" customHeight="true" outlineLevel="0" collapsed="false">
      <c r="A242" s="342"/>
      <c r="B242" s="343"/>
      <c r="C242" s="343"/>
      <c r="D242" s="343"/>
      <c r="E242" s="344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18.75" hidden="false" customHeight="tru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18.75" hidden="false" customHeight="tru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18.75" hidden="false" customHeight="tru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18.75" hidden="false" customHeight="tru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18.75" hidden="false" customHeight="tru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18.75" hidden="false" customHeight="tru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18.75" hidden="false" customHeight="tru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18.75" hidden="false" customHeight="tru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18.75" hidden="false" customHeight="tru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18.75" hidden="false" customHeight="tru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18.75" hidden="false" customHeight="tru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18.75" hidden="false" customHeight="tru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18.75" hidden="false" customHeight="tru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18.75" hidden="false" customHeight="tru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18.75" hidden="false" customHeight="tru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18.75" hidden="false" customHeight="tru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18.75" hidden="false" customHeight="tru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18.75" hidden="false" customHeight="tru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18.75" hidden="false" customHeight="tru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18.75" hidden="false" customHeight="tru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18.75" hidden="false" customHeight="tru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18.75" hidden="false" customHeight="tru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18.75" hidden="false" customHeight="tru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18.75" hidden="false" customHeight="tru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18.75" hidden="false" customHeight="tru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18.75" hidden="false" customHeight="tru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18.75" hidden="false" customHeight="tru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18.75" hidden="false" customHeight="tru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18.75" hidden="false" customHeight="tru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18.75" hidden="false" customHeight="tru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18.75" hidden="false" customHeight="tru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18.75" hidden="false" customHeight="tru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18.75" hidden="false" customHeight="tru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18.75" hidden="false" customHeight="tru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18.75" hidden="false" customHeight="tru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18.75" hidden="false" customHeight="tru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18.75" hidden="false" customHeight="tru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18.75" hidden="false" customHeight="tru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18.75" hidden="false" customHeight="tru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18.75" hidden="false" customHeight="tru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18.75" hidden="false" customHeight="tru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18.75" hidden="false" customHeight="tru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18.75" hidden="false" customHeight="tru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18.75" hidden="false" customHeight="tru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18.75" hidden="false" customHeight="tru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18.75" hidden="false" customHeight="tru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18.75" hidden="false" customHeight="tru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18.75" hidden="false" customHeight="tru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18.75" hidden="false" customHeight="tru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18.75" hidden="false" customHeight="tru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18.75" hidden="false" customHeight="tru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18.75" hidden="false" customHeight="tru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18.75" hidden="false" customHeight="tru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18.75" hidden="false" customHeight="tru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18.75" hidden="false" customHeight="tru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18.75" hidden="false" customHeight="tru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18.75" hidden="false" customHeight="tru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18.75" hidden="false" customHeight="tru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18.75" hidden="false" customHeight="tru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18.75" hidden="false" customHeight="tru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18.75" hidden="false" customHeight="tru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18.75" hidden="false" customHeight="tru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18.75" hidden="false" customHeight="tru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18.75" hidden="false" customHeight="tru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18.75" hidden="false" customHeight="tru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18.75" hidden="false" customHeight="tru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18.75" hidden="false" customHeight="tru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18.75" hidden="false" customHeight="tru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18.75" hidden="false" customHeight="tru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18.75" hidden="false" customHeight="tru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18.75" hidden="false" customHeight="tru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18.75" hidden="false" customHeight="tru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18.75" hidden="false" customHeight="tru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18.75" hidden="false" customHeight="tru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18.75" hidden="false" customHeight="tru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18.75" hidden="false" customHeight="tru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18.75" hidden="false" customHeight="tru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18.75" hidden="false" customHeight="tru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18.75" hidden="false" customHeight="tru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18.75" hidden="false" customHeight="tru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18.75" hidden="false" customHeight="tru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18.75" hidden="false" customHeight="tru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18.75" hidden="false" customHeight="tru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18.75" hidden="false" customHeight="tru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18.75" hidden="false" customHeight="tru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18.75" hidden="false" customHeight="tru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18.75" hidden="false" customHeight="tru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18.75" hidden="false" customHeight="tru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18.75" hidden="false" customHeight="tru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18.75" hidden="false" customHeight="tru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18.75" hidden="false" customHeight="tru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18.75" hidden="false" customHeight="tru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18.75" hidden="false" customHeight="tru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18.75" hidden="false" customHeight="tru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18.75" hidden="false" customHeight="tru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18.75" hidden="false" customHeight="tru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18.75" hidden="false" customHeight="tru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18.75" hidden="false" customHeight="tru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18.75" hidden="false" customHeight="tru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18.75" hidden="false" customHeight="tru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18.75" hidden="false" customHeight="tru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18.75" hidden="false" customHeight="tru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18.75" hidden="false" customHeight="tru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18.75" hidden="false" customHeight="tru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18.75" hidden="false" customHeight="tru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18.75" hidden="false" customHeight="tru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18.75" hidden="false" customHeight="tru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18.75" hidden="false" customHeight="tru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18.75" hidden="false" customHeight="tru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18.75" hidden="false" customHeight="tru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18.75" hidden="false" customHeight="true" outlineLevel="0" collapsed="false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customFormat="false" ht="18.75" hidden="false" customHeight="true" outlineLevel="0" collapsed="false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customFormat="false" ht="18.75" hidden="false" customHeight="tru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operator="between" showDropDown="false" showErrorMessage="true" showInputMessage="false" sqref="H99 N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A18:A20" type="list">
      <formula1>#ref!</formula1>
      <formula2>0</formula2>
    </dataValidation>
    <dataValidation allowBlank="true" operator="between" showDropDown="false" showErrorMessage="true" showInputMessage="false" sqref="B99" type="list">
      <formula1>'Formula1-PCH'!$Y$97:$Y$105</formula1>
      <formula2>0</formula2>
    </dataValidation>
    <dataValidation allowBlank="true" operator="between" showDropDown="false" showErrorMessage="true" showInputMessage="false" sqref="B26" type="list">
      <formula1>'Formula1-PCH'!$I$3:$I$4</formula1>
      <formula2>0</formula2>
    </dataValidation>
    <dataValidation allowBlank="true" operator="between" showDropDown="false" showErrorMessage="true" showInputMessage="false" sqref="A105 B110" type="list">
      <formula1>'Formula1-PCH'!$I$3:$I$4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69" colorId="64" zoomScale="75" zoomScaleNormal="75" zoomScalePageLayoutView="100" workbookViewId="0">
      <selection pane="topLeft" activeCell="B97" activeCellId="0" sqref="B97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396" t="s">
        <v>324</v>
      </c>
      <c r="B1" s="396"/>
      <c r="C1" s="396"/>
      <c r="D1" s="396"/>
      <c r="E1" s="396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8.75" hidden="false" customHeight="true" outlineLevel="0" collapsed="false">
      <c r="A2" s="261"/>
      <c r="B2" s="474" t="s">
        <v>115</v>
      </c>
      <c r="C2" s="474" t="s">
        <v>116</v>
      </c>
      <c r="D2" s="474" t="s">
        <v>117</v>
      </c>
      <c r="E2" s="399" t="s">
        <v>118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8.75" hidden="false" customHeight="true" outlineLevel="0" collapsed="false">
      <c r="A3" s="209" t="s">
        <v>121</v>
      </c>
      <c r="B3" s="475" t="n">
        <v>46854.17</v>
      </c>
      <c r="C3" s="475" t="n">
        <v>0</v>
      </c>
      <c r="D3" s="475" t="n">
        <v>833.33</v>
      </c>
      <c r="E3" s="476" t="n">
        <v>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8.75" hidden="false" customHeight="true" outlineLevel="0" collapsed="false">
      <c r="A4" s="209" t="s">
        <v>122</v>
      </c>
      <c r="B4" s="493" t="n">
        <v>0</v>
      </c>
      <c r="C4" s="493" t="n">
        <v>0</v>
      </c>
      <c r="D4" s="493" t="n">
        <v>0</v>
      </c>
      <c r="E4" s="260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8.75" hidden="false" customHeight="true" outlineLevel="0" collapsed="false">
      <c r="A5" s="209" t="s">
        <v>123</v>
      </c>
      <c r="B5" s="475" t="n">
        <v>0</v>
      </c>
      <c r="C5" s="475" t="n">
        <v>0</v>
      </c>
      <c r="D5" s="475" t="n">
        <v>0</v>
      </c>
      <c r="E5" s="273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8.75" hidden="false" customHeight="true" outlineLevel="0" collapsed="false">
      <c r="A6" s="209" t="s">
        <v>124</v>
      </c>
      <c r="B6" s="79" t="n">
        <f aca="false">(B3*B4/100)+B5</f>
        <v>0</v>
      </c>
      <c r="C6" s="79" t="n">
        <f aca="false">(C3*C4/100)+C5</f>
        <v>0</v>
      </c>
      <c r="D6" s="79" t="n">
        <f aca="false">(D3*D4/100)+D5</f>
        <v>0</v>
      </c>
      <c r="E6" s="273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8.75" hidden="false" customHeight="true" outlineLevel="0" collapsed="false">
      <c r="A7" s="209" t="s">
        <v>125</v>
      </c>
      <c r="B7" s="79" t="n">
        <f aca="false">B3-B6</f>
        <v>46854.17</v>
      </c>
      <c r="C7" s="79" t="n">
        <f aca="false">C3-C6</f>
        <v>0</v>
      </c>
      <c r="D7" s="79" t="n">
        <f aca="false">D3-D6</f>
        <v>833.33</v>
      </c>
      <c r="E7" s="273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8.75" hidden="false" customHeight="true" outlineLevel="0" collapsed="false">
      <c r="A8" s="209"/>
      <c r="B8" s="207"/>
      <c r="C8" s="207"/>
      <c r="D8" s="207"/>
      <c r="E8" s="210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8.75" hidden="false" customHeight="true" outlineLevel="0" collapsed="false">
      <c r="A9" s="402" t="s">
        <v>133</v>
      </c>
      <c r="B9" s="402"/>
      <c r="C9" s="402"/>
      <c r="D9" s="402"/>
      <c r="E9" s="494" t="n">
        <f aca="false">B7+C7+D7+E3</f>
        <v>47687.5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8.75" hidden="false" customHeight="true" outlineLevel="0" collapsed="false">
      <c r="A10" s="404" t="s">
        <v>134</v>
      </c>
      <c r="B10" s="404"/>
      <c r="C10" s="404"/>
      <c r="D10" s="404"/>
      <c r="E10" s="476" t="n">
        <v>550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8.75" hidden="false" customHeight="true" outlineLevel="0" collapsed="false">
      <c r="A11" s="404" t="s">
        <v>135</v>
      </c>
      <c r="B11" s="404"/>
      <c r="C11" s="404"/>
      <c r="D11" s="404"/>
      <c r="E11" s="273" t="n">
        <f aca="false">(E9+E10)*20%</f>
        <v>9647.5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8.75" hidden="false" customHeight="true" outlineLevel="0" collapsed="false">
      <c r="A12" s="404" t="s">
        <v>136</v>
      </c>
      <c r="B12" s="404"/>
      <c r="C12" s="404"/>
      <c r="D12" s="404"/>
      <c r="E12" s="476" t="n"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8.75" hidden="false" customHeight="true" outlineLevel="0" collapsed="false">
      <c r="A13" s="404" t="s">
        <v>137</v>
      </c>
      <c r="B13" s="404"/>
      <c r="C13" s="404"/>
      <c r="D13" s="404"/>
      <c r="E13" s="476" t="n">
        <v>585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8.75" hidden="false" customHeight="true" outlineLevel="0" collapsed="false">
      <c r="A14" s="404" t="s">
        <v>138</v>
      </c>
      <c r="B14" s="404"/>
      <c r="C14" s="404"/>
      <c r="D14" s="404"/>
      <c r="E14" s="476" t="n">
        <v>55</v>
      </c>
      <c r="F14" s="19"/>
      <c r="G14" s="19" t="s">
        <v>13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8.75" hidden="false" customHeight="true" outlineLevel="0" collapsed="false">
      <c r="A15" s="404" t="s">
        <v>139</v>
      </c>
      <c r="B15" s="404"/>
      <c r="C15" s="404"/>
      <c r="D15" s="404"/>
      <c r="E15" s="495" t="n">
        <f aca="false">(E9+E10+E13+E14+E11)-E12</f>
        <v>58525</v>
      </c>
      <c r="F15" s="19"/>
      <c r="G15" s="205" t="n">
        <f aca="false">E15</f>
        <v>58525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8.75" hidden="false" customHeight="true" outlineLevel="0" collapsed="false">
      <c r="A16" s="404" t="s">
        <v>140</v>
      </c>
      <c r="B16" s="404"/>
      <c r="C16" s="404"/>
      <c r="D16" s="404"/>
      <c r="E16" s="476" t="n">
        <v>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6" t="s">
        <v>15</v>
      </c>
      <c r="Z16" s="19"/>
    </row>
    <row r="17" customFormat="false" ht="18.75" hidden="false" customHeight="true" outlineLevel="0" collapsed="false">
      <c r="A17" s="349" t="s">
        <v>141</v>
      </c>
      <c r="B17" s="349"/>
      <c r="C17" s="349"/>
      <c r="D17" s="349"/>
      <c r="E17" s="210"/>
      <c r="F17" s="19"/>
      <c r="G17" s="19" t="s">
        <v>16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6" t="s">
        <v>17</v>
      </c>
      <c r="Z17" s="19"/>
    </row>
    <row r="18" customFormat="false" ht="18.75" hidden="false" customHeight="true" outlineLevel="0" collapsed="false">
      <c r="A18" s="405" t="s">
        <v>15</v>
      </c>
      <c r="B18" s="406" t="s">
        <v>142</v>
      </c>
      <c r="C18" s="406"/>
      <c r="D18" s="406"/>
      <c r="E18" s="479" t="n">
        <v>0</v>
      </c>
      <c r="F18" s="19"/>
      <c r="G18" s="205" t="n">
        <f aca="false">(B3+C3+D3+E3+E10)*1.2</f>
        <v>57885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6" t="s">
        <v>18</v>
      </c>
      <c r="Z18" s="19"/>
    </row>
    <row r="19" customFormat="false" ht="18.75" hidden="false" customHeight="true" outlineLevel="0" collapsed="false">
      <c r="A19" s="405" t="s">
        <v>17</v>
      </c>
      <c r="B19" s="406" t="s">
        <v>142</v>
      </c>
      <c r="C19" s="406"/>
      <c r="D19" s="406"/>
      <c r="E19" s="479" t="n"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 t="s">
        <v>9</v>
      </c>
    </row>
    <row r="20" customFormat="false" ht="18.75" hidden="false" customHeight="true" outlineLevel="0" collapsed="false">
      <c r="A20" s="405" t="s">
        <v>18</v>
      </c>
      <c r="B20" s="406" t="s">
        <v>142</v>
      </c>
      <c r="C20" s="406"/>
      <c r="D20" s="406"/>
      <c r="E20" s="479" t="n"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 t="s">
        <v>10</v>
      </c>
    </row>
    <row r="21" customFormat="false" ht="18.75" hidden="false" customHeight="true" outlineLevel="0" collapsed="false">
      <c r="A21" s="407" t="s">
        <v>143</v>
      </c>
      <c r="B21" s="407"/>
      <c r="C21" s="407"/>
      <c r="D21" s="407"/>
      <c r="E21" s="480" t="n">
        <f aca="false">E15-((E18*1.2)+(E19*1.2)+(E20*1.2)+(E16*1.2))</f>
        <v>58525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8.75" hidden="false" customHeight="true" outlineLevel="0" collapsed="false">
      <c r="A22" s="207"/>
      <c r="B22" s="207"/>
      <c r="C22" s="207"/>
      <c r="D22" s="207"/>
      <c r="E22" s="207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7.35" hidden="false" customHeight="false" outlineLevel="0" collapsed="false">
      <c r="A23" s="207"/>
      <c r="B23" s="207"/>
      <c r="C23" s="207"/>
      <c r="D23" s="207"/>
      <c r="E23" s="207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18.75" hidden="false" customHeight="true" outlineLevel="0" collapsed="false">
      <c r="A24" s="208" t="s">
        <v>208</v>
      </c>
      <c r="B24" s="208"/>
      <c r="C24" s="208"/>
      <c r="D24" s="208"/>
      <c r="E24" s="20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8.75" hidden="false" customHeight="true" outlineLevel="0" collapsed="false">
      <c r="A25" s="209"/>
      <c r="B25" s="207"/>
      <c r="C25" s="207"/>
      <c r="D25" s="207"/>
      <c r="E25" s="21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8.75" hidden="false" customHeight="true" outlineLevel="0" collapsed="false">
      <c r="A26" s="211" t="s">
        <v>209</v>
      </c>
      <c r="B26" s="211"/>
      <c r="C26" s="211"/>
      <c r="D26" s="211"/>
      <c r="E26" s="211"/>
      <c r="F26" s="19"/>
      <c r="G26" s="212"/>
      <c r="H26" s="212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8.75" hidden="false" customHeight="true" outlineLevel="0" collapsed="false">
      <c r="A27" s="209"/>
      <c r="B27" s="207"/>
      <c r="C27" s="207"/>
      <c r="D27" s="207"/>
      <c r="E27" s="210"/>
      <c r="F27" s="19"/>
      <c r="G27" s="213" t="s">
        <v>46</v>
      </c>
      <c r="H27" s="213" t="n">
        <f aca="false">IF(A32=Y103,1,IF(A32=Y104,1,IF(A32=Y105,3,IF(A32=Y106,6,IF(A32=Y107,9,IF(A32=Y108,12,IF(A32=Y109,3,IF(A32=Y110,6,IF(A32=Y111,9,0)))))))))</f>
        <v>0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8.75" hidden="false" customHeight="true" outlineLevel="0" collapsed="false">
      <c r="A28" s="214" t="s">
        <v>210</v>
      </c>
      <c r="B28" s="215" t="s">
        <v>211</v>
      </c>
      <c r="C28" s="207"/>
      <c r="D28" s="215" t="s">
        <v>212</v>
      </c>
      <c r="E28" s="210"/>
      <c r="F28" s="19"/>
      <c r="G28" s="213" t="s">
        <v>60</v>
      </c>
      <c r="H28" s="213" t="n">
        <f aca="false">IF(A32=Y103,H29-H37,IF(A32=Y104,H29-H37,IF(A32=Y105,H29-1,IF(A32=Y106,H29-1,IF(A32=Y107,H29-1,IF(A32=Y108,H29-1,IF(A32=Y109,H29-H37,IF(A32=Y110,H29-H37,IF(A32=Y111,H29-H37,0)))))))))</f>
        <v>0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8.75" hidden="false" customHeight="true" outlineLevel="0" collapsed="false">
      <c r="A29" s="216" t="s">
        <v>213</v>
      </c>
      <c r="B29" s="217" t="n">
        <v>12345</v>
      </c>
      <c r="C29" s="217"/>
      <c r="D29" s="218" t="n">
        <f aca="true">TODAY()+1</f>
        <v>45008</v>
      </c>
      <c r="E29" s="218"/>
      <c r="F29" s="19"/>
      <c r="G29" s="212" t="s">
        <v>214</v>
      </c>
      <c r="H29" s="212" t="n">
        <f aca="false">B35</f>
        <v>12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8.75" hidden="false" customHeight="true" outlineLevel="0" collapsed="false">
      <c r="A30" s="209"/>
      <c r="B30" s="21"/>
      <c r="C30" s="21"/>
      <c r="D30" s="207"/>
      <c r="E30" s="210"/>
      <c r="F30" s="19"/>
      <c r="G30" s="212" t="s">
        <v>31</v>
      </c>
      <c r="H30" s="212" t="n">
        <f aca="false">D35</f>
        <v>5000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8.75" hidden="false" customHeight="true" outlineLevel="0" collapsed="false">
      <c r="A31" s="214" t="s">
        <v>23</v>
      </c>
      <c r="B31" s="215" t="s">
        <v>215</v>
      </c>
      <c r="C31" s="207"/>
      <c r="D31" s="215" t="s">
        <v>216</v>
      </c>
      <c r="E31" s="210"/>
      <c r="F31" s="19"/>
      <c r="G31" s="212" t="s">
        <v>217</v>
      </c>
      <c r="H31" s="219" t="n">
        <f aca="false">D38</f>
        <v>500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8.75" hidden="false" customHeight="true" outlineLevel="0" collapsed="false">
      <c r="A32" s="216" t="s">
        <v>100</v>
      </c>
      <c r="B32" s="220" t="n">
        <f aca="false">IF(A32=Z103,D38,IF(A32=Z104,D38,IF(A32=Z105,(D38*3),IF(A32=Z106,(D38*6),IF(A32=Z107,(D38*9),IF(A32=Z108,(D38*12),IF(A32=Z109,D38,IF(A32=Z110,D38,IF(A32=Z111,D38,0)))))))))</f>
        <v>500</v>
      </c>
      <c r="C32" s="220"/>
      <c r="D32" s="220" t="n">
        <f aca="false">IF(A32=Z103,A41,IF(A32=Z104,A41,IF(A32=Z105,(A41*3),IF(A32=Z106,(A41*6),IF(A32=Z107,(A41*9),IF(A32=Z108,(A41*12),IF(A32=Z109,A41,IF(A32=Z110,A41,IF(A32=Z111,A41,0)))))))))</f>
        <v>50</v>
      </c>
      <c r="E32" s="220"/>
      <c r="F32" s="19"/>
      <c r="G32" s="221" t="s">
        <v>218</v>
      </c>
      <c r="H32" s="219" t="n">
        <f aca="false">A41</f>
        <v>50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18.75" hidden="false" customHeight="true" outlineLevel="0" collapsed="false">
      <c r="A33" s="222"/>
      <c r="B33" s="174"/>
      <c r="C33" s="223"/>
      <c r="D33" s="176"/>
      <c r="E33" s="210"/>
      <c r="F33" s="19"/>
      <c r="G33" s="221" t="s">
        <v>219</v>
      </c>
      <c r="H33" s="219" t="n">
        <f aca="false">D41</f>
        <v>6000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8.75" hidden="false" customHeight="true" outlineLevel="0" collapsed="false">
      <c r="A34" s="222" t="s">
        <v>220</v>
      </c>
      <c r="B34" s="224" t="s">
        <v>221</v>
      </c>
      <c r="C34" s="223"/>
      <c r="D34" s="64" t="s">
        <v>175</v>
      </c>
      <c r="E34" s="210"/>
      <c r="F34" s="19"/>
      <c r="G34" s="221" t="s">
        <v>222</v>
      </c>
      <c r="H34" s="219" t="n">
        <f aca="false">A44</f>
        <v>12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8.75" hidden="false" customHeight="true" outlineLevel="0" collapsed="false">
      <c r="A35" s="220" t="n">
        <f aca="false">B32+D32</f>
        <v>550</v>
      </c>
      <c r="B35" s="217" t="n">
        <v>12</v>
      </c>
      <c r="C35" s="217"/>
      <c r="D35" s="217" t="n">
        <v>5000</v>
      </c>
      <c r="E35" s="217"/>
      <c r="F35" s="19"/>
      <c r="G35" s="225"/>
      <c r="H35" s="226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8.75" hidden="false" customHeight="true" outlineLevel="0" collapsed="false">
      <c r="A36" s="209"/>
      <c r="B36" s="207"/>
      <c r="C36" s="207"/>
      <c r="D36" s="207"/>
      <c r="E36" s="210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8.75" hidden="false" customHeight="true" outlineLevel="0" collapsed="false">
      <c r="A37" s="214" t="s">
        <v>223</v>
      </c>
      <c r="B37" s="215" t="s">
        <v>224</v>
      </c>
      <c r="C37" s="207"/>
      <c r="D37" s="215" t="s">
        <v>225</v>
      </c>
      <c r="E37" s="210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8.75" hidden="false" customHeight="true" outlineLevel="0" collapsed="false">
      <c r="A38" s="227" t="n">
        <f aca="false">(B35/12)*D35</f>
        <v>5000</v>
      </c>
      <c r="B38" s="217" t="s">
        <v>9</v>
      </c>
      <c r="C38" s="217"/>
      <c r="D38" s="60" t="n">
        <v>500</v>
      </c>
      <c r="E38" s="60"/>
      <c r="F38" s="19"/>
      <c r="G38" s="19"/>
      <c r="H38" s="19"/>
      <c r="I38" s="22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8.75" hidden="false" customHeight="true" outlineLevel="0" collapsed="false">
      <c r="A39" s="229"/>
      <c r="B39" s="223"/>
      <c r="C39" s="223"/>
      <c r="D39" s="207"/>
      <c r="E39" s="210"/>
      <c r="F39" s="19"/>
      <c r="G39" s="19"/>
      <c r="H39" s="228"/>
      <c r="I39" s="228"/>
      <c r="J39" s="22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8.75" hidden="false" customHeight="true" outlineLevel="0" collapsed="false">
      <c r="A40" s="230" t="s">
        <v>227</v>
      </c>
      <c r="B40" s="231" t="s">
        <v>93</v>
      </c>
      <c r="C40" s="223"/>
      <c r="D40" s="232" t="s">
        <v>228</v>
      </c>
      <c r="E40" s="210"/>
      <c r="F40" s="19"/>
      <c r="G40" s="19"/>
      <c r="H40" s="228"/>
      <c r="I40" s="228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8.75" hidden="false" customHeight="true" outlineLevel="0" collapsed="false">
      <c r="A41" s="60" t="n">
        <v>50</v>
      </c>
      <c r="B41" s="233" t="n">
        <f aca="false">IF(B38="YES", D38+A41, D38)</f>
        <v>550</v>
      </c>
      <c r="C41" s="233"/>
      <c r="D41" s="60" t="n">
        <v>6000</v>
      </c>
      <c r="E41" s="60"/>
      <c r="F41" s="19"/>
      <c r="G41" s="19"/>
      <c r="H41" s="235"/>
      <c r="I41" s="22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8.75" hidden="false" customHeight="true" outlineLevel="0" collapsed="false">
      <c r="A42" s="229"/>
      <c r="B42" s="223"/>
      <c r="C42" s="223"/>
      <c r="D42" s="223"/>
      <c r="E42" s="236"/>
      <c r="F42" s="19"/>
      <c r="G42" s="237" t="s">
        <v>42</v>
      </c>
      <c r="H42" s="237"/>
      <c r="I42" s="22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8.75" hidden="false" customHeight="true" outlineLevel="0" collapsed="false">
      <c r="A43" s="230" t="s">
        <v>111</v>
      </c>
      <c r="B43" s="231" t="s">
        <v>229</v>
      </c>
      <c r="C43" s="223"/>
      <c r="D43" s="231" t="s">
        <v>230</v>
      </c>
      <c r="E43" s="236"/>
      <c r="F43" s="19"/>
      <c r="G43" s="19" t="s">
        <v>231</v>
      </c>
      <c r="H43" s="228" t="n">
        <f aca="false">((((D38*(B35-1))+B32)/B35) + (A44/B35))</f>
        <v>501</v>
      </c>
      <c r="I43" s="22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8.75" hidden="false" customHeight="true" outlineLevel="0" collapsed="false">
      <c r="A44" s="60" t="n">
        <v>12</v>
      </c>
      <c r="B44" s="60" t="n">
        <v>1</v>
      </c>
      <c r="C44" s="60"/>
      <c r="D44" s="60" t="n">
        <v>1</v>
      </c>
      <c r="E44" s="60"/>
      <c r="F44" s="19"/>
      <c r="G44" s="19" t="s">
        <v>233</v>
      </c>
      <c r="H44" s="228" t="n">
        <f aca="false">H32</f>
        <v>50</v>
      </c>
      <c r="I44" s="238" t="n">
        <f aca="false">((A41*(B35-1))+D32)/B35</f>
        <v>50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8.75" hidden="false" customHeight="true" outlineLevel="0" collapsed="false">
      <c r="A45" s="229"/>
      <c r="B45" s="223"/>
      <c r="C45" s="223"/>
      <c r="D45" s="223"/>
      <c r="E45" s="236"/>
      <c r="F45" s="19"/>
      <c r="G45" s="19" t="s">
        <v>234</v>
      </c>
      <c r="H45" s="239" t="n">
        <f aca="false">H43+H44</f>
        <v>551</v>
      </c>
      <c r="I45" s="22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8.75" hidden="false" customHeight="true" outlineLevel="0" collapsed="false">
      <c r="A46" s="230" t="s">
        <v>235</v>
      </c>
      <c r="B46" s="231" t="s">
        <v>236</v>
      </c>
      <c r="C46" s="223"/>
      <c r="D46" s="231" t="s">
        <v>237</v>
      </c>
      <c r="E46" s="236"/>
      <c r="F46" s="19"/>
      <c r="G46" s="19" t="s">
        <v>238</v>
      </c>
      <c r="H46" s="228" t="n">
        <f aca="false">H43</f>
        <v>501</v>
      </c>
      <c r="I46" s="22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8.75" hidden="false" customHeight="true" outlineLevel="0" collapsed="false">
      <c r="A47" s="240" t="n">
        <v>0</v>
      </c>
      <c r="B47" s="497" t="n">
        <v>0.01</v>
      </c>
      <c r="C47" s="497"/>
      <c r="D47" s="60" t="n">
        <v>1</v>
      </c>
      <c r="E47" s="60"/>
      <c r="F47" s="19"/>
      <c r="G47" s="19"/>
      <c r="H47" s="228"/>
      <c r="I47" s="22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8.75" hidden="false" customHeight="true" outlineLevel="0" collapsed="false">
      <c r="A48" s="229"/>
      <c r="B48" s="223"/>
      <c r="C48" s="223"/>
      <c r="D48" s="223"/>
      <c r="E48" s="236"/>
      <c r="F48" s="19"/>
      <c r="G48" s="19"/>
      <c r="H48" s="228"/>
      <c r="I48" s="22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8.75" hidden="false" customHeight="true" outlineLevel="0" collapsed="false">
      <c r="A49" s="229" t="s">
        <v>376</v>
      </c>
      <c r="B49" s="223"/>
      <c r="C49" s="223"/>
      <c r="D49" s="223"/>
      <c r="E49" s="236"/>
      <c r="F49" s="19"/>
      <c r="G49" s="19"/>
      <c r="H49" s="228"/>
      <c r="I49" s="22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8.75" hidden="false" customHeight="true" outlineLevel="0" collapsed="false">
      <c r="A50" s="216" t="s">
        <v>10</v>
      </c>
      <c r="B50" s="223"/>
      <c r="C50" s="223"/>
      <c r="D50" s="223"/>
      <c r="E50" s="236"/>
      <c r="F50" s="19"/>
      <c r="G50" s="19"/>
      <c r="H50" s="228"/>
      <c r="I50" s="22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8.75" hidden="false" customHeight="true" outlineLevel="0" collapsed="false">
      <c r="A51" s="229"/>
      <c r="B51" s="223"/>
      <c r="C51" s="223"/>
      <c r="D51" s="223"/>
      <c r="E51" s="236"/>
      <c r="F51" s="19"/>
      <c r="G51" s="19"/>
      <c r="H51" s="228"/>
      <c r="I51" s="22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8.75" hidden="false" customHeight="true" outlineLevel="0" collapsed="false">
      <c r="A52" s="242" t="s">
        <v>313</v>
      </c>
      <c r="B52" s="223"/>
      <c r="C52" s="223"/>
      <c r="D52" s="223"/>
      <c r="E52" s="236"/>
      <c r="F52" s="19"/>
      <c r="G52" s="19"/>
      <c r="H52" s="228"/>
      <c r="I52" s="22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8.75" hidden="false" customHeight="true" outlineLevel="0" collapsed="false">
      <c r="A53" s="229"/>
      <c r="B53" s="223"/>
      <c r="C53" s="223"/>
      <c r="D53" s="223"/>
      <c r="E53" s="236"/>
      <c r="F53" s="19"/>
      <c r="G53" s="19"/>
      <c r="H53" s="228"/>
      <c r="I53" s="22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8.75" hidden="false" customHeight="true" outlineLevel="0" collapsed="false">
      <c r="A54" s="243" t="s">
        <v>57</v>
      </c>
      <c r="B54" s="207"/>
      <c r="C54" s="207"/>
      <c r="D54" s="244"/>
      <c r="E54" s="245"/>
      <c r="F54" s="19"/>
      <c r="G54" s="19"/>
      <c r="H54" s="228"/>
      <c r="I54" s="22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8.75" hidden="false" customHeight="true" outlineLevel="0" collapsed="false">
      <c r="A55" s="209"/>
      <c r="B55" s="246"/>
      <c r="C55" s="246"/>
      <c r="D55" s="207"/>
      <c r="E55" s="210"/>
      <c r="F55" s="19"/>
      <c r="G55" s="19"/>
      <c r="H55" s="247"/>
      <c r="I55" s="22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8.75" hidden="false" customHeight="true" outlineLevel="0" collapsed="false">
      <c r="A56" s="248" t="s">
        <v>28</v>
      </c>
      <c r="B56" s="249" t="s">
        <v>33</v>
      </c>
      <c r="C56" s="249"/>
      <c r="D56" s="207"/>
      <c r="E56" s="210"/>
      <c r="F56" s="19"/>
      <c r="G56" s="19"/>
      <c r="H56" s="19"/>
      <c r="I56" s="22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8.75" hidden="false" customHeight="true" outlineLevel="0" collapsed="false">
      <c r="A57" s="248"/>
      <c r="B57" s="250" t="n">
        <f aca="false">H30</f>
        <v>5000</v>
      </c>
      <c r="C57" s="250"/>
      <c r="D57" s="207"/>
      <c r="E57" s="210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8.75" hidden="false" customHeight="true" outlineLevel="0" collapsed="false">
      <c r="A58" s="251" t="n">
        <f aca="false">H29</f>
        <v>12</v>
      </c>
      <c r="B58" s="92" t="n">
        <f aca="false">H45</f>
        <v>551</v>
      </c>
      <c r="C58" s="92"/>
      <c r="D58" s="207"/>
      <c r="E58" s="210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8.75" hidden="false" customHeight="true" outlineLevel="0" collapsed="false">
      <c r="A59" s="209"/>
      <c r="B59" s="207"/>
      <c r="C59" s="207"/>
      <c r="D59" s="207"/>
      <c r="E59" s="210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8.75" hidden="false" customHeight="true" outlineLevel="0" collapsed="false">
      <c r="A60" s="252"/>
      <c r="B60" s="253"/>
      <c r="C60" s="253"/>
      <c r="D60" s="253"/>
      <c r="E60" s="254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8.75" hidden="false" customHeight="true" outlineLevel="0" collapsed="false">
      <c r="A61" s="207"/>
      <c r="B61" s="207"/>
      <c r="C61" s="207"/>
      <c r="D61" s="207"/>
      <c r="E61" s="207"/>
      <c r="F61" s="19"/>
      <c r="G61" s="207"/>
      <c r="H61" s="207"/>
      <c r="I61" s="207"/>
      <c r="J61" s="207"/>
      <c r="K61" s="207"/>
      <c r="L61" s="19"/>
      <c r="M61" s="207"/>
      <c r="N61" s="207"/>
      <c r="O61" s="207"/>
      <c r="P61" s="207"/>
      <c r="Q61" s="207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8.75" hidden="false" customHeight="true" outlineLevel="0" collapsed="false">
      <c r="A62" s="255"/>
      <c r="B62" s="256"/>
      <c r="C62" s="256"/>
      <c r="D62" s="256"/>
      <c r="E62" s="257"/>
      <c r="F62" s="19"/>
      <c r="G62" s="255"/>
      <c r="H62" s="256"/>
      <c r="I62" s="256"/>
      <c r="J62" s="256"/>
      <c r="K62" s="257"/>
      <c r="L62" s="19"/>
      <c r="M62" s="255"/>
      <c r="N62" s="256"/>
      <c r="O62" s="256"/>
      <c r="P62" s="256"/>
      <c r="Q62" s="257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8.75" hidden="false" customHeight="true" outlineLevel="0" collapsed="false">
      <c r="A63" s="209" t="s">
        <v>46</v>
      </c>
      <c r="B63" s="207" t="n">
        <f aca="false">IF(B105=Z103,1,IF(B105=Z104,1,IF(B105=Z105,3,IF(B105=Z106,6,IF(B105=Z107,9,IF(B105=Z108,12,IF(B105=Z109,3,IF(B105=Z110,6,IF(B105=Z111,9,0)))))))))</f>
        <v>12</v>
      </c>
      <c r="C63" s="207"/>
      <c r="D63" s="207"/>
      <c r="E63" s="210"/>
      <c r="F63" s="19"/>
      <c r="G63" s="209" t="s">
        <v>46</v>
      </c>
      <c r="H63" s="207" t="n">
        <f aca="false">IF(H105=Y103,1,IF(H105=Y104,1,IF(H105=Y105,3,IF(H105=Y106,6,IF(H105=Y107,9,IF(H105=Y108,12,IF(H105=Y109,3,IF(H105=Y110,6,IF(H105=Y111,9,0)))))))))</f>
        <v>0</v>
      </c>
      <c r="I63" s="207"/>
      <c r="J63" s="207"/>
      <c r="K63" s="210"/>
      <c r="L63" s="19"/>
      <c r="M63" s="209" t="s">
        <v>46</v>
      </c>
      <c r="N63" s="207" t="n">
        <f aca="false">IF(N105=Y103,1,IF(N105=Y104,1,IF(N105=Y105,3,IF(N105=Y106,6,IF(N105=Y107,9,IF(N105=Y108,12,IF(N105=Y109,3,IF(N105=Y110,6,IF(N105=Y111,9,0)))))))))</f>
        <v>0</v>
      </c>
      <c r="O63" s="207"/>
      <c r="P63" s="207"/>
      <c r="Q63" s="210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8.75" hidden="false" customHeight="true" outlineLevel="0" collapsed="false">
      <c r="A64" s="209" t="s">
        <v>60</v>
      </c>
      <c r="B64" s="207" t="n">
        <f aca="false">IF(B105=Z103,H29-B63,IF(B105=Z104,H29-B63,IF(B105=Z105,H29-1,IF(B105=Z106,H29-1,IF(B105=Z107,H29-1,IF(B105=Z108,H29-1,IF(B105=Z109,H29-B63,IF(B105=Z110,H29-B63,IF(B105=Z111,H29-B63,0)))))))))</f>
        <v>11</v>
      </c>
      <c r="C64" s="207"/>
      <c r="D64" s="207"/>
      <c r="E64" s="210"/>
      <c r="F64" s="19"/>
      <c r="G64" s="209" t="s">
        <v>60</v>
      </c>
      <c r="H64" s="207" t="n">
        <f aca="false">IF(H105=Y103,H29-H63,IF(H105=Y104,H29-H63,IF(H105=Y105,H29-1,IF(H105=Y106,H29-1,IF(H105=Y107,H29-1,IF(H105=Y108,H29-1,IF(H105=Y109,H29-H63,IF(H105=Y110,H29-H63,IF(H105=Y111,H29-H63,0)))))))))</f>
        <v>0</v>
      </c>
      <c r="I64" s="207"/>
      <c r="J64" s="207"/>
      <c r="K64" s="210"/>
      <c r="L64" s="19"/>
      <c r="M64" s="209" t="s">
        <v>60</v>
      </c>
      <c r="N64" s="207" t="n">
        <f aca="false">IF(N105=Y103,H29-N63,IF(N105=Y104,H29-N63,IF(N105=Y105,H29-1,IF(N105=Y106,H29-1,IF(N105=Y107,H29-1,IF(N105=Y108,H29-1,IF(N105=Y109,H29-N63,IF(N105=Y110,H29-N63,IF(N105=Y111,H29-N63,0)))))))))</f>
        <v>0</v>
      </c>
      <c r="O64" s="207"/>
      <c r="P64" s="207"/>
      <c r="Q64" s="210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8.75" hidden="false" customHeight="true" outlineLevel="0" collapsed="false">
      <c r="A65" s="209"/>
      <c r="B65" s="207"/>
      <c r="C65" s="207"/>
      <c r="D65" s="207"/>
      <c r="E65" s="210"/>
      <c r="F65" s="19"/>
      <c r="G65" s="209"/>
      <c r="H65" s="207"/>
      <c r="I65" s="207"/>
      <c r="J65" s="207"/>
      <c r="K65" s="210"/>
      <c r="L65" s="19"/>
      <c r="M65" s="209"/>
      <c r="N65" s="207"/>
      <c r="O65" s="207"/>
      <c r="P65" s="207"/>
      <c r="Q65" s="210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8.75" hidden="false" customHeight="true" outlineLevel="0" collapsed="false">
      <c r="A66" s="209"/>
      <c r="B66" s="207"/>
      <c r="C66" s="207"/>
      <c r="D66" s="207"/>
      <c r="E66" s="210"/>
      <c r="F66" s="19"/>
      <c r="G66" s="209"/>
      <c r="H66" s="207"/>
      <c r="I66" s="207"/>
      <c r="J66" s="207"/>
      <c r="K66" s="210"/>
      <c r="L66" s="19"/>
      <c r="M66" s="209"/>
      <c r="N66" s="207"/>
      <c r="O66" s="207"/>
      <c r="P66" s="207"/>
      <c r="Q66" s="210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8.75" hidden="false" customHeight="true" outlineLevel="0" collapsed="false">
      <c r="A67" s="209" t="s">
        <v>16</v>
      </c>
      <c r="B67" s="79" t="n">
        <f aca="false">G18</f>
        <v>57885</v>
      </c>
      <c r="C67" s="207"/>
      <c r="D67" s="207"/>
      <c r="E67" s="210"/>
      <c r="F67" s="19"/>
      <c r="G67" s="209" t="s">
        <v>16</v>
      </c>
      <c r="H67" s="79" t="n">
        <f aca="false">G18</f>
        <v>57885</v>
      </c>
      <c r="I67" s="207"/>
      <c r="J67" s="207"/>
      <c r="K67" s="210"/>
      <c r="L67" s="19"/>
      <c r="M67" s="209" t="s">
        <v>16</v>
      </c>
      <c r="N67" s="79" t="n">
        <f aca="false">G18</f>
        <v>57885</v>
      </c>
      <c r="O67" s="207"/>
      <c r="P67" s="207"/>
      <c r="Q67" s="210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8.75" hidden="false" customHeight="true" outlineLevel="0" collapsed="false">
      <c r="A68" s="258" t="s">
        <v>241</v>
      </c>
      <c r="B68" s="259" t="n">
        <v>0.07</v>
      </c>
      <c r="C68" s="207"/>
      <c r="D68" s="207"/>
      <c r="E68" s="210"/>
      <c r="F68" s="19"/>
      <c r="G68" s="258" t="s">
        <v>241</v>
      </c>
      <c r="H68" s="259" t="n">
        <v>0.07</v>
      </c>
      <c r="I68" s="207"/>
      <c r="J68" s="207"/>
      <c r="K68" s="210"/>
      <c r="L68" s="19"/>
      <c r="M68" s="258" t="s">
        <v>241</v>
      </c>
      <c r="N68" s="259" t="n">
        <v>0.07</v>
      </c>
      <c r="O68" s="207"/>
      <c r="P68" s="207"/>
      <c r="Q68" s="210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8.75" hidden="false" customHeight="true" outlineLevel="0" collapsed="false">
      <c r="A69" s="209" t="s">
        <v>242</v>
      </c>
      <c r="B69" s="260" t="n">
        <f aca="false">B68+(B68*0.25*(H29/12-1))</f>
        <v>0.07</v>
      </c>
      <c r="C69" s="207"/>
      <c r="D69" s="207"/>
      <c r="E69" s="210"/>
      <c r="F69" s="19"/>
      <c r="G69" s="209" t="s">
        <v>242</v>
      </c>
      <c r="H69" s="260" t="n">
        <f aca="false">H68+(H68*0.25*(H29/12-1))</f>
        <v>0.07</v>
      </c>
      <c r="I69" s="207"/>
      <c r="J69" s="207"/>
      <c r="K69" s="210"/>
      <c r="L69" s="19"/>
      <c r="M69" s="209" t="s">
        <v>242</v>
      </c>
      <c r="N69" s="260" t="n">
        <f aca="false">N68+(N68*0.25*(H29/12-1))</f>
        <v>0.07</v>
      </c>
      <c r="O69" s="207"/>
      <c r="P69" s="207"/>
      <c r="Q69" s="210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18.75" hidden="false" customHeight="true" outlineLevel="0" collapsed="false">
      <c r="A70" s="252" t="s">
        <v>65</v>
      </c>
      <c r="B70" s="139" t="n">
        <f aca="false">B67*B69</f>
        <v>4051.95</v>
      </c>
      <c r="C70" s="207"/>
      <c r="D70" s="79" t="n">
        <f aca="false">B70-A151</f>
        <v>4051.95</v>
      </c>
      <c r="E70" s="210" t="n">
        <f aca="false">D70/12</f>
        <v>337.6625</v>
      </c>
      <c r="F70" s="19"/>
      <c r="G70" s="252" t="s">
        <v>65</v>
      </c>
      <c r="H70" s="139" t="n">
        <f aca="false">H67*H69</f>
        <v>4051.95</v>
      </c>
      <c r="I70" s="207"/>
      <c r="J70" s="79" t="n">
        <f aca="false">H70-G151</f>
        <v>4051.95</v>
      </c>
      <c r="K70" s="210"/>
      <c r="L70" s="19"/>
      <c r="M70" s="252" t="s">
        <v>65</v>
      </c>
      <c r="N70" s="139" t="n">
        <f aca="false">N67*N69</f>
        <v>4051.95</v>
      </c>
      <c r="O70" s="207"/>
      <c r="P70" s="79" t="n">
        <f aca="false">N70-M151</f>
        <v>4051.95</v>
      </c>
      <c r="Q70" s="210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18.75" hidden="false" customHeight="true" outlineLevel="0" collapsed="false">
      <c r="A71" s="258" t="s">
        <v>66</v>
      </c>
      <c r="B71" s="259" t="n">
        <v>0.01</v>
      </c>
      <c r="C71" s="207"/>
      <c r="D71" s="207"/>
      <c r="E71" s="210"/>
      <c r="F71" s="19"/>
      <c r="G71" s="258" t="s">
        <v>66</v>
      </c>
      <c r="H71" s="259" t="n">
        <v>0.005</v>
      </c>
      <c r="I71" s="207"/>
      <c r="J71" s="207"/>
      <c r="K71" s="210"/>
      <c r="L71" s="19"/>
      <c r="M71" s="258" t="s">
        <v>66</v>
      </c>
      <c r="N71" s="259" t="n">
        <v>0.005</v>
      </c>
      <c r="O71" s="207"/>
      <c r="P71" s="207"/>
      <c r="Q71" s="210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8.75" hidden="false" customHeight="true" outlineLevel="0" collapsed="false">
      <c r="A72" s="209" t="s">
        <v>67</v>
      </c>
      <c r="B72" s="260" t="n">
        <f aca="false">B71+(B71*0.5*(H29/12-1))</f>
        <v>0.01</v>
      </c>
      <c r="C72" s="207"/>
      <c r="D72" s="207"/>
      <c r="E72" s="210"/>
      <c r="F72" s="19"/>
      <c r="G72" s="209" t="s">
        <v>67</v>
      </c>
      <c r="H72" s="260" t="n">
        <f aca="false">H71+(H71*0.5*(H29/12-1))</f>
        <v>0.005</v>
      </c>
      <c r="I72" s="207"/>
      <c r="J72" s="207"/>
      <c r="K72" s="210"/>
      <c r="L72" s="19"/>
      <c r="M72" s="209" t="s">
        <v>67</v>
      </c>
      <c r="N72" s="260" t="n">
        <f aca="false">N71+(N71*0.5*(H29/12-1))</f>
        <v>0.005</v>
      </c>
      <c r="O72" s="207"/>
      <c r="P72" s="207"/>
      <c r="Q72" s="210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8.75" hidden="false" customHeight="true" outlineLevel="0" collapsed="false">
      <c r="A73" s="252" t="s">
        <v>68</v>
      </c>
      <c r="B73" s="139" t="n">
        <f aca="false">B67*B72</f>
        <v>578.85</v>
      </c>
      <c r="C73" s="207"/>
      <c r="D73" s="79"/>
      <c r="E73" s="210"/>
      <c r="F73" s="19"/>
      <c r="G73" s="252" t="s">
        <v>68</v>
      </c>
      <c r="H73" s="139" t="n">
        <f aca="false">H67*H72</f>
        <v>289.425</v>
      </c>
      <c r="I73" s="207"/>
      <c r="J73" s="79"/>
      <c r="K73" s="210"/>
      <c r="L73" s="19"/>
      <c r="M73" s="252" t="s">
        <v>68</v>
      </c>
      <c r="N73" s="139" t="n">
        <f aca="false">N67*N72</f>
        <v>289.425</v>
      </c>
      <c r="O73" s="207"/>
      <c r="P73" s="79"/>
      <c r="Q73" s="210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8.75" hidden="false" customHeight="true" outlineLevel="0" collapsed="false">
      <c r="A74" s="258" t="s">
        <v>69</v>
      </c>
      <c r="B74" s="259" t="n">
        <v>0.0075</v>
      </c>
      <c r="C74" s="207"/>
      <c r="D74" s="207"/>
      <c r="E74" s="210"/>
      <c r="F74" s="19"/>
      <c r="G74" s="258" t="s">
        <v>69</v>
      </c>
      <c r="H74" s="259" t="n">
        <v>0.0075</v>
      </c>
      <c r="I74" s="207"/>
      <c r="J74" s="207"/>
      <c r="K74" s="210"/>
      <c r="L74" s="19"/>
      <c r="M74" s="258" t="s">
        <v>69</v>
      </c>
      <c r="N74" s="259" t="n">
        <v>0.0075</v>
      </c>
      <c r="O74" s="207"/>
      <c r="P74" s="207"/>
      <c r="Q74" s="210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8.75" hidden="false" customHeight="true" outlineLevel="0" collapsed="false">
      <c r="A75" s="261" t="s">
        <v>70</v>
      </c>
      <c r="B75" s="262" t="n">
        <v>0.12</v>
      </c>
      <c r="C75" s="207"/>
      <c r="D75" s="207"/>
      <c r="E75" s="210"/>
      <c r="F75" s="19"/>
      <c r="G75" s="261" t="s">
        <v>70</v>
      </c>
      <c r="H75" s="262" t="n">
        <v>0.12</v>
      </c>
      <c r="I75" s="207"/>
      <c r="J75" s="207"/>
      <c r="K75" s="210"/>
      <c r="L75" s="19"/>
      <c r="M75" s="261" t="s">
        <v>70</v>
      </c>
      <c r="N75" s="262" t="n">
        <v>0.12</v>
      </c>
      <c r="O75" s="207"/>
      <c r="P75" s="207"/>
      <c r="Q75" s="210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8.75" hidden="false" customHeight="true" outlineLevel="0" collapsed="false">
      <c r="A76" s="252" t="s">
        <v>71</v>
      </c>
      <c r="B76" s="263" t="n">
        <f aca="false">B74*(1+B75)</f>
        <v>0.0084</v>
      </c>
      <c r="C76" s="207"/>
      <c r="D76" s="207"/>
      <c r="E76" s="210"/>
      <c r="F76" s="19"/>
      <c r="G76" s="252" t="s">
        <v>71</v>
      </c>
      <c r="H76" s="263" t="n">
        <f aca="false">H74*(1+H75)</f>
        <v>0.0084</v>
      </c>
      <c r="I76" s="207"/>
      <c r="J76" s="207"/>
      <c r="K76" s="210"/>
      <c r="L76" s="19"/>
      <c r="M76" s="252" t="s">
        <v>71</v>
      </c>
      <c r="N76" s="263" t="n">
        <f aca="false">N74*(1+N75)</f>
        <v>0.0084</v>
      </c>
      <c r="O76" s="207"/>
      <c r="P76" s="207"/>
      <c r="Q76" s="210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8.75" hidden="false" customHeight="true" outlineLevel="0" collapsed="false">
      <c r="A77" s="258" t="s">
        <v>72</v>
      </c>
      <c r="B77" s="264" t="n">
        <v>200</v>
      </c>
      <c r="C77" s="207"/>
      <c r="D77" s="207"/>
      <c r="E77" s="210"/>
      <c r="F77" s="19"/>
      <c r="G77" s="258" t="s">
        <v>72</v>
      </c>
      <c r="H77" s="264" t="n">
        <v>160</v>
      </c>
      <c r="I77" s="207"/>
      <c r="J77" s="207"/>
      <c r="K77" s="210"/>
      <c r="L77" s="19"/>
      <c r="M77" s="258" t="s">
        <v>72</v>
      </c>
      <c r="N77" s="264" t="n">
        <v>160</v>
      </c>
      <c r="O77" s="207"/>
      <c r="P77" s="207"/>
      <c r="Q77" s="210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8.75" hidden="false" customHeight="true" outlineLevel="0" collapsed="false">
      <c r="A78" s="261" t="s">
        <v>73</v>
      </c>
      <c r="B78" s="265" t="n">
        <v>5</v>
      </c>
      <c r="C78" s="207"/>
      <c r="D78" s="207"/>
      <c r="E78" s="210"/>
      <c r="F78" s="19"/>
      <c r="G78" s="261" t="s">
        <v>73</v>
      </c>
      <c r="H78" s="265" t="n">
        <v>4.5</v>
      </c>
      <c r="I78" s="207"/>
      <c r="J78" s="207"/>
      <c r="K78" s="210"/>
      <c r="L78" s="19"/>
      <c r="M78" s="261" t="s">
        <v>73</v>
      </c>
      <c r="N78" s="265" t="n">
        <v>4.5</v>
      </c>
      <c r="O78" s="207"/>
      <c r="P78" s="207"/>
      <c r="Q78" s="210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8.75" hidden="false" customHeight="true" outlineLevel="0" collapsed="false">
      <c r="A79" s="252" t="s">
        <v>74</v>
      </c>
      <c r="B79" s="139" t="n">
        <f aca="false">B78*H29</f>
        <v>60</v>
      </c>
      <c r="C79" s="207"/>
      <c r="D79" s="79" t="n">
        <f aca="false">B79+B77</f>
        <v>260</v>
      </c>
      <c r="E79" s="266" t="n">
        <f aca="false">D79+D85+D86</f>
        <v>660</v>
      </c>
      <c r="F79" s="19"/>
      <c r="G79" s="252" t="s">
        <v>74</v>
      </c>
      <c r="H79" s="139" t="n">
        <f aca="false">H78*H29</f>
        <v>54</v>
      </c>
      <c r="I79" s="207"/>
      <c r="J79" s="79" t="n">
        <f aca="false">H79+H77</f>
        <v>214</v>
      </c>
      <c r="K79" s="210"/>
      <c r="L79" s="19"/>
      <c r="M79" s="252" t="s">
        <v>74</v>
      </c>
      <c r="N79" s="139" t="n">
        <f aca="false">N78*H29</f>
        <v>54</v>
      </c>
      <c r="O79" s="207"/>
      <c r="P79" s="79" t="n">
        <f aca="false">N79+N77</f>
        <v>214</v>
      </c>
      <c r="Q79" s="210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8.75" hidden="false" customHeight="true" outlineLevel="0" collapsed="false">
      <c r="A80" s="258" t="s">
        <v>243</v>
      </c>
      <c r="B80" s="264" t="n">
        <v>0</v>
      </c>
      <c r="C80" s="207"/>
      <c r="D80" s="207"/>
      <c r="E80" s="266" t="n">
        <f aca="false">E79+D82</f>
        <v>660</v>
      </c>
      <c r="F80" s="19"/>
      <c r="G80" s="258" t="s">
        <v>243</v>
      </c>
      <c r="H80" s="264" t="n">
        <v>150</v>
      </c>
      <c r="I80" s="207"/>
      <c r="J80" s="207"/>
      <c r="K80" s="210"/>
      <c r="L80" s="19"/>
      <c r="M80" s="267" t="s">
        <v>243</v>
      </c>
      <c r="N80" s="268" t="n">
        <v>0</v>
      </c>
      <c r="O80" s="207"/>
      <c r="P80" s="207"/>
      <c r="Q80" s="210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18.75" hidden="false" customHeight="true" outlineLevel="0" collapsed="false">
      <c r="A81" s="261" t="s">
        <v>244</v>
      </c>
      <c r="B81" s="265" t="n">
        <v>0</v>
      </c>
      <c r="C81" s="207"/>
      <c r="D81" s="207"/>
      <c r="E81" s="210" t="n">
        <f aca="false">E80/12</f>
        <v>55</v>
      </c>
      <c r="F81" s="19"/>
      <c r="G81" s="261" t="s">
        <v>244</v>
      </c>
      <c r="H81" s="265" t="n">
        <f aca="false">IF(G18&gt;40000, 325, 0)</f>
        <v>325</v>
      </c>
      <c r="I81" s="207"/>
      <c r="J81" s="207"/>
      <c r="K81" s="210"/>
      <c r="L81" s="19"/>
      <c r="M81" s="269" t="s">
        <v>244</v>
      </c>
      <c r="N81" s="270" t="n">
        <v>0</v>
      </c>
      <c r="O81" s="207"/>
      <c r="P81" s="207"/>
      <c r="Q81" s="210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18.75" hidden="false" customHeight="true" outlineLevel="0" collapsed="false">
      <c r="A82" s="252" t="s">
        <v>245</v>
      </c>
      <c r="B82" s="139" t="n">
        <f aca="false">((B80+B81)/12)*(H29-11)</f>
        <v>0</v>
      </c>
      <c r="C82" s="207"/>
      <c r="D82" s="79" t="n">
        <f aca="false">IF(A50="YES", 0, B82)</f>
        <v>0</v>
      </c>
      <c r="E82" s="210"/>
      <c r="F82" s="19"/>
      <c r="G82" s="252" t="s">
        <v>245</v>
      </c>
      <c r="H82" s="139" t="n">
        <f aca="false">((H80+H81)/12)*(H29-11)</f>
        <v>39.5833333333333</v>
      </c>
      <c r="I82" s="207"/>
      <c r="J82" s="79" t="n">
        <f aca="false">IF(A50="YES", 0, H82)</f>
        <v>39.5833333333333</v>
      </c>
      <c r="K82" s="210"/>
      <c r="L82" s="19"/>
      <c r="M82" s="271" t="s">
        <v>245</v>
      </c>
      <c r="N82" s="272" t="n">
        <f aca="false">((N80+N81)/12)*(H29-11)</f>
        <v>0</v>
      </c>
      <c r="O82" s="207"/>
      <c r="P82" s="79" t="n">
        <f aca="false">IF(A50="YES", 0, N82)</f>
        <v>0</v>
      </c>
      <c r="Q82" s="210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8.75" hidden="false" customHeight="true" outlineLevel="0" collapsed="false">
      <c r="A83" s="258" t="s">
        <v>246</v>
      </c>
      <c r="B83" s="264" t="n">
        <v>0</v>
      </c>
      <c r="C83" s="207"/>
      <c r="D83" s="79" t="n">
        <f aca="false">B83</f>
        <v>0</v>
      </c>
      <c r="E83" s="210" t="n">
        <f aca="false">D83/12</f>
        <v>0</v>
      </c>
      <c r="F83" s="19"/>
      <c r="G83" s="258" t="s">
        <v>246</v>
      </c>
      <c r="H83" s="264" t="n">
        <f aca="false">H108</f>
        <v>1200</v>
      </c>
      <c r="I83" s="207"/>
      <c r="J83" s="79" t="n">
        <f aca="false">H83</f>
        <v>1200</v>
      </c>
      <c r="K83" s="210"/>
      <c r="L83" s="19"/>
      <c r="M83" s="258" t="s">
        <v>246</v>
      </c>
      <c r="N83" s="264" t="n">
        <f aca="false">N108</f>
        <v>1200</v>
      </c>
      <c r="O83" s="207"/>
      <c r="P83" s="79" t="n">
        <f aca="false">N83</f>
        <v>1200</v>
      </c>
      <c r="Q83" s="210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18.75" hidden="false" customHeight="true" outlineLevel="0" collapsed="false">
      <c r="A84" s="209" t="s">
        <v>247</v>
      </c>
      <c r="B84" s="273" t="n">
        <v>0</v>
      </c>
      <c r="C84" s="207"/>
      <c r="D84" s="79" t="n">
        <f aca="false">B84</f>
        <v>0</v>
      </c>
      <c r="E84" s="210"/>
      <c r="F84" s="19"/>
      <c r="G84" s="209" t="s">
        <v>248</v>
      </c>
      <c r="H84" s="273" t="n">
        <f aca="false">J108</f>
        <v>1500</v>
      </c>
      <c r="I84" s="207"/>
      <c r="J84" s="79" t="n">
        <f aca="false">H84</f>
        <v>1500</v>
      </c>
      <c r="K84" s="210"/>
      <c r="L84" s="19"/>
      <c r="M84" s="209" t="s">
        <v>248</v>
      </c>
      <c r="N84" s="273" t="n">
        <f aca="false">P108</f>
        <v>1500</v>
      </c>
      <c r="O84" s="207"/>
      <c r="P84" s="79" t="n">
        <f aca="false">N84</f>
        <v>1500</v>
      </c>
      <c r="Q84" s="210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8.75" hidden="false" customHeight="true" outlineLevel="0" collapsed="false">
      <c r="A85" s="261" t="s">
        <v>75</v>
      </c>
      <c r="B85" s="265" t="n">
        <v>200</v>
      </c>
      <c r="C85" s="207"/>
      <c r="D85" s="79" t="n">
        <f aca="false">B85</f>
        <v>200</v>
      </c>
      <c r="E85" s="210"/>
      <c r="F85" s="19"/>
      <c r="G85" s="261" t="s">
        <v>75</v>
      </c>
      <c r="H85" s="265" t="n">
        <v>100</v>
      </c>
      <c r="I85" s="207"/>
      <c r="J85" s="79" t="n">
        <f aca="false">H85</f>
        <v>100</v>
      </c>
      <c r="K85" s="210"/>
      <c r="L85" s="19"/>
      <c r="M85" s="261" t="s">
        <v>75</v>
      </c>
      <c r="N85" s="265" t="n">
        <v>100</v>
      </c>
      <c r="O85" s="207"/>
      <c r="P85" s="79" t="n">
        <f aca="false">N85</f>
        <v>100</v>
      </c>
      <c r="Q85" s="210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8.75" hidden="false" customHeight="true" outlineLevel="0" collapsed="false">
      <c r="A86" s="274" t="s">
        <v>76</v>
      </c>
      <c r="B86" s="275" t="n">
        <v>200</v>
      </c>
      <c r="C86" s="207"/>
      <c r="D86" s="79" t="n">
        <f aca="false">B86</f>
        <v>200</v>
      </c>
      <c r="E86" s="210"/>
      <c r="F86" s="19"/>
      <c r="G86" s="274" t="s">
        <v>76</v>
      </c>
      <c r="H86" s="275" t="n">
        <v>100</v>
      </c>
      <c r="I86" s="207"/>
      <c r="J86" s="79" t="n">
        <f aca="false">H86</f>
        <v>100</v>
      </c>
      <c r="K86" s="210"/>
      <c r="L86" s="19"/>
      <c r="M86" s="274" t="s">
        <v>76</v>
      </c>
      <c r="N86" s="275" t="n">
        <v>100</v>
      </c>
      <c r="O86" s="207"/>
      <c r="P86" s="79" t="n">
        <f aca="false">N86</f>
        <v>100</v>
      </c>
      <c r="Q86" s="210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8.75" hidden="false" customHeight="true" outlineLevel="0" collapsed="false">
      <c r="A87" s="276" t="s">
        <v>77</v>
      </c>
      <c r="B87" s="277" t="n">
        <f aca="false">SUM(D70:D86)</f>
        <v>4711.95</v>
      </c>
      <c r="C87" s="207"/>
      <c r="D87" s="207"/>
      <c r="E87" s="210"/>
      <c r="F87" s="19"/>
      <c r="G87" s="276" t="s">
        <v>77</v>
      </c>
      <c r="H87" s="277" t="n">
        <f aca="false">SUM(J70:J86)</f>
        <v>7205.53333333333</v>
      </c>
      <c r="I87" s="207"/>
      <c r="J87" s="207"/>
      <c r="K87" s="210"/>
      <c r="L87" s="19"/>
      <c r="M87" s="276" t="s">
        <v>77</v>
      </c>
      <c r="N87" s="277" t="n">
        <f aca="false">SUM(P70:P86)</f>
        <v>7165.95</v>
      </c>
      <c r="O87" s="207"/>
      <c r="P87" s="207"/>
      <c r="Q87" s="210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8.75" hidden="false" customHeight="true" outlineLevel="0" collapsed="false">
      <c r="A88" s="209" t="s">
        <v>78</v>
      </c>
      <c r="B88" s="273" t="n">
        <f aca="false">B87/H29</f>
        <v>392.6625</v>
      </c>
      <c r="C88" s="207"/>
      <c r="D88" s="207"/>
      <c r="E88" s="210"/>
      <c r="F88" s="19"/>
      <c r="G88" s="209" t="s">
        <v>78</v>
      </c>
      <c r="H88" s="273" t="n">
        <f aca="false">H87/H29</f>
        <v>600.461111111111</v>
      </c>
      <c r="I88" s="207"/>
      <c r="J88" s="207"/>
      <c r="K88" s="210"/>
      <c r="L88" s="19"/>
      <c r="M88" s="209" t="s">
        <v>78</v>
      </c>
      <c r="N88" s="273" t="n">
        <f aca="false">N87/H29</f>
        <v>597.1625</v>
      </c>
      <c r="O88" s="207"/>
      <c r="P88" s="207"/>
      <c r="Q88" s="210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8.75" hidden="false" customHeight="true" outlineLevel="0" collapsed="false">
      <c r="A89" s="278" t="s">
        <v>79</v>
      </c>
      <c r="B89" s="279" t="n">
        <f aca="false">H46</f>
        <v>501</v>
      </c>
      <c r="C89" s="207"/>
      <c r="D89" s="207"/>
      <c r="E89" s="210"/>
      <c r="F89" s="19"/>
      <c r="G89" s="278" t="s">
        <v>79</v>
      </c>
      <c r="H89" s="279" t="n">
        <f aca="false">H46</f>
        <v>501</v>
      </c>
      <c r="I89" s="207"/>
      <c r="J89" s="207"/>
      <c r="K89" s="210"/>
      <c r="L89" s="19"/>
      <c r="M89" s="278" t="s">
        <v>79</v>
      </c>
      <c r="N89" s="279" t="n">
        <f aca="false">H46</f>
        <v>501</v>
      </c>
      <c r="O89" s="207"/>
      <c r="P89" s="207"/>
      <c r="Q89" s="210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8.75" hidden="false" customHeight="true" outlineLevel="0" collapsed="false">
      <c r="A90" s="209"/>
      <c r="B90" s="79"/>
      <c r="C90" s="207"/>
      <c r="D90" s="207"/>
      <c r="E90" s="210"/>
      <c r="F90" s="19"/>
      <c r="G90" s="209"/>
      <c r="H90" s="79"/>
      <c r="I90" s="207"/>
      <c r="J90" s="207"/>
      <c r="K90" s="210"/>
      <c r="L90" s="19"/>
      <c r="M90" s="209"/>
      <c r="N90" s="79"/>
      <c r="O90" s="207"/>
      <c r="P90" s="207"/>
      <c r="Q90" s="210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8.75" hidden="false" customHeight="true" outlineLevel="0" collapsed="false">
      <c r="A91" s="255" t="s">
        <v>88</v>
      </c>
      <c r="B91" s="137" t="n">
        <f aca="false">((B89*H29)+B87)</f>
        <v>10723.95</v>
      </c>
      <c r="C91" s="207"/>
      <c r="D91" s="207"/>
      <c r="E91" s="210"/>
      <c r="F91" s="19"/>
      <c r="G91" s="255" t="s">
        <v>88</v>
      </c>
      <c r="H91" s="137" t="n">
        <f aca="false">((H89*H29)+H87)*1.2</f>
        <v>15861.04</v>
      </c>
      <c r="I91" s="207"/>
      <c r="J91" s="207"/>
      <c r="K91" s="210"/>
      <c r="L91" s="19"/>
      <c r="M91" s="255" t="s">
        <v>88</v>
      </c>
      <c r="N91" s="137" t="n">
        <f aca="false">((N89*H29)+N87)</f>
        <v>13177.95</v>
      </c>
      <c r="O91" s="207"/>
      <c r="P91" s="207"/>
      <c r="Q91" s="210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8.75" hidden="false" customHeight="true" outlineLevel="0" collapsed="false">
      <c r="A92" s="209" t="s">
        <v>89</v>
      </c>
      <c r="B92" s="273" t="n">
        <f aca="false">(((B89*H29)+B87)/(1-B76))*B76</f>
        <v>90.8442718838241</v>
      </c>
      <c r="C92" s="207"/>
      <c r="D92" s="207"/>
      <c r="E92" s="280"/>
      <c r="F92" s="19"/>
      <c r="G92" s="209" t="s">
        <v>89</v>
      </c>
      <c r="H92" s="273" t="n">
        <f aca="false">(((H89*H29)+H87)/(1-H76))*H76</f>
        <v>111.967809600645</v>
      </c>
      <c r="I92" s="207"/>
      <c r="J92" s="207"/>
      <c r="K92" s="210"/>
      <c r="L92" s="19"/>
      <c r="M92" s="209" t="s">
        <v>89</v>
      </c>
      <c r="N92" s="273" t="n">
        <f aca="false">(N91/(1-N76))*N76</f>
        <v>111.632492940702</v>
      </c>
      <c r="O92" s="207"/>
      <c r="P92" s="207"/>
      <c r="Q92" s="210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8.75" hidden="false" customHeight="true" outlineLevel="0" collapsed="false">
      <c r="A93" s="252" t="s">
        <v>90</v>
      </c>
      <c r="B93" s="139" t="n">
        <f aca="false">IF(B116="YES",((B91+B92)-E120),(B91+B92))</f>
        <v>10814.7942718838</v>
      </c>
      <c r="C93" s="207"/>
      <c r="D93" s="207"/>
      <c r="E93" s="210"/>
      <c r="F93" s="19"/>
      <c r="G93" s="252" t="s">
        <v>90</v>
      </c>
      <c r="H93" s="139" t="n">
        <f aca="false">IF(H116="YES",((H91+H92)-K120),(H91+H92))</f>
        <v>17973.0078096006</v>
      </c>
      <c r="I93" s="207"/>
      <c r="J93" s="207"/>
      <c r="K93" s="210"/>
      <c r="L93" s="19"/>
      <c r="M93" s="252" t="s">
        <v>90</v>
      </c>
      <c r="N93" s="139" t="n">
        <f aca="false">IF(N116="YES",((N91+N92)-K120),(N91+N92))</f>
        <v>15289.5824929407</v>
      </c>
      <c r="O93" s="207"/>
      <c r="P93" s="207"/>
      <c r="Q93" s="210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18.75" hidden="false" customHeight="true" outlineLevel="0" collapsed="false">
      <c r="A94" s="209"/>
      <c r="B94" s="79"/>
      <c r="C94" s="207"/>
      <c r="D94" s="207"/>
      <c r="E94" s="210"/>
      <c r="F94" s="19"/>
      <c r="G94" s="209"/>
      <c r="H94" s="79"/>
      <c r="I94" s="207"/>
      <c r="J94" s="207"/>
      <c r="K94" s="210"/>
      <c r="L94" s="19"/>
      <c r="M94" s="209"/>
      <c r="N94" s="79"/>
      <c r="O94" s="207"/>
      <c r="P94" s="207"/>
      <c r="Q94" s="210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8.75" hidden="false" customHeight="true" outlineLevel="0" collapsed="false">
      <c r="A95" s="276" t="s">
        <v>91</v>
      </c>
      <c r="B95" s="277" t="n">
        <f aca="false">((H44*B35)+((H44*B35)*B111))/(B63+B64)</f>
        <v>31.304347826087</v>
      </c>
      <c r="C95" s="207"/>
      <c r="D95" s="207"/>
      <c r="E95" s="210"/>
      <c r="F95" s="19"/>
      <c r="G95" s="276" t="s">
        <v>91</v>
      </c>
      <c r="H95" s="277" t="e">
        <f aca="false">(((H44*B35)+((H44*B35)*H111))/(H63+H64))*1.2</f>
        <v>#DIV/0!</v>
      </c>
      <c r="I95" s="207"/>
      <c r="J95" s="207"/>
      <c r="K95" s="210"/>
      <c r="L95" s="19"/>
      <c r="M95" s="276" t="s">
        <v>91</v>
      </c>
      <c r="N95" s="277" t="e">
        <f aca="false">((H44*B35)+((H44*B35)*N111))/(N63+N64)</f>
        <v>#DIV/0!</v>
      </c>
      <c r="O95" s="207"/>
      <c r="P95" s="207"/>
      <c r="Q95" s="210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8.75" hidden="false" customHeight="true" outlineLevel="0" collapsed="false">
      <c r="A96" s="281" t="s">
        <v>92</v>
      </c>
      <c r="B96" s="282" t="n">
        <f aca="false">IF(B105=Y104, (B93-D111)/(B64), B93/(B63+B64))</f>
        <v>470.208446603645</v>
      </c>
      <c r="C96" s="207"/>
      <c r="D96" s="207"/>
      <c r="E96" s="210"/>
      <c r="F96" s="19"/>
      <c r="G96" s="281" t="s">
        <v>92</v>
      </c>
      <c r="H96" s="282" t="e">
        <f aca="false">IF(H105=Y104, (H93-J111)/(H64), H93/(H63+H64))</f>
        <v>#DIV/0!</v>
      </c>
      <c r="I96" s="207"/>
      <c r="J96" s="207"/>
      <c r="K96" s="210"/>
      <c r="L96" s="19"/>
      <c r="M96" s="281" t="s">
        <v>92</v>
      </c>
      <c r="N96" s="282" t="e">
        <f aca="false">IF(N105=Y104, (N93-P111)/(N64), N93/(N63+N64))</f>
        <v>#DIV/0!</v>
      </c>
      <c r="O96" s="207"/>
      <c r="P96" s="207"/>
      <c r="Q96" s="210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8.75" hidden="false" customHeight="true" outlineLevel="0" collapsed="false">
      <c r="A97" s="283" t="s">
        <v>93</v>
      </c>
      <c r="B97" s="284" t="n">
        <f aca="false">IF(A111="YES", B96+B95, B96)</f>
        <v>501.512794429732</v>
      </c>
      <c r="C97" s="207"/>
      <c r="D97" s="285"/>
      <c r="E97" s="210"/>
      <c r="F97" s="19"/>
      <c r="G97" s="283" t="s">
        <v>93</v>
      </c>
      <c r="H97" s="284" t="e">
        <f aca="false">IF(G111="YES", H96+H95, H96)</f>
        <v>#DIV/0!</v>
      </c>
      <c r="I97" s="207"/>
      <c r="J97" s="207"/>
      <c r="K97" s="210"/>
      <c r="L97" s="19"/>
      <c r="M97" s="283" t="s">
        <v>93</v>
      </c>
      <c r="N97" s="284" t="e">
        <f aca="false">IF(M111="YES", N96+N95, N96)</f>
        <v>#DIV/0!</v>
      </c>
      <c r="O97" s="207"/>
      <c r="P97" s="207"/>
      <c r="Q97" s="210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18.75" hidden="false" customHeight="true" outlineLevel="0" collapsed="false">
      <c r="A98" s="252"/>
      <c r="B98" s="253"/>
      <c r="C98" s="253"/>
      <c r="D98" s="253"/>
      <c r="E98" s="254"/>
      <c r="F98" s="19"/>
      <c r="G98" s="252"/>
      <c r="H98" s="253"/>
      <c r="I98" s="253"/>
      <c r="J98" s="253"/>
      <c r="K98" s="254"/>
      <c r="L98" s="19"/>
      <c r="M98" s="252"/>
      <c r="N98" s="253"/>
      <c r="O98" s="253"/>
      <c r="P98" s="253"/>
      <c r="Q98" s="254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18.75" hidden="false" customHeight="true" outlineLevel="0" collapsed="false">
      <c r="A99" s="207"/>
      <c r="B99" s="207"/>
      <c r="C99" s="207"/>
      <c r="D99" s="207"/>
      <c r="E99" s="207"/>
      <c r="F99" s="19"/>
      <c r="G99" s="207"/>
      <c r="H99" s="207"/>
      <c r="I99" s="207"/>
      <c r="J99" s="207"/>
      <c r="K99" s="207"/>
      <c r="L99" s="19"/>
      <c r="M99" s="207"/>
      <c r="N99" s="207"/>
      <c r="O99" s="207"/>
      <c r="P99" s="207"/>
      <c r="Q99" s="207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48.75" hidden="false" customHeight="true" outlineLevel="0" collapsed="false">
      <c r="A100" s="208" t="s">
        <v>249</v>
      </c>
      <c r="B100" s="208"/>
      <c r="C100" s="208"/>
      <c r="D100" s="208"/>
      <c r="E100" s="208"/>
      <c r="F100" s="19"/>
      <c r="G100" s="208" t="s">
        <v>250</v>
      </c>
      <c r="H100" s="208"/>
      <c r="I100" s="208"/>
      <c r="J100" s="208"/>
      <c r="K100" s="208"/>
      <c r="L100" s="19"/>
      <c r="M100" s="208" t="s">
        <v>251</v>
      </c>
      <c r="N100" s="208"/>
      <c r="O100" s="208"/>
      <c r="P100" s="208"/>
      <c r="Q100" s="208"/>
      <c r="R100" s="19"/>
      <c r="S100" s="19"/>
      <c r="T100" s="19"/>
      <c r="U100" s="19"/>
      <c r="V100" s="19"/>
      <c r="W100" s="19"/>
      <c r="X100" s="19"/>
      <c r="Y100" s="19"/>
      <c r="Z100" s="19"/>
    </row>
    <row r="101" customFormat="false" ht="18.75" hidden="false" customHeight="true" outlineLevel="0" collapsed="false">
      <c r="A101" s="209"/>
      <c r="B101" s="207"/>
      <c r="C101" s="207"/>
      <c r="D101" s="207"/>
      <c r="E101" s="210"/>
      <c r="F101" s="19"/>
      <c r="G101" s="209"/>
      <c r="H101" s="207"/>
      <c r="I101" s="207"/>
      <c r="J101" s="207"/>
      <c r="K101" s="210"/>
      <c r="L101" s="19"/>
      <c r="M101" s="209"/>
      <c r="N101" s="207"/>
      <c r="O101" s="207"/>
      <c r="P101" s="207"/>
      <c r="Q101" s="210"/>
      <c r="R101" s="19"/>
      <c r="S101" s="19"/>
      <c r="T101" s="19"/>
      <c r="U101" s="19"/>
      <c r="V101" s="19"/>
      <c r="W101" s="19"/>
      <c r="X101" s="19"/>
      <c r="Y101" s="19"/>
      <c r="Z101" s="19"/>
    </row>
    <row r="102" customFormat="false" ht="18.75" hidden="false" customHeight="true" outlineLevel="0" collapsed="false">
      <c r="A102" s="211" t="s">
        <v>26</v>
      </c>
      <c r="B102" s="211"/>
      <c r="C102" s="211"/>
      <c r="D102" s="211"/>
      <c r="E102" s="211"/>
      <c r="F102" s="19"/>
      <c r="G102" s="211" t="s">
        <v>26</v>
      </c>
      <c r="H102" s="211"/>
      <c r="I102" s="211"/>
      <c r="J102" s="211"/>
      <c r="K102" s="211"/>
      <c r="L102" s="19"/>
      <c r="M102" s="211" t="s">
        <v>26</v>
      </c>
      <c r="N102" s="211"/>
      <c r="O102" s="211"/>
      <c r="P102" s="211"/>
      <c r="Q102" s="211"/>
      <c r="R102" s="19"/>
      <c r="S102" s="19"/>
      <c r="T102" s="19"/>
      <c r="U102" s="19"/>
      <c r="V102" s="19"/>
      <c r="W102" s="19"/>
      <c r="X102" s="19"/>
      <c r="Y102" s="19"/>
      <c r="Z102" s="19"/>
    </row>
    <row r="103" customFormat="false" ht="18.75" hidden="false" customHeight="true" outlineLevel="0" collapsed="false">
      <c r="A103" s="209"/>
      <c r="B103" s="207"/>
      <c r="C103" s="207"/>
      <c r="D103" s="207"/>
      <c r="E103" s="210"/>
      <c r="F103" s="19"/>
      <c r="G103" s="209"/>
      <c r="H103" s="207"/>
      <c r="I103" s="207"/>
      <c r="J103" s="207"/>
      <c r="K103" s="210"/>
      <c r="L103" s="19"/>
      <c r="M103" s="209"/>
      <c r="N103" s="207"/>
      <c r="O103" s="207"/>
      <c r="P103" s="207"/>
      <c r="Q103" s="210"/>
      <c r="R103" s="19"/>
      <c r="S103" s="19"/>
      <c r="T103" s="19"/>
      <c r="U103" s="19"/>
      <c r="V103" s="19"/>
      <c r="W103" s="19"/>
      <c r="X103" s="19"/>
      <c r="Y103" s="19"/>
      <c r="Z103" s="19" t="s">
        <v>100</v>
      </c>
    </row>
    <row r="104" customFormat="false" ht="18.75" hidden="false" customHeight="true" outlineLevel="0" collapsed="false">
      <c r="A104" s="209" t="s">
        <v>98</v>
      </c>
      <c r="B104" s="207" t="s">
        <v>23</v>
      </c>
      <c r="C104" s="207"/>
      <c r="D104" s="207" t="s">
        <v>252</v>
      </c>
      <c r="E104" s="210"/>
      <c r="F104" s="19"/>
      <c r="G104" s="209" t="s">
        <v>98</v>
      </c>
      <c r="H104" s="207" t="s">
        <v>23</v>
      </c>
      <c r="I104" s="207"/>
      <c r="J104" s="207" t="s">
        <v>252</v>
      </c>
      <c r="K104" s="210"/>
      <c r="L104" s="19"/>
      <c r="M104" s="209" t="s">
        <v>98</v>
      </c>
      <c r="N104" s="207" t="s">
        <v>23</v>
      </c>
      <c r="O104" s="207"/>
      <c r="P104" s="207" t="s">
        <v>252</v>
      </c>
      <c r="Q104" s="210"/>
      <c r="R104" s="19"/>
      <c r="S104" s="19"/>
      <c r="T104" s="19"/>
      <c r="U104" s="19"/>
      <c r="V104" s="19"/>
      <c r="W104" s="19"/>
      <c r="X104" s="19"/>
      <c r="Y104" s="19"/>
      <c r="Z104" s="19" t="s">
        <v>253</v>
      </c>
    </row>
    <row r="105" customFormat="false" ht="18.75" hidden="false" customHeight="true" outlineLevel="0" collapsed="false">
      <c r="A105" s="214" t="s">
        <v>254</v>
      </c>
      <c r="B105" s="286" t="s">
        <v>256</v>
      </c>
      <c r="C105" s="286"/>
      <c r="D105" s="287" t="n">
        <v>0</v>
      </c>
      <c r="E105" s="287"/>
      <c r="F105" s="19"/>
      <c r="G105" s="214" t="s">
        <v>254</v>
      </c>
      <c r="H105" s="286" t="s">
        <v>255</v>
      </c>
      <c r="I105" s="286"/>
      <c r="J105" s="287" t="n">
        <v>5000</v>
      </c>
      <c r="K105" s="287"/>
      <c r="L105" s="19"/>
      <c r="M105" s="214" t="s">
        <v>254</v>
      </c>
      <c r="N105" s="286" t="s">
        <v>256</v>
      </c>
      <c r="O105" s="286"/>
      <c r="P105" s="287" t="n">
        <v>0</v>
      </c>
      <c r="Q105" s="287"/>
      <c r="R105" s="19"/>
      <c r="S105" s="19"/>
      <c r="T105" s="19"/>
      <c r="U105" s="19"/>
      <c r="V105" s="19"/>
      <c r="W105" s="19"/>
      <c r="X105" s="19"/>
      <c r="Y105" s="19"/>
      <c r="Z105" s="19" t="s">
        <v>257</v>
      </c>
    </row>
    <row r="106" customFormat="false" ht="18.75" hidden="false" customHeight="true" outlineLevel="0" collapsed="false">
      <c r="A106" s="209"/>
      <c r="B106" s="207"/>
      <c r="C106" s="207"/>
      <c r="D106" s="207"/>
      <c r="E106" s="210"/>
      <c r="F106" s="19"/>
      <c r="G106" s="209"/>
      <c r="H106" s="207"/>
      <c r="I106" s="207"/>
      <c r="J106" s="207"/>
      <c r="K106" s="210"/>
      <c r="L106" s="19"/>
      <c r="M106" s="209"/>
      <c r="N106" s="207"/>
      <c r="O106" s="207"/>
      <c r="P106" s="207"/>
      <c r="Q106" s="210"/>
      <c r="R106" s="19"/>
      <c r="S106" s="19"/>
      <c r="T106" s="19"/>
      <c r="U106" s="19"/>
      <c r="V106" s="19"/>
      <c r="W106" s="19"/>
      <c r="X106" s="19"/>
      <c r="Y106" s="19"/>
      <c r="Z106" s="19" t="s">
        <v>258</v>
      </c>
    </row>
    <row r="107" customFormat="false" ht="18.75" hidden="false" customHeight="true" outlineLevel="0" collapsed="false">
      <c r="A107" s="209" t="s">
        <v>259</v>
      </c>
      <c r="B107" s="207" t="s">
        <v>260</v>
      </c>
      <c r="C107" s="207"/>
      <c r="D107" s="207" t="s">
        <v>261</v>
      </c>
      <c r="E107" s="210"/>
      <c r="F107" s="19"/>
      <c r="G107" s="209" t="s">
        <v>259</v>
      </c>
      <c r="H107" s="207" t="s">
        <v>260</v>
      </c>
      <c r="I107" s="207"/>
      <c r="J107" s="207" t="s">
        <v>261</v>
      </c>
      <c r="K107" s="210"/>
      <c r="L107" s="19"/>
      <c r="M107" s="209" t="s">
        <v>259</v>
      </c>
      <c r="N107" s="207" t="s">
        <v>260</v>
      </c>
      <c r="O107" s="207"/>
      <c r="P107" s="207" t="s">
        <v>261</v>
      </c>
      <c r="Q107" s="210"/>
      <c r="R107" s="19"/>
      <c r="S107" s="19"/>
      <c r="T107" s="19"/>
      <c r="U107" s="19"/>
      <c r="V107" s="19"/>
      <c r="W107" s="19"/>
      <c r="X107" s="19"/>
      <c r="Y107" s="19"/>
      <c r="Z107" s="19" t="s">
        <v>262</v>
      </c>
    </row>
    <row r="108" customFormat="false" ht="18.75" hidden="false" customHeight="true" outlineLevel="0" collapsed="false">
      <c r="A108" s="288" t="n">
        <v>199.99</v>
      </c>
      <c r="B108" s="72" t="n">
        <v>0</v>
      </c>
      <c r="C108" s="72"/>
      <c r="D108" s="72" t="n">
        <v>0</v>
      </c>
      <c r="E108" s="72"/>
      <c r="F108" s="19"/>
      <c r="G108" s="288" t="n">
        <f aca="false">199.99*1.2</f>
        <v>239.988</v>
      </c>
      <c r="H108" s="72" t="n">
        <v>1200</v>
      </c>
      <c r="I108" s="72"/>
      <c r="J108" s="72" t="n">
        <v>1500</v>
      </c>
      <c r="K108" s="72"/>
      <c r="L108" s="19"/>
      <c r="M108" s="288" t="n">
        <v>199.99</v>
      </c>
      <c r="N108" s="72" t="n">
        <v>1200</v>
      </c>
      <c r="O108" s="72"/>
      <c r="P108" s="72" t="n">
        <v>1500</v>
      </c>
      <c r="Q108" s="72"/>
      <c r="R108" s="19"/>
      <c r="S108" s="19"/>
      <c r="T108" s="19"/>
      <c r="U108" s="19"/>
      <c r="V108" s="19"/>
      <c r="W108" s="19"/>
      <c r="X108" s="19"/>
      <c r="Y108" s="19"/>
      <c r="Z108" s="19" t="s">
        <v>256</v>
      </c>
    </row>
    <row r="109" customFormat="false" ht="18.75" hidden="false" customHeight="true" outlineLevel="0" collapsed="false">
      <c r="A109" s="209"/>
      <c r="B109" s="207"/>
      <c r="C109" s="207"/>
      <c r="D109" s="207"/>
      <c r="E109" s="210"/>
      <c r="F109" s="19"/>
      <c r="G109" s="209"/>
      <c r="H109" s="207"/>
      <c r="I109" s="207"/>
      <c r="J109" s="207"/>
      <c r="K109" s="210"/>
      <c r="L109" s="19"/>
      <c r="M109" s="209"/>
      <c r="N109" s="207"/>
      <c r="O109" s="207"/>
      <c r="P109" s="207"/>
      <c r="Q109" s="210"/>
      <c r="R109" s="19"/>
      <c r="S109" s="19"/>
      <c r="T109" s="19"/>
      <c r="U109" s="19"/>
      <c r="V109" s="19"/>
      <c r="W109" s="19"/>
      <c r="X109" s="19"/>
      <c r="Y109" s="19"/>
      <c r="Z109" s="19" t="s">
        <v>255</v>
      </c>
    </row>
    <row r="110" customFormat="false" ht="18.75" hidden="false" customHeight="true" outlineLevel="0" collapsed="false">
      <c r="A110" s="214" t="s">
        <v>22</v>
      </c>
      <c r="B110" s="19" t="s">
        <v>101</v>
      </c>
      <c r="C110" s="207"/>
      <c r="D110" s="207" t="s">
        <v>112</v>
      </c>
      <c r="E110" s="210"/>
      <c r="F110" s="19"/>
      <c r="G110" s="214" t="s">
        <v>22</v>
      </c>
      <c r="H110" s="19" t="s">
        <v>101</v>
      </c>
      <c r="I110" s="207"/>
      <c r="J110" s="207" t="s">
        <v>112</v>
      </c>
      <c r="K110" s="210"/>
      <c r="L110" s="19"/>
      <c r="M110" s="214" t="s">
        <v>22</v>
      </c>
      <c r="N110" s="19" t="s">
        <v>101</v>
      </c>
      <c r="O110" s="207"/>
      <c r="P110" s="207" t="s">
        <v>112</v>
      </c>
      <c r="Q110" s="210"/>
      <c r="R110" s="19"/>
      <c r="S110" s="19"/>
      <c r="T110" s="19"/>
      <c r="U110" s="19"/>
      <c r="V110" s="19"/>
      <c r="W110" s="19"/>
      <c r="X110" s="19"/>
      <c r="Y110" s="19"/>
      <c r="Z110" s="19" t="s">
        <v>263</v>
      </c>
    </row>
    <row r="111" customFormat="false" ht="18.75" hidden="false" customHeight="true" outlineLevel="0" collapsed="false">
      <c r="A111" s="216" t="s">
        <v>9</v>
      </c>
      <c r="B111" s="289" t="n">
        <v>0.2</v>
      </c>
      <c r="C111" s="289"/>
      <c r="D111" s="72" t="n">
        <v>200</v>
      </c>
      <c r="E111" s="72"/>
      <c r="F111" s="19"/>
      <c r="G111" s="216" t="s">
        <v>9</v>
      </c>
      <c r="H111" s="289" t="n">
        <v>0.2</v>
      </c>
      <c r="I111" s="289"/>
      <c r="J111" s="72" t="n">
        <v>5000</v>
      </c>
      <c r="K111" s="72"/>
      <c r="L111" s="19"/>
      <c r="M111" s="216" t="s">
        <v>9</v>
      </c>
      <c r="N111" s="289" t="n">
        <v>0.2</v>
      </c>
      <c r="O111" s="289"/>
      <c r="P111" s="72" t="n">
        <v>5000</v>
      </c>
      <c r="Q111" s="72"/>
      <c r="R111" s="19"/>
      <c r="S111" s="19"/>
      <c r="T111" s="19"/>
      <c r="U111" s="19"/>
      <c r="V111" s="19"/>
      <c r="W111" s="19"/>
      <c r="X111" s="19"/>
      <c r="Y111" s="19"/>
      <c r="Z111" s="19" t="s">
        <v>265</v>
      </c>
    </row>
    <row r="112" customFormat="false" ht="18.75" hidden="false" customHeight="true" outlineLevel="0" collapsed="false">
      <c r="A112" s="209"/>
      <c r="B112" s="207"/>
      <c r="C112" s="207"/>
      <c r="D112" s="207"/>
      <c r="E112" s="210"/>
      <c r="F112" s="19"/>
      <c r="G112" s="209"/>
      <c r="H112" s="207"/>
      <c r="I112" s="207"/>
      <c r="J112" s="207"/>
      <c r="K112" s="210"/>
      <c r="L112" s="19"/>
      <c r="M112" s="209"/>
      <c r="N112" s="207"/>
      <c r="O112" s="207"/>
      <c r="P112" s="207"/>
      <c r="Q112" s="210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8.75" hidden="false" customHeight="true" outlineLevel="0" collapsed="false">
      <c r="A113" s="209"/>
      <c r="B113" s="207"/>
      <c r="C113" s="207"/>
      <c r="D113" s="207"/>
      <c r="E113" s="210"/>
      <c r="F113" s="19"/>
      <c r="G113" s="209"/>
      <c r="H113" s="207"/>
      <c r="I113" s="207"/>
      <c r="J113" s="207"/>
      <c r="K113" s="210"/>
      <c r="L113" s="19"/>
      <c r="M113" s="209"/>
      <c r="N113" s="207" t="s">
        <v>266</v>
      </c>
      <c r="O113" s="216" t="s">
        <v>9</v>
      </c>
      <c r="P113" s="207"/>
      <c r="Q113" s="210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8.75" hidden="false" customHeight="true" outlineLevel="0" collapsed="false">
      <c r="A114" s="211" t="s">
        <v>267</v>
      </c>
      <c r="B114" s="211"/>
      <c r="C114" s="211"/>
      <c r="D114" s="211"/>
      <c r="E114" s="211"/>
      <c r="F114" s="19"/>
      <c r="G114" s="211" t="s">
        <v>267</v>
      </c>
      <c r="H114" s="211"/>
      <c r="I114" s="211"/>
      <c r="J114" s="211"/>
      <c r="K114" s="211"/>
      <c r="L114" s="19"/>
      <c r="M114" s="211" t="s">
        <v>267</v>
      </c>
      <c r="N114" s="211"/>
      <c r="O114" s="211"/>
      <c r="P114" s="211"/>
      <c r="Q114" s="211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8.75" hidden="false" customHeight="true" outlineLevel="0" collapsed="false">
      <c r="A115" s="209"/>
      <c r="B115" s="207"/>
      <c r="C115" s="207"/>
      <c r="D115" s="207"/>
      <c r="E115" s="210"/>
      <c r="F115" s="19"/>
      <c r="G115" s="209"/>
      <c r="H115" s="207"/>
      <c r="I115" s="207"/>
      <c r="J115" s="207"/>
      <c r="K115" s="210"/>
      <c r="L115" s="19"/>
      <c r="M115" s="209"/>
      <c r="N115" s="207"/>
      <c r="O115" s="207"/>
      <c r="P115" s="207"/>
      <c r="Q115" s="210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8.75" hidden="false" customHeight="true" outlineLevel="0" collapsed="false">
      <c r="A116" s="209" t="s">
        <v>268</v>
      </c>
      <c r="B116" s="216" t="s">
        <v>10</v>
      </c>
      <c r="C116" s="207"/>
      <c r="D116" s="207"/>
      <c r="E116" s="210"/>
      <c r="F116" s="19"/>
      <c r="G116" s="209" t="s">
        <v>268</v>
      </c>
      <c r="H116" s="216" t="s">
        <v>9</v>
      </c>
      <c r="I116" s="207"/>
      <c r="J116" s="207"/>
      <c r="K116" s="210"/>
      <c r="L116" s="19"/>
      <c r="M116" s="209" t="s">
        <v>268</v>
      </c>
      <c r="N116" s="216" t="s">
        <v>9</v>
      </c>
      <c r="O116" s="207"/>
      <c r="P116" s="207"/>
      <c r="Q116" s="210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8.75" hidden="false" customHeight="true" outlineLevel="0" collapsed="false">
      <c r="A117" s="209"/>
      <c r="B117" s="207"/>
      <c r="C117" s="207"/>
      <c r="D117" s="207"/>
      <c r="E117" s="210"/>
      <c r="F117" s="19"/>
      <c r="G117" s="209"/>
      <c r="H117" s="207"/>
      <c r="I117" s="207"/>
      <c r="J117" s="207"/>
      <c r="K117" s="210"/>
      <c r="L117" s="19"/>
      <c r="M117" s="209"/>
      <c r="N117" s="207"/>
      <c r="O117" s="207"/>
      <c r="P117" s="207"/>
      <c r="Q117" s="210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8.75" hidden="false" customHeight="true" outlineLevel="0" collapsed="false">
      <c r="A118" s="209" t="s">
        <v>146</v>
      </c>
      <c r="B118" s="207"/>
      <c r="C118" s="207"/>
      <c r="D118" s="288" t="n">
        <v>0</v>
      </c>
      <c r="E118" s="72" t="n">
        <v>0</v>
      </c>
      <c r="F118" s="19"/>
      <c r="G118" s="209" t="s">
        <v>146</v>
      </c>
      <c r="H118" s="207"/>
      <c r="I118" s="207"/>
      <c r="J118" s="288" t="n">
        <v>10000</v>
      </c>
      <c r="K118" s="72" t="n">
        <v>5000</v>
      </c>
      <c r="L118" s="19"/>
      <c r="M118" s="209" t="s">
        <v>146</v>
      </c>
      <c r="N118" s="207"/>
      <c r="O118" s="207"/>
      <c r="P118" s="288" t="n">
        <v>10000</v>
      </c>
      <c r="Q118" s="72" t="n">
        <v>5000</v>
      </c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8.75" hidden="false" customHeight="true" outlineLevel="0" collapsed="false">
      <c r="A119" s="209" t="s">
        <v>147</v>
      </c>
      <c r="B119" s="207"/>
      <c r="C119" s="207"/>
      <c r="D119" s="38" t="n">
        <f aca="false">E119</f>
        <v>0</v>
      </c>
      <c r="E119" s="72" t="n">
        <v>0</v>
      </c>
      <c r="F119" s="19"/>
      <c r="G119" s="209" t="s">
        <v>147</v>
      </c>
      <c r="H119" s="207"/>
      <c r="I119" s="207"/>
      <c r="J119" s="38" t="n">
        <f aca="false">K119</f>
        <v>7000</v>
      </c>
      <c r="K119" s="72" t="n">
        <v>7000</v>
      </c>
      <c r="L119" s="19"/>
      <c r="M119" s="209" t="s">
        <v>147</v>
      </c>
      <c r="N119" s="207"/>
      <c r="O119" s="207"/>
      <c r="P119" s="38" t="n">
        <f aca="false">Q119</f>
        <v>7000</v>
      </c>
      <c r="Q119" s="72" t="n">
        <v>7000</v>
      </c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8.75" hidden="false" customHeight="true" outlineLevel="0" collapsed="false">
      <c r="A120" s="209" t="s">
        <v>148</v>
      </c>
      <c r="B120" s="207"/>
      <c r="C120" s="207"/>
      <c r="D120" s="38" t="n">
        <f aca="false">D118-D119</f>
        <v>0</v>
      </c>
      <c r="E120" s="163" t="n">
        <f aca="false">E118-E119</f>
        <v>0</v>
      </c>
      <c r="F120" s="19"/>
      <c r="G120" s="209" t="s">
        <v>148</v>
      </c>
      <c r="H120" s="207"/>
      <c r="I120" s="207"/>
      <c r="J120" s="38" t="n">
        <f aca="false">J118-J119</f>
        <v>3000</v>
      </c>
      <c r="K120" s="163" t="n">
        <f aca="false">K118-K119</f>
        <v>-2000</v>
      </c>
      <c r="L120" s="19"/>
      <c r="M120" s="209" t="s">
        <v>148</v>
      </c>
      <c r="N120" s="207"/>
      <c r="O120" s="207"/>
      <c r="P120" s="38" t="n">
        <f aca="false">P118-P119</f>
        <v>3000</v>
      </c>
      <c r="Q120" s="163" t="n">
        <f aca="false">Q118-Q119</f>
        <v>-2000</v>
      </c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8.75" hidden="false" customHeight="true" outlineLevel="0" collapsed="false">
      <c r="A121" s="209" t="s">
        <v>149</v>
      </c>
      <c r="B121" s="207"/>
      <c r="C121" s="207"/>
      <c r="D121" s="38" t="n">
        <f aca="false">D120-E120</f>
        <v>0</v>
      </c>
      <c r="E121" s="210"/>
      <c r="F121" s="19"/>
      <c r="G121" s="209" t="s">
        <v>149</v>
      </c>
      <c r="H121" s="207"/>
      <c r="I121" s="207"/>
      <c r="J121" s="38" t="n">
        <f aca="false">J120-K120</f>
        <v>5000</v>
      </c>
      <c r="K121" s="210"/>
      <c r="L121" s="19"/>
      <c r="M121" s="209" t="s">
        <v>149</v>
      </c>
      <c r="N121" s="207"/>
      <c r="O121" s="207"/>
      <c r="P121" s="38" t="n">
        <f aca="false">P120-Q120</f>
        <v>5000</v>
      </c>
      <c r="Q121" s="210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8.75" hidden="false" customHeight="true" outlineLevel="0" collapsed="false">
      <c r="A122" s="209"/>
      <c r="B122" s="207"/>
      <c r="C122" s="207"/>
      <c r="D122" s="207"/>
      <c r="E122" s="210"/>
      <c r="F122" s="19"/>
      <c r="G122" s="209"/>
      <c r="H122" s="207"/>
      <c r="I122" s="207"/>
      <c r="J122" s="207"/>
      <c r="K122" s="210"/>
      <c r="L122" s="19"/>
      <c r="M122" s="209"/>
      <c r="N122" s="207"/>
      <c r="O122" s="207"/>
      <c r="P122" s="207"/>
      <c r="Q122" s="210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8.75" hidden="false" customHeight="true" outlineLevel="0" collapsed="false">
      <c r="A123" s="255" t="s">
        <v>108</v>
      </c>
      <c r="B123" s="256"/>
      <c r="C123" s="256"/>
      <c r="D123" s="256"/>
      <c r="E123" s="137" t="n">
        <f aca="false">D105</f>
        <v>0</v>
      </c>
      <c r="F123" s="19"/>
      <c r="G123" s="255" t="s">
        <v>108</v>
      </c>
      <c r="H123" s="256"/>
      <c r="I123" s="256"/>
      <c r="J123" s="256"/>
      <c r="K123" s="137" t="n">
        <f aca="false">J105</f>
        <v>5000</v>
      </c>
      <c r="L123" s="19"/>
      <c r="M123" s="255" t="s">
        <v>108</v>
      </c>
      <c r="N123" s="256"/>
      <c r="O123" s="256"/>
      <c r="P123" s="256"/>
      <c r="Q123" s="137" t="n">
        <f aca="false">P105</f>
        <v>0</v>
      </c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8.75" hidden="false" customHeight="true" outlineLevel="0" collapsed="false">
      <c r="A124" s="209" t="s">
        <v>152</v>
      </c>
      <c r="B124" s="207"/>
      <c r="C124" s="207"/>
      <c r="D124" s="207"/>
      <c r="E124" s="273" t="n">
        <f aca="false">A108</f>
        <v>199.99</v>
      </c>
      <c r="F124" s="19"/>
      <c r="G124" s="209" t="s">
        <v>152</v>
      </c>
      <c r="H124" s="207"/>
      <c r="I124" s="207"/>
      <c r="J124" s="207"/>
      <c r="K124" s="273" t="n">
        <f aca="false">G108</f>
        <v>239.988</v>
      </c>
      <c r="L124" s="19"/>
      <c r="M124" s="209" t="s">
        <v>152</v>
      </c>
      <c r="N124" s="207"/>
      <c r="O124" s="207"/>
      <c r="P124" s="207"/>
      <c r="Q124" s="273" t="n">
        <f aca="false">M108</f>
        <v>199.99</v>
      </c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8.75" hidden="false" customHeight="true" outlineLevel="0" collapsed="false">
      <c r="A125" s="290" t="s">
        <v>269</v>
      </c>
      <c r="B125" s="253"/>
      <c r="C125" s="253"/>
      <c r="D125" s="253"/>
      <c r="E125" s="139" t="n">
        <f aca="false">(E124+E123)-E120</f>
        <v>199.99</v>
      </c>
      <c r="F125" s="19"/>
      <c r="G125" s="290" t="s">
        <v>269</v>
      </c>
      <c r="H125" s="253"/>
      <c r="I125" s="253"/>
      <c r="J125" s="253"/>
      <c r="K125" s="139" t="n">
        <f aca="false">(K124+K123)-K120</f>
        <v>7239.988</v>
      </c>
      <c r="L125" s="19"/>
      <c r="M125" s="290" t="s">
        <v>269</v>
      </c>
      <c r="N125" s="253"/>
      <c r="O125" s="253"/>
      <c r="P125" s="253"/>
      <c r="Q125" s="139" t="n">
        <f aca="false">(Q124+Q123)-Q120</f>
        <v>2199.99</v>
      </c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8.75" hidden="false" customHeight="true" outlineLevel="0" collapsed="false">
      <c r="A126" s="209"/>
      <c r="B126" s="207"/>
      <c r="C126" s="207"/>
      <c r="D126" s="207"/>
      <c r="E126" s="210"/>
      <c r="F126" s="19"/>
      <c r="G126" s="209"/>
      <c r="H126" s="207"/>
      <c r="I126" s="207"/>
      <c r="J126" s="207"/>
      <c r="K126" s="210"/>
      <c r="L126" s="19"/>
      <c r="M126" s="209"/>
      <c r="N126" s="207"/>
      <c r="O126" s="207"/>
      <c r="P126" s="207"/>
      <c r="Q126" s="210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8.75" hidden="false" customHeight="true" outlineLevel="0" collapsed="false">
      <c r="A127" s="209"/>
      <c r="B127" s="207"/>
      <c r="C127" s="207"/>
      <c r="D127" s="207"/>
      <c r="E127" s="210"/>
      <c r="F127" s="19"/>
      <c r="G127" s="209"/>
      <c r="H127" s="207"/>
      <c r="I127" s="207"/>
      <c r="J127" s="207"/>
      <c r="K127" s="210"/>
      <c r="L127" s="19"/>
      <c r="M127" s="209"/>
      <c r="N127" s="207"/>
      <c r="O127" s="207"/>
      <c r="P127" s="207"/>
      <c r="Q127" s="210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8.75" hidden="false" customHeight="true" outlineLevel="0" collapsed="false">
      <c r="A128" s="211" t="s">
        <v>270</v>
      </c>
      <c r="B128" s="211"/>
      <c r="C128" s="211"/>
      <c r="D128" s="211"/>
      <c r="E128" s="211"/>
      <c r="F128" s="19"/>
      <c r="G128" s="211" t="s">
        <v>270</v>
      </c>
      <c r="H128" s="211"/>
      <c r="I128" s="211"/>
      <c r="J128" s="211"/>
      <c r="K128" s="211"/>
      <c r="L128" s="19"/>
      <c r="M128" s="211" t="s">
        <v>270</v>
      </c>
      <c r="N128" s="211"/>
      <c r="O128" s="211"/>
      <c r="P128" s="211"/>
      <c r="Q128" s="211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8.75" hidden="false" customHeight="true" outlineLevel="0" collapsed="false">
      <c r="A129" s="209"/>
      <c r="B129" s="207"/>
      <c r="C129" s="207"/>
      <c r="D129" s="207"/>
      <c r="E129" s="210"/>
      <c r="F129" s="19"/>
      <c r="G129" s="209"/>
      <c r="H129" s="207"/>
      <c r="I129" s="207"/>
      <c r="J129" s="207"/>
      <c r="K129" s="210"/>
      <c r="L129" s="19"/>
      <c r="M129" s="209"/>
      <c r="N129" s="207"/>
      <c r="O129" s="207"/>
      <c r="P129" s="207"/>
      <c r="Q129" s="210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8.75" hidden="false" customHeight="true" outlineLevel="0" collapsed="false">
      <c r="A130" s="209" t="s">
        <v>29</v>
      </c>
      <c r="B130" s="168" t="n">
        <v>1200</v>
      </c>
      <c r="C130" s="168"/>
      <c r="D130" s="207"/>
      <c r="E130" s="210"/>
      <c r="F130" s="19"/>
      <c r="G130" s="209" t="s">
        <v>29</v>
      </c>
      <c r="H130" s="168" t="n">
        <v>0</v>
      </c>
      <c r="I130" s="168"/>
      <c r="J130" s="207"/>
      <c r="K130" s="210"/>
      <c r="L130" s="19"/>
      <c r="M130" s="209" t="s">
        <v>29</v>
      </c>
      <c r="N130" s="168" t="n">
        <v>0</v>
      </c>
      <c r="O130" s="168"/>
      <c r="P130" s="207"/>
      <c r="Q130" s="210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8.75" hidden="false" customHeight="true" outlineLevel="0" collapsed="false">
      <c r="A131" s="209"/>
      <c r="B131" s="207"/>
      <c r="C131" s="207"/>
      <c r="D131" s="207"/>
      <c r="E131" s="210"/>
      <c r="F131" s="19"/>
      <c r="G131" s="209"/>
      <c r="H131" s="207"/>
      <c r="I131" s="207"/>
      <c r="J131" s="207"/>
      <c r="K131" s="210"/>
      <c r="L131" s="19"/>
      <c r="M131" s="209"/>
      <c r="N131" s="207"/>
      <c r="O131" s="207"/>
      <c r="P131" s="207"/>
      <c r="Q131" s="210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8.75" hidden="false" customHeight="true" outlineLevel="0" collapsed="false">
      <c r="A132" s="209" t="s">
        <v>28</v>
      </c>
      <c r="B132" s="207" t="s">
        <v>33</v>
      </c>
      <c r="C132" s="207"/>
      <c r="D132" s="207" t="s">
        <v>60</v>
      </c>
      <c r="E132" s="210"/>
      <c r="F132" s="19"/>
      <c r="G132" s="209" t="s">
        <v>28</v>
      </c>
      <c r="H132" s="207" t="s">
        <v>33</v>
      </c>
      <c r="I132" s="207"/>
      <c r="J132" s="207" t="s">
        <v>60</v>
      </c>
      <c r="K132" s="210"/>
      <c r="L132" s="19"/>
      <c r="M132" s="209" t="s">
        <v>28</v>
      </c>
      <c r="N132" s="207" t="s">
        <v>33</v>
      </c>
      <c r="O132" s="207"/>
      <c r="P132" s="207" t="s">
        <v>60</v>
      </c>
      <c r="Q132" s="210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8.75" hidden="false" customHeight="true" outlineLevel="0" collapsed="false">
      <c r="A133" s="222" t="n">
        <f aca="false">A158</f>
        <v>12</v>
      </c>
      <c r="B133" s="174" t="n">
        <f aca="false">B157</f>
        <v>5000</v>
      </c>
      <c r="C133" s="223"/>
      <c r="D133" s="174" t="n">
        <f aca="false">B64</f>
        <v>11</v>
      </c>
      <c r="E133" s="210"/>
      <c r="F133" s="19"/>
      <c r="G133" s="222" t="n">
        <f aca="false">G158</f>
        <v>12</v>
      </c>
      <c r="H133" s="174" t="n">
        <f aca="false">B157</f>
        <v>5000</v>
      </c>
      <c r="I133" s="223"/>
      <c r="J133" s="174" t="n">
        <f aca="false">B64</f>
        <v>11</v>
      </c>
      <c r="K133" s="210"/>
      <c r="L133" s="19"/>
      <c r="M133" s="222" t="n">
        <f aca="false">M161</f>
        <v>12</v>
      </c>
      <c r="N133" s="174" t="n">
        <f aca="false">B157</f>
        <v>5000</v>
      </c>
      <c r="O133" s="223"/>
      <c r="P133" s="174" t="n">
        <f aca="false">B64</f>
        <v>11</v>
      </c>
      <c r="Q133" s="210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8.75" hidden="false" customHeight="true" outlineLevel="0" collapsed="false">
      <c r="A134" s="209"/>
      <c r="B134" s="207"/>
      <c r="C134" s="207"/>
      <c r="D134" s="207"/>
      <c r="E134" s="210"/>
      <c r="F134" s="19"/>
      <c r="G134" s="209"/>
      <c r="H134" s="207"/>
      <c r="I134" s="207"/>
      <c r="J134" s="207"/>
      <c r="K134" s="210"/>
      <c r="L134" s="19"/>
      <c r="M134" s="209"/>
      <c r="N134" s="207"/>
      <c r="O134" s="207"/>
      <c r="P134" s="207"/>
      <c r="Q134" s="210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8.75" hidden="false" customHeight="true" outlineLevel="0" collapsed="false">
      <c r="A135" s="302" t="s">
        <v>276</v>
      </c>
      <c r="B135" s="303" t="s">
        <v>227</v>
      </c>
      <c r="C135" s="303"/>
      <c r="D135" s="303" t="s">
        <v>93</v>
      </c>
      <c r="E135" s="210"/>
      <c r="F135" s="19"/>
      <c r="G135" s="302" t="s">
        <v>273</v>
      </c>
      <c r="H135" s="303" t="s">
        <v>274</v>
      </c>
      <c r="I135" s="303"/>
      <c r="J135" s="303" t="s">
        <v>275</v>
      </c>
      <c r="K135" s="210"/>
      <c r="L135" s="19"/>
      <c r="M135" s="302" t="s">
        <v>276</v>
      </c>
      <c r="N135" s="303" t="s">
        <v>227</v>
      </c>
      <c r="O135" s="303"/>
      <c r="P135" s="303" t="s">
        <v>93</v>
      </c>
      <c r="Q135" s="210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8.75" hidden="false" customHeight="true" outlineLevel="0" collapsed="false">
      <c r="A136" s="307" t="n">
        <f aca="false">B96</f>
        <v>470.208446603645</v>
      </c>
      <c r="B136" s="172" t="n">
        <f aca="false">IF(A111="YES", B95*B63, 0)</f>
        <v>375.652173913043</v>
      </c>
      <c r="C136" s="172"/>
      <c r="D136" s="172" t="n">
        <f aca="false">B97</f>
        <v>501.512794429732</v>
      </c>
      <c r="E136" s="210"/>
      <c r="F136" s="19"/>
      <c r="G136" s="307" t="e">
        <f aca="false">H96</f>
        <v>#DIV/0!</v>
      </c>
      <c r="H136" s="172" t="e">
        <f aca="false">IF(G111="YES", H95*H63, 0)</f>
        <v>#DIV/0!</v>
      </c>
      <c r="I136" s="172"/>
      <c r="J136" s="308" t="e">
        <f aca="false">H97</f>
        <v>#DIV/0!</v>
      </c>
      <c r="K136" s="210"/>
      <c r="L136" s="19"/>
      <c r="M136" s="307" t="e">
        <f aca="false">N96</f>
        <v>#DIV/0!</v>
      </c>
      <c r="N136" s="172" t="e">
        <f aca="false">IF(M111="YES", N95*N63, 0)</f>
        <v>#DIV/0!</v>
      </c>
      <c r="O136" s="172"/>
      <c r="P136" s="172" t="e">
        <f aca="false">N97</f>
        <v>#DIV/0!</v>
      </c>
      <c r="Q136" s="210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8.75" hidden="false" customHeight="true" outlineLevel="0" collapsed="false">
      <c r="A137" s="209"/>
      <c r="B137" s="207"/>
      <c r="C137" s="207"/>
      <c r="D137" s="207"/>
      <c r="E137" s="210"/>
      <c r="F137" s="19"/>
      <c r="G137" s="209"/>
      <c r="H137" s="207"/>
      <c r="I137" s="207"/>
      <c r="J137" s="207"/>
      <c r="K137" s="210"/>
      <c r="L137" s="19"/>
      <c r="M137" s="209"/>
      <c r="N137" s="207"/>
      <c r="O137" s="207"/>
      <c r="P137" s="207"/>
      <c r="Q137" s="210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8.75" hidden="false" customHeight="true" outlineLevel="0" collapsed="false">
      <c r="A138" s="209" t="s">
        <v>282</v>
      </c>
      <c r="B138" s="207" t="s">
        <v>216</v>
      </c>
      <c r="C138" s="207"/>
      <c r="D138" s="207" t="s">
        <v>220</v>
      </c>
      <c r="E138" s="210"/>
      <c r="F138" s="19"/>
      <c r="G138" s="209" t="s">
        <v>279</v>
      </c>
      <c r="H138" s="207" t="s">
        <v>280</v>
      </c>
      <c r="I138" s="207"/>
      <c r="J138" s="207" t="s">
        <v>281</v>
      </c>
      <c r="K138" s="210"/>
      <c r="L138" s="19"/>
      <c r="M138" s="209" t="s">
        <v>282</v>
      </c>
      <c r="N138" s="207" t="s">
        <v>216</v>
      </c>
      <c r="O138" s="207"/>
      <c r="P138" s="207" t="s">
        <v>220</v>
      </c>
      <c r="Q138" s="210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8.75" hidden="false" customHeight="true" outlineLevel="0" collapsed="false">
      <c r="A139" s="69" t="n">
        <f aca="false">B96*B63</f>
        <v>5642.50135924373</v>
      </c>
      <c r="B139" s="37" t="n">
        <f aca="false">IF(A111="YES", B95*B63, 0)</f>
        <v>375.652173913043</v>
      </c>
      <c r="C139" s="215"/>
      <c r="D139" s="232" t="n">
        <f aca="false">B97*B63</f>
        <v>6018.15353315678</v>
      </c>
      <c r="E139" s="210"/>
      <c r="F139" s="19"/>
      <c r="G139" s="69" t="e">
        <f aca="false">H96*H63</f>
        <v>#DIV/0!</v>
      </c>
      <c r="H139" s="37" t="e">
        <f aca="false">IF(G111="YES", H95*H63, 0)</f>
        <v>#DIV/0!</v>
      </c>
      <c r="I139" s="215"/>
      <c r="J139" s="37" t="e">
        <f aca="false">H97*H63</f>
        <v>#DIV/0!</v>
      </c>
      <c r="K139" s="210"/>
      <c r="L139" s="19"/>
      <c r="M139" s="69" t="e">
        <f aca="false">N96*N63</f>
        <v>#DIV/0!</v>
      </c>
      <c r="N139" s="37" t="e">
        <f aca="false">IF(M111="YES", N95*N63, 0)</f>
        <v>#DIV/0!</v>
      </c>
      <c r="O139" s="215"/>
      <c r="P139" s="232" t="e">
        <f aca="false">N97*N63</f>
        <v>#DIV/0!</v>
      </c>
      <c r="Q139" s="210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8.75" hidden="false" customHeight="true" outlineLevel="0" collapsed="false">
      <c r="A140" s="209"/>
      <c r="B140" s="207"/>
      <c r="C140" s="207"/>
      <c r="D140" s="207"/>
      <c r="E140" s="210"/>
      <c r="F140" s="19"/>
      <c r="G140" s="209"/>
      <c r="H140" s="207"/>
      <c r="I140" s="207"/>
      <c r="J140" s="207"/>
      <c r="K140" s="210"/>
      <c r="L140" s="19"/>
      <c r="M140" s="209"/>
      <c r="N140" s="207"/>
      <c r="O140" s="207"/>
      <c r="P140" s="207"/>
      <c r="Q140" s="210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8.75" hidden="false" customHeight="true" outlineLevel="0" collapsed="false">
      <c r="A141" s="209" t="s">
        <v>229</v>
      </c>
      <c r="B141" s="207" t="s">
        <v>230</v>
      </c>
      <c r="C141" s="207"/>
      <c r="D141" s="207" t="s">
        <v>235</v>
      </c>
      <c r="E141" s="210"/>
      <c r="F141" s="19"/>
      <c r="G141" s="209" t="s">
        <v>285</v>
      </c>
      <c r="H141" s="207" t="s">
        <v>286</v>
      </c>
      <c r="I141" s="207"/>
      <c r="J141" s="207" t="s">
        <v>287</v>
      </c>
      <c r="K141" s="210"/>
      <c r="L141" s="19"/>
      <c r="M141" s="209" t="s">
        <v>229</v>
      </c>
      <c r="N141" s="207" t="s">
        <v>230</v>
      </c>
      <c r="O141" s="207"/>
      <c r="P141" s="207" t="s">
        <v>235</v>
      </c>
      <c r="Q141" s="210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8.75" hidden="false" customHeight="true" outlineLevel="0" collapsed="false">
      <c r="A142" s="70" t="n">
        <f aca="false">E15*0.000006</f>
        <v>0.35115</v>
      </c>
      <c r="B142" s="37" t="n">
        <f aca="false">IF(A111="YES", E15*0.000002, 0)</f>
        <v>0.11705</v>
      </c>
      <c r="C142" s="37"/>
      <c r="D142" s="37" t="n">
        <f aca="false">A142+B142</f>
        <v>0.4682</v>
      </c>
      <c r="E142" s="177"/>
      <c r="F142" s="19"/>
      <c r="G142" s="70" t="n">
        <f aca="false">E15*0.000006</f>
        <v>0.35115</v>
      </c>
      <c r="H142" s="37" t="n">
        <f aca="false">IF(G111="YES", E15*0.000002, 0)</f>
        <v>0.11705</v>
      </c>
      <c r="I142" s="37"/>
      <c r="J142" s="37" t="n">
        <f aca="false">G142+H142</f>
        <v>0.4682</v>
      </c>
      <c r="K142" s="177"/>
      <c r="L142" s="19"/>
      <c r="M142" s="70" t="n">
        <f aca="false">E15*0.000006</f>
        <v>0.35115</v>
      </c>
      <c r="N142" s="37" t="n">
        <f aca="false">IF(M111="YES", E15*0.000002, 0)</f>
        <v>0.11705</v>
      </c>
      <c r="O142" s="37"/>
      <c r="P142" s="37" t="n">
        <f aca="false">M142+N142</f>
        <v>0.4682</v>
      </c>
      <c r="Q142" s="177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8.75" hidden="false" customHeight="true" outlineLevel="0" collapsed="false">
      <c r="A143" s="209"/>
      <c r="B143" s="207"/>
      <c r="C143" s="207"/>
      <c r="D143" s="207"/>
      <c r="E143" s="210"/>
      <c r="F143" s="19"/>
      <c r="G143" s="209"/>
      <c r="H143" s="207"/>
      <c r="I143" s="207"/>
      <c r="J143" s="207"/>
      <c r="K143" s="210"/>
      <c r="L143" s="19"/>
      <c r="M143" s="209"/>
      <c r="N143" s="207"/>
      <c r="O143" s="207"/>
      <c r="P143" s="207"/>
      <c r="Q143" s="210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8.75" hidden="false" customHeight="true" outlineLevel="0" collapsed="false">
      <c r="A144" s="209" t="s">
        <v>111</v>
      </c>
      <c r="B144" s="207" t="s">
        <v>289</v>
      </c>
      <c r="C144" s="207"/>
      <c r="D144" s="207" t="s">
        <v>290</v>
      </c>
      <c r="E144" s="210"/>
      <c r="F144" s="19"/>
      <c r="G144" s="209" t="s">
        <v>288</v>
      </c>
      <c r="H144" s="207" t="s">
        <v>289</v>
      </c>
      <c r="I144" s="207"/>
      <c r="J144" s="207" t="s">
        <v>290</v>
      </c>
      <c r="K144" s="210"/>
      <c r="L144" s="19"/>
      <c r="M144" s="209" t="s">
        <v>111</v>
      </c>
      <c r="N144" s="207" t="s">
        <v>289</v>
      </c>
      <c r="O144" s="207"/>
      <c r="P144" s="207" t="s">
        <v>290</v>
      </c>
      <c r="Q144" s="210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8.75" hidden="false" customHeight="true" outlineLevel="0" collapsed="false">
      <c r="A145" s="70" t="n">
        <f aca="false">A108</f>
        <v>199.99</v>
      </c>
      <c r="B145" s="37" t="n">
        <f aca="false">B73/1.2</f>
        <v>482.375</v>
      </c>
      <c r="C145" s="37"/>
      <c r="D145" s="37" t="n">
        <f aca="false">B108*0.9</f>
        <v>0</v>
      </c>
      <c r="E145" s="177"/>
      <c r="F145" s="19"/>
      <c r="G145" s="70" t="n">
        <f aca="false">G108</f>
        <v>239.988</v>
      </c>
      <c r="H145" s="37" t="n">
        <f aca="false">H73/1.2</f>
        <v>241.1875</v>
      </c>
      <c r="I145" s="37"/>
      <c r="J145" s="37" t="n">
        <f aca="false">H108*0.9</f>
        <v>1080</v>
      </c>
      <c r="K145" s="177"/>
      <c r="L145" s="19"/>
      <c r="M145" s="70" t="n">
        <f aca="false">M108</f>
        <v>199.99</v>
      </c>
      <c r="N145" s="37" t="n">
        <f aca="false">N73/1.2</f>
        <v>241.1875</v>
      </c>
      <c r="O145" s="37"/>
      <c r="P145" s="37" t="n">
        <f aca="false">N108*0.9</f>
        <v>1080</v>
      </c>
      <c r="Q145" s="177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8.75" hidden="false" customHeight="true" outlineLevel="0" collapsed="false">
      <c r="A146" s="209"/>
      <c r="B146" s="207"/>
      <c r="C146" s="207"/>
      <c r="D146" s="207"/>
      <c r="E146" s="210"/>
      <c r="F146" s="19"/>
      <c r="G146" s="209"/>
      <c r="H146" s="207"/>
      <c r="I146" s="207"/>
      <c r="J146" s="207"/>
      <c r="K146" s="210"/>
      <c r="L146" s="19"/>
      <c r="M146" s="209"/>
      <c r="N146" s="207"/>
      <c r="O146" s="207"/>
      <c r="P146" s="207"/>
      <c r="Q146" s="210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8.75" hidden="false" customHeight="true" outlineLevel="0" collapsed="false">
      <c r="A147" s="209" t="s">
        <v>292</v>
      </c>
      <c r="B147" s="207" t="s">
        <v>293</v>
      </c>
      <c r="C147" s="207"/>
      <c r="D147" s="207" t="s">
        <v>294</v>
      </c>
      <c r="E147" s="210"/>
      <c r="F147" s="19"/>
      <c r="G147" s="209" t="s">
        <v>292</v>
      </c>
      <c r="H147" s="207" t="s">
        <v>293</v>
      </c>
      <c r="I147" s="207"/>
      <c r="J147" s="207" t="s">
        <v>294</v>
      </c>
      <c r="K147" s="210"/>
      <c r="L147" s="19"/>
      <c r="M147" s="209" t="s">
        <v>292</v>
      </c>
      <c r="N147" s="207" t="s">
        <v>293</v>
      </c>
      <c r="O147" s="207"/>
      <c r="P147" s="207" t="s">
        <v>294</v>
      </c>
      <c r="Q147" s="210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8.75" hidden="false" customHeight="true" outlineLevel="0" collapsed="false">
      <c r="A148" s="70" t="n">
        <f aca="false">IF(A111="YES", ((A41*B111)*0.1)*(A133), 0)</f>
        <v>12</v>
      </c>
      <c r="B148" s="37" t="n">
        <f aca="false">A108-100</f>
        <v>99.99</v>
      </c>
      <c r="C148" s="37"/>
      <c r="D148" s="37" t="n">
        <f aca="false">(B145+D145+A148+B148)-B151</f>
        <v>594.365</v>
      </c>
      <c r="E148" s="177"/>
      <c r="F148" s="19"/>
      <c r="G148" s="70" t="n">
        <f aca="false">IF(G111="YES", ((A41*H111)*0.1)*(G133), 0)</f>
        <v>12</v>
      </c>
      <c r="H148" s="37" t="n">
        <f aca="false">G108-100</f>
        <v>139.988</v>
      </c>
      <c r="I148" s="37"/>
      <c r="J148" s="37" t="n">
        <f aca="false">(H145+J145+G148+H148)-H151</f>
        <v>1473.1755</v>
      </c>
      <c r="K148" s="177"/>
      <c r="L148" s="19"/>
      <c r="M148" s="70" t="n">
        <f aca="false">IF(M111="YES", ((A41*N111)*0.1)*(M133), 0)</f>
        <v>12</v>
      </c>
      <c r="N148" s="37" t="n">
        <f aca="false">M108-100</f>
        <v>99.99</v>
      </c>
      <c r="O148" s="37"/>
      <c r="P148" s="37" t="n">
        <f aca="false">(N145+P145+M148+N148)-N151</f>
        <v>1433.1775</v>
      </c>
      <c r="Q148" s="177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8.75" hidden="false" customHeight="true" outlineLevel="0" collapsed="false">
      <c r="A149" s="209"/>
      <c r="B149" s="207"/>
      <c r="C149" s="207"/>
      <c r="D149" s="207"/>
      <c r="E149" s="210"/>
      <c r="F149" s="19"/>
      <c r="G149" s="209"/>
      <c r="H149" s="207"/>
      <c r="I149" s="207"/>
      <c r="J149" s="207"/>
      <c r="K149" s="210"/>
      <c r="L149" s="19"/>
      <c r="M149" s="209"/>
      <c r="N149" s="207"/>
      <c r="O149" s="207"/>
      <c r="P149" s="207"/>
      <c r="Q149" s="210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8.75" hidden="false" customHeight="true" outlineLevel="0" collapsed="false">
      <c r="A150" s="209" t="s">
        <v>296</v>
      </c>
      <c r="B150" s="207" t="s">
        <v>297</v>
      </c>
      <c r="C150" s="207"/>
      <c r="D150" s="207"/>
      <c r="E150" s="210"/>
      <c r="F150" s="19"/>
      <c r="G150" s="209" t="s">
        <v>296</v>
      </c>
      <c r="H150" s="207" t="s">
        <v>297</v>
      </c>
      <c r="I150" s="207"/>
      <c r="J150" s="207"/>
      <c r="K150" s="210"/>
      <c r="L150" s="19"/>
      <c r="M150" s="209" t="s">
        <v>296</v>
      </c>
      <c r="N150" s="207" t="s">
        <v>297</v>
      </c>
      <c r="O150" s="207"/>
      <c r="P150" s="207"/>
      <c r="Q150" s="210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8.75" hidden="false" customHeight="true" outlineLevel="0" collapsed="false">
      <c r="A151" s="70" t="n">
        <v>0</v>
      </c>
      <c r="B151" s="37" t="n">
        <f aca="false">(B145+D145+A148+B148)*(A151/B70)</f>
        <v>0</v>
      </c>
      <c r="C151" s="207"/>
      <c r="D151" s="207"/>
      <c r="E151" s="210"/>
      <c r="F151" s="19"/>
      <c r="G151" s="70" t="n">
        <f aca="false">IF((1200-H108) &lt;= 0, 0, (1200-H108))</f>
        <v>0</v>
      </c>
      <c r="H151" s="37" t="n">
        <f aca="false">(H145+J145+G148+H148)*(G151/H70)</f>
        <v>0</v>
      </c>
      <c r="I151" s="207"/>
      <c r="J151" s="207"/>
      <c r="K151" s="210"/>
      <c r="L151" s="19"/>
      <c r="M151" s="70" t="n">
        <f aca="false">IF((1200-N108) &lt;= 0, 0, (1200-N108))</f>
        <v>0</v>
      </c>
      <c r="N151" s="37" t="n">
        <f aca="false">(N145+P145+M148+N148)*(M151/N70)</f>
        <v>0</v>
      </c>
      <c r="O151" s="207"/>
      <c r="P151" s="207"/>
      <c r="Q151" s="210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8.75" hidden="false" customHeight="true" outlineLevel="0" collapsed="false">
      <c r="A152" s="209"/>
      <c r="B152" s="207"/>
      <c r="C152" s="207"/>
      <c r="D152" s="207"/>
      <c r="E152" s="210"/>
      <c r="F152" s="19"/>
      <c r="G152" s="209"/>
      <c r="H152" s="207"/>
      <c r="I152" s="207"/>
      <c r="J152" s="207"/>
      <c r="K152" s="210"/>
      <c r="L152" s="19"/>
      <c r="M152" s="70"/>
      <c r="N152" s="37"/>
      <c r="O152" s="207"/>
      <c r="P152" s="207"/>
      <c r="Q152" s="210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8.75" hidden="false" customHeight="true" outlineLevel="0" collapsed="false">
      <c r="A153" s="209"/>
      <c r="B153" s="207"/>
      <c r="C153" s="207"/>
      <c r="D153" s="207"/>
      <c r="E153" s="210"/>
      <c r="F153" s="19"/>
      <c r="G153" s="209"/>
      <c r="H153" s="207"/>
      <c r="I153" s="207"/>
      <c r="J153" s="207"/>
      <c r="K153" s="210"/>
      <c r="L153" s="19"/>
      <c r="M153" s="78" t="s">
        <v>302</v>
      </c>
      <c r="N153" s="38" t="s">
        <v>303</v>
      </c>
      <c r="O153" s="207"/>
      <c r="P153" s="207"/>
      <c r="Q153" s="210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8.75" hidden="false" customHeight="true" outlineLevel="0" collapsed="false">
      <c r="A154" s="243" t="s">
        <v>304</v>
      </c>
      <c r="B154" s="207"/>
      <c r="C154" s="207"/>
      <c r="D154" s="244"/>
      <c r="E154" s="245"/>
      <c r="F154" s="19"/>
      <c r="G154" s="243" t="s">
        <v>304</v>
      </c>
      <c r="H154" s="207"/>
      <c r="I154" s="207"/>
      <c r="J154" s="244"/>
      <c r="K154" s="245"/>
      <c r="L154" s="19"/>
      <c r="M154" s="322" t="n">
        <f aca="false">H40</f>
        <v>0</v>
      </c>
      <c r="N154" s="323" t="n">
        <v>0.99</v>
      </c>
      <c r="O154" s="323"/>
      <c r="P154" s="207"/>
      <c r="Q154" s="210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8.75" hidden="false" customHeight="true" outlineLevel="0" collapsed="false">
      <c r="A155" s="209"/>
      <c r="B155" s="246"/>
      <c r="C155" s="246"/>
      <c r="D155" s="207"/>
      <c r="E155" s="210"/>
      <c r="F155" s="19"/>
      <c r="G155" s="209"/>
      <c r="H155" s="246"/>
      <c r="I155" s="246"/>
      <c r="J155" s="207"/>
      <c r="K155" s="210"/>
      <c r="L155" s="19"/>
      <c r="M155" s="209"/>
      <c r="N155" s="207"/>
      <c r="O155" s="207"/>
      <c r="P155" s="207"/>
      <c r="Q155" s="210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8.75" hidden="false" customHeight="true" outlineLevel="0" collapsed="false">
      <c r="A156" s="248" t="s">
        <v>28</v>
      </c>
      <c r="B156" s="249" t="s">
        <v>33</v>
      </c>
      <c r="C156" s="249"/>
      <c r="D156" s="207"/>
      <c r="E156" s="210"/>
      <c r="F156" s="19"/>
      <c r="G156" s="248" t="s">
        <v>28</v>
      </c>
      <c r="H156" s="249" t="s">
        <v>33</v>
      </c>
      <c r="I156" s="249"/>
      <c r="J156" s="207"/>
      <c r="K156" s="210"/>
      <c r="L156" s="19"/>
      <c r="M156" s="209"/>
      <c r="N156" s="207"/>
      <c r="O156" s="207"/>
      <c r="P156" s="207"/>
      <c r="Q156" s="210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8.75" hidden="false" customHeight="true" outlineLevel="0" collapsed="false">
      <c r="A157" s="248"/>
      <c r="B157" s="250" t="n">
        <f aca="false">B57</f>
        <v>5000</v>
      </c>
      <c r="C157" s="250"/>
      <c r="D157" s="207"/>
      <c r="E157" s="210"/>
      <c r="F157" s="19"/>
      <c r="G157" s="248"/>
      <c r="H157" s="250" t="n">
        <f aca="false">B57</f>
        <v>5000</v>
      </c>
      <c r="I157" s="250"/>
      <c r="J157" s="207"/>
      <c r="K157" s="210"/>
      <c r="L157" s="19"/>
      <c r="M157" s="243" t="s">
        <v>304</v>
      </c>
      <c r="N157" s="207"/>
      <c r="O157" s="207"/>
      <c r="P157" s="244"/>
      <c r="Q157" s="245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8.75" hidden="false" customHeight="true" outlineLevel="0" collapsed="false">
      <c r="A158" s="251" t="n">
        <f aca="false">A58</f>
        <v>12</v>
      </c>
      <c r="B158" s="92" t="n">
        <f aca="false">B97</f>
        <v>501.512794429732</v>
      </c>
      <c r="C158" s="92"/>
      <c r="D158" s="207"/>
      <c r="E158" s="210"/>
      <c r="F158" s="19"/>
      <c r="G158" s="251" t="n">
        <f aca="false">A58</f>
        <v>12</v>
      </c>
      <c r="H158" s="92" t="e">
        <f aca="false">H97</f>
        <v>#DIV/0!</v>
      </c>
      <c r="I158" s="92"/>
      <c r="J158" s="207"/>
      <c r="K158" s="210"/>
      <c r="L158" s="19"/>
      <c r="M158" s="209"/>
      <c r="N158" s="246"/>
      <c r="O158" s="246"/>
      <c r="P158" s="207"/>
      <c r="Q158" s="210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8.75" hidden="false" customHeight="true" outlineLevel="0" collapsed="false">
      <c r="A159" s="209"/>
      <c r="B159" s="207"/>
      <c r="C159" s="207"/>
      <c r="D159" s="207"/>
      <c r="E159" s="210"/>
      <c r="F159" s="19"/>
      <c r="G159" s="209"/>
      <c r="H159" s="207"/>
      <c r="I159" s="207"/>
      <c r="J159" s="207"/>
      <c r="K159" s="210"/>
      <c r="L159" s="19"/>
      <c r="M159" s="248" t="s">
        <v>28</v>
      </c>
      <c r="N159" s="249" t="s">
        <v>33</v>
      </c>
      <c r="O159" s="249"/>
      <c r="P159" s="207"/>
      <c r="Q159" s="210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8.75" hidden="false" customHeight="true" outlineLevel="0" collapsed="false">
      <c r="A160" s="209"/>
      <c r="B160" s="207"/>
      <c r="C160" s="207"/>
      <c r="D160" s="207"/>
      <c r="E160" s="210"/>
      <c r="F160" s="19"/>
      <c r="G160" s="209"/>
      <c r="H160" s="207"/>
      <c r="I160" s="207"/>
      <c r="J160" s="207"/>
      <c r="K160" s="210"/>
      <c r="L160" s="19"/>
      <c r="M160" s="248"/>
      <c r="N160" s="250" t="n">
        <f aca="false">B57</f>
        <v>5000</v>
      </c>
      <c r="O160" s="250"/>
      <c r="P160" s="207"/>
      <c r="Q160" s="210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8.75" hidden="false" customHeight="true" outlineLevel="0" collapsed="false">
      <c r="A161" s="209"/>
      <c r="B161" s="207"/>
      <c r="C161" s="207"/>
      <c r="D161" s="207"/>
      <c r="E161" s="210"/>
      <c r="F161" s="19"/>
      <c r="G161" s="209"/>
      <c r="H161" s="207"/>
      <c r="I161" s="207"/>
      <c r="J161" s="207"/>
      <c r="K161" s="210"/>
      <c r="L161" s="19"/>
      <c r="M161" s="251" t="n">
        <f aca="false">A58</f>
        <v>12</v>
      </c>
      <c r="N161" s="92" t="e">
        <f aca="false">N97</f>
        <v>#DIV/0!</v>
      </c>
      <c r="O161" s="92"/>
      <c r="P161" s="207"/>
      <c r="Q161" s="210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8.75" hidden="false" customHeight="true" outlineLevel="0" collapsed="false">
      <c r="A162" s="209"/>
      <c r="B162" s="207"/>
      <c r="C162" s="207"/>
      <c r="D162" s="207"/>
      <c r="E162" s="210"/>
      <c r="F162" s="19"/>
      <c r="G162" s="209"/>
      <c r="H162" s="207"/>
      <c r="I162" s="207"/>
      <c r="J162" s="207"/>
      <c r="K162" s="210"/>
      <c r="L162" s="19"/>
      <c r="M162" s="209"/>
      <c r="N162" s="207"/>
      <c r="O162" s="207"/>
      <c r="P162" s="207"/>
      <c r="Q162" s="210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8.75" hidden="false" customHeight="true" outlineLevel="0" collapsed="false">
      <c r="A163" s="252"/>
      <c r="B163" s="253"/>
      <c r="C163" s="253"/>
      <c r="D163" s="253"/>
      <c r="E163" s="254"/>
      <c r="F163" s="19"/>
      <c r="G163" s="252"/>
      <c r="H163" s="253"/>
      <c r="I163" s="253"/>
      <c r="J163" s="253"/>
      <c r="K163" s="254"/>
      <c r="L163" s="19"/>
      <c r="M163" s="209"/>
      <c r="N163" s="207"/>
      <c r="O163" s="207"/>
      <c r="P163" s="207"/>
      <c r="Q163" s="210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8.75" hidden="false" customHeight="true" outlineLevel="0" collapsed="false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209"/>
      <c r="N164" s="207"/>
      <c r="O164" s="207"/>
      <c r="P164" s="207"/>
      <c r="Q164" s="210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8.75" hidden="false" customHeight="true" outlineLevel="0" collapsed="false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209"/>
      <c r="N165" s="207"/>
      <c r="O165" s="207"/>
      <c r="P165" s="207"/>
      <c r="Q165" s="210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8.75" hidden="false" customHeight="true" outlineLevel="0" collapsed="false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209"/>
      <c r="N166" s="207"/>
      <c r="O166" s="207"/>
      <c r="P166" s="207"/>
      <c r="Q166" s="210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8.75" hidden="false" customHeight="true" outlineLevel="0" collapsed="false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209"/>
      <c r="N167" s="207"/>
      <c r="O167" s="207"/>
      <c r="P167" s="207"/>
      <c r="Q167" s="210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8.75" hidden="false" customHeight="true" outlineLevel="0" collapsed="false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252"/>
      <c r="N168" s="253"/>
      <c r="O168" s="253"/>
      <c r="P168" s="253"/>
      <c r="Q168" s="254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8.75" hidden="false" customHeight="true" outlineLevel="0" collapsed="false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8.75" hidden="false" customHeight="true" outlineLevel="0" collapsed="false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8.75" hidden="false" customHeight="true" outlineLevel="0" collapsed="false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8.75" hidden="false" customHeight="true" outlineLevel="0" collapsed="false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8.75" hidden="false" customHeight="true" outlineLevel="0" collapsed="false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8.75" hidden="false" customHeight="true" outlineLevel="0" collapsed="false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8.75" hidden="false" customHeight="true" outlineLevel="0" collapsed="false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8.75" hidden="false" customHeight="true" outlineLevel="0" collapsed="false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8.75" hidden="false" customHeight="true" outlineLevel="0" collapsed="false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8.75" hidden="false" customHeight="true" outlineLevel="0" collapsed="false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8.75" hidden="false" customHeight="true" outlineLevel="0" collapsed="false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8.75" hidden="false" customHeight="true" outlineLevel="0" collapsed="false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8.75" hidden="false" customHeight="true" outlineLevel="0" collapsed="false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8.75" hidden="false" customHeight="true" outlineLevel="0" collapsed="false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8.75" hidden="false" customHeight="true" outlineLevel="0" collapsed="false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8.75" hidden="false" customHeight="true" outlineLevel="0" collapsed="false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8.75" hidden="false" customHeight="true" outlineLevel="0" collapsed="false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8.75" hidden="false" customHeight="true" outlineLevel="0" collapsed="false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8.75" hidden="false" customHeight="true" outlineLevel="0" collapsed="false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8.75" hidden="false" customHeight="true" outlineLevel="0" collapsed="false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8.75" hidden="false" customHeight="true" outlineLevel="0" collapsed="false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8.75" hidden="false" customHeight="true" outlineLevel="0" collapsed="false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8.75" hidden="false" customHeight="true" outlineLevel="0" collapsed="false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8.75" hidden="false" customHeight="true" outlineLevel="0" collapsed="false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8.75" hidden="false" customHeight="true" outlineLevel="0" collapsed="false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8.75" hidden="false" customHeight="true" outlineLevel="0" collapsed="false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8.75" hidden="false" customHeight="true" outlineLevel="0" collapsed="false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8.75" hidden="false" customHeight="true" outlineLevel="0" collapsed="false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8.75" hidden="false" customHeight="true" outlineLevel="0" collapsed="false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8.75" hidden="false" customHeight="true" outlineLevel="0" collapsed="false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8.75" hidden="false" customHeight="true" outlineLevel="0" collapsed="false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8.75" hidden="false" customHeight="true" outlineLevel="0" collapsed="false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8.75" hidden="false" customHeight="true" outlineLevel="0" collapsed="false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8.75" hidden="false" customHeight="true" outlineLevel="0" collapsed="false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8.75" hidden="false" customHeight="true" outlineLevel="0" collapsed="false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8.75" hidden="false" customHeight="true" outlineLevel="0" collapsed="false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8.75" hidden="false" customHeight="true" outlineLevel="0" collapsed="false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8.75" hidden="false" customHeight="true" outlineLevel="0" collapsed="false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8.75" hidden="false" customHeight="true" outlineLevel="0" collapsed="false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8.75" hidden="false" customHeight="true" outlineLevel="0" collapsed="false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8.75" hidden="false" customHeight="true" outlineLevel="0" collapsed="false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8.75" hidden="false" customHeight="true" outlineLevel="0" collapsed="false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8.75" hidden="false" customHeight="true" outlineLevel="0" collapsed="false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8.75" hidden="false" customHeight="true" outlineLevel="0" collapsed="false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8.75" hidden="false" customHeight="true" outlineLevel="0" collapsed="false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8.75" hidden="false" customHeight="true" outlineLevel="0" collapsed="false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8.75" hidden="false" customHeight="true" outlineLevel="0" collapsed="false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8.75" hidden="false" customHeight="true" outlineLevel="0" collapsed="false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8.75" hidden="false" customHeight="true" outlineLevel="0" collapsed="false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8.75" hidden="false" customHeight="true" outlineLevel="0" collapsed="false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8.75" hidden="false" customHeight="true" outlineLevel="0" collapsed="false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8.75" hidden="false" customHeight="true" outlineLevel="0" collapsed="false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8.75" hidden="false" customHeight="true" outlineLevel="0" collapsed="false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18.75" hidden="false" customHeight="true" outlineLevel="0" collapsed="false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18.75" hidden="false" customHeight="true" outlineLevel="0" collapsed="false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18.75" hidden="false" customHeight="true" outlineLevel="0" collapsed="false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18.75" hidden="false" customHeight="true" outlineLevel="0" collapsed="false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18.75" hidden="false" customHeight="true" outlineLevel="0" collapsed="false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customFormat="false" ht="18.75" hidden="false" customHeight="true" outlineLevel="0" collapsed="false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18.75" hidden="false" customHeight="true" outlineLevel="0" collapsed="false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18.75" hidden="false" customHeight="true" outlineLevel="0" collapsed="false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18.75" hidden="false" customHeight="true" outlineLevel="0" collapsed="false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18.75" hidden="false" customHeight="true" outlineLevel="0" collapsed="false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8.75" hidden="false" customHeight="true" outlineLevel="0" collapsed="false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18.75" hidden="false" customHeight="true" outlineLevel="0" collapsed="false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18.75" hidden="false" customHeight="true" outlineLevel="0" collapsed="false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18.75" hidden="false" customHeight="true" outlineLevel="0" collapsed="false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18.75" hidden="false" customHeight="true" outlineLevel="0" collapsed="false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18.75" hidden="false" customHeight="true" outlineLevel="0" collapsed="false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18.75" hidden="false" customHeight="true" outlineLevel="0" collapsed="false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18.75" hidden="false" customHeight="true" outlineLevel="0" collapsed="false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18.75" hidden="false" customHeight="true" outlineLevel="0" collapsed="false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18.75" hidden="false" customHeight="true" outlineLevel="0" collapsed="false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18.75" hidden="false" customHeight="true" outlineLevel="0" collapsed="false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18.75" hidden="false" customHeight="tru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18.75" hidden="false" customHeight="tru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18.75" hidden="false" customHeight="tru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18.75" hidden="false" customHeight="tru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18.75" hidden="false" customHeight="tru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18.75" hidden="false" customHeight="tru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18.75" hidden="false" customHeight="tru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18.75" hidden="false" customHeight="tru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18.75" hidden="false" customHeight="tru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18.75" hidden="false" customHeight="tru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18.75" hidden="false" customHeight="tru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18.75" hidden="false" customHeight="tru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18.75" hidden="false" customHeight="tru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18.75" hidden="false" customHeight="tru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18.75" hidden="false" customHeight="tru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18.75" hidden="false" customHeight="tru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18.75" hidden="false" customHeight="tru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18.75" hidden="false" customHeight="tru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18.75" hidden="false" customHeight="tru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18.75" hidden="false" customHeight="tru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18.75" hidden="false" customHeight="tru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18.75" hidden="false" customHeight="tru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18.75" hidden="false" customHeight="tru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18.75" hidden="false" customHeight="tru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18.75" hidden="false" customHeight="tru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18.75" hidden="false" customHeight="tru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18.75" hidden="false" customHeight="tru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18.75" hidden="false" customHeight="tru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18.75" hidden="false" customHeight="tru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18.75" hidden="false" customHeight="tru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18.75" hidden="false" customHeight="tru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18.75" hidden="false" customHeight="tru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18.75" hidden="false" customHeight="tru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18.75" hidden="false" customHeight="tru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18.75" hidden="false" customHeight="tru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18.75" hidden="false" customHeight="tru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18.75" hidden="false" customHeight="tru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18.75" hidden="false" customHeight="tru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18.75" hidden="false" customHeight="tru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18.75" hidden="false" customHeight="tru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18.75" hidden="false" customHeight="tru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18.75" hidden="false" customHeight="tru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18.75" hidden="false" customHeight="tru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18.75" hidden="false" customHeight="tru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18.75" hidden="false" customHeight="tru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18.75" hidden="false" customHeight="tru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18.75" hidden="false" customHeight="tru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18.75" hidden="false" customHeight="tru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18.75" hidden="false" customHeight="tru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18.75" hidden="false" customHeight="tru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18.75" hidden="false" customHeight="tru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18.75" hidden="false" customHeight="tru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18.75" hidden="false" customHeight="tru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18.75" hidden="false" customHeight="tru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18.75" hidden="false" customHeight="tru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18.75" hidden="false" customHeight="tru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18.75" hidden="false" customHeight="tru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18.75" hidden="false" customHeight="tru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18.75" hidden="false" customHeight="tru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18.75" hidden="false" customHeight="tru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18.75" hidden="false" customHeight="tru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18.75" hidden="false" customHeight="tru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18.75" hidden="false" customHeight="tru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18.75" hidden="false" customHeight="tru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18.75" hidden="false" customHeight="tru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18.75" hidden="false" customHeight="tru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18.75" hidden="false" customHeight="tru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18.75" hidden="false" customHeight="tru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18.75" hidden="false" customHeight="tru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18.75" hidden="false" customHeight="tru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18.75" hidden="false" customHeight="tru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18.75" hidden="false" customHeight="tru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18.75" hidden="false" customHeight="tru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18.75" hidden="false" customHeight="tru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18.75" hidden="false" customHeight="tru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18.75" hidden="false" customHeight="tru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18.75" hidden="false" customHeight="tru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18.75" hidden="false" customHeight="tru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18.75" hidden="false" customHeight="tru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18.75" hidden="false" customHeight="tru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18.75" hidden="false" customHeight="tru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18.75" hidden="false" customHeight="tru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18.75" hidden="false" customHeight="tru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18.75" hidden="false" customHeight="tru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18.75" hidden="false" customHeight="tru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18.75" hidden="false" customHeight="tru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18.75" hidden="false" customHeight="tru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18.75" hidden="false" customHeight="tru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18.75" hidden="false" customHeight="tru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18.75" hidden="false" customHeight="tru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18.75" hidden="false" customHeight="tru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18.75" hidden="false" customHeight="tru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18.75" hidden="false" customHeight="tru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18.75" hidden="false" customHeight="tru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18.75" hidden="false" customHeight="tru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18.75" hidden="false" customHeight="tru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18.75" hidden="false" customHeight="tru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18.75" hidden="false" customHeight="tru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18.75" hidden="false" customHeight="tru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18.75" hidden="false" customHeight="tru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18.75" hidden="false" customHeight="tru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18.75" hidden="false" customHeight="tru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18.75" hidden="false" customHeight="tru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18.75" hidden="false" customHeight="tru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18.75" hidden="false" customHeight="tru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18.75" hidden="false" customHeight="tru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18.75" hidden="false" customHeight="tru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18.75" hidden="false" customHeight="tru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18.75" hidden="false" customHeight="tru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18.75" hidden="false" customHeight="tru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18.75" hidden="false" customHeight="true" outlineLevel="0" collapsed="false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customFormat="false" ht="18.75" hidden="false" customHeight="true" outlineLevel="0" collapsed="false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customFormat="false" ht="18.75" hidden="false" customHeight="tru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customFormat="false" ht="18.75" hidden="false" customHeight="true" outlineLevel="0" collapsed="false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customFormat="false" ht="18.75" hidden="false" customHeight="true" outlineLevel="0" collapsed="false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customFormat="false" ht="18.75" hidden="false" customHeight="true" outlineLevel="0" collapsed="false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customFormat="false" ht="18.75" hidden="false" customHeight="true" outlineLevel="0" collapsed="false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customFormat="false" ht="18.75" hidden="false" customHeight="true" outlineLevel="0" collapsed="false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customFormat="false" ht="18.75" hidden="false" customHeight="true" outlineLevel="0" collapsed="false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equal" showDropDown="false" showErrorMessage="true" showInputMessage="false" sqref="B65" type="list">
      <formula1>'FL (Formula 3) - BCH, PCH, FL'!$Z$103:$Z$111</formula1>
      <formula2>0</formula2>
    </dataValidation>
    <dataValidation allowBlank="true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25" colorId="64" zoomScale="75" zoomScaleNormal="75" zoomScalePageLayoutView="100" workbookViewId="0">
      <selection pane="topLeft" activeCell="D148" activeCellId="0" sqref="D148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396" t="s">
        <v>324</v>
      </c>
      <c r="B1" s="396"/>
      <c r="C1" s="396"/>
      <c r="D1" s="396"/>
      <c r="E1" s="396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8.75" hidden="false" customHeight="true" outlineLevel="0" collapsed="false">
      <c r="A2" s="261"/>
      <c r="B2" s="474" t="s">
        <v>115</v>
      </c>
      <c r="C2" s="474" t="s">
        <v>116</v>
      </c>
      <c r="D2" s="474" t="s">
        <v>117</v>
      </c>
      <c r="E2" s="399" t="s">
        <v>118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8.75" hidden="false" customHeight="true" outlineLevel="0" collapsed="false">
      <c r="A3" s="209" t="s">
        <v>121</v>
      </c>
      <c r="B3" s="475" t="n">
        <v>46854.17</v>
      </c>
      <c r="C3" s="475" t="n">
        <v>0</v>
      </c>
      <c r="D3" s="475" t="n">
        <v>833.33</v>
      </c>
      <c r="E3" s="476" t="n">
        <v>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8.75" hidden="false" customHeight="true" outlineLevel="0" collapsed="false">
      <c r="A4" s="209" t="s">
        <v>122</v>
      </c>
      <c r="B4" s="493" t="n">
        <v>0</v>
      </c>
      <c r="C4" s="502" t="n">
        <v>0</v>
      </c>
      <c r="D4" s="493" t="n">
        <v>0</v>
      </c>
      <c r="E4" s="260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8.75" hidden="false" customHeight="true" outlineLevel="0" collapsed="false">
      <c r="A5" s="209" t="s">
        <v>123</v>
      </c>
      <c r="B5" s="475" t="n">
        <v>0</v>
      </c>
      <c r="C5" s="475" t="n">
        <v>0</v>
      </c>
      <c r="D5" s="475" t="n">
        <v>0</v>
      </c>
      <c r="E5" s="273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8.75" hidden="false" customHeight="true" outlineLevel="0" collapsed="false">
      <c r="A6" s="209" t="s">
        <v>124</v>
      </c>
      <c r="B6" s="79" t="n">
        <f aca="false">(B3*B4/100)+B5</f>
        <v>0</v>
      </c>
      <c r="C6" s="79" t="n">
        <f aca="false">(C3*C4/100)+C5</f>
        <v>0</v>
      </c>
      <c r="D6" s="79" t="n">
        <f aca="false">(D3*D4/100)+D5</f>
        <v>0</v>
      </c>
      <c r="E6" s="273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8.75" hidden="false" customHeight="true" outlineLevel="0" collapsed="false">
      <c r="A7" s="209" t="s">
        <v>125</v>
      </c>
      <c r="B7" s="79" t="n">
        <f aca="false">B3-B6</f>
        <v>46854.17</v>
      </c>
      <c r="C7" s="79" t="n">
        <f aca="false">C3-C6</f>
        <v>0</v>
      </c>
      <c r="D7" s="79" t="n">
        <f aca="false">D3-D6</f>
        <v>833.33</v>
      </c>
      <c r="E7" s="273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8.75" hidden="false" customHeight="true" outlineLevel="0" collapsed="false">
      <c r="A8" s="209"/>
      <c r="B8" s="207"/>
      <c r="C8" s="207"/>
      <c r="D8" s="207"/>
      <c r="E8" s="210"/>
      <c r="F8" s="19"/>
      <c r="G8" s="19"/>
      <c r="H8" s="19"/>
      <c r="I8" s="26" t="s">
        <v>3</v>
      </c>
      <c r="J8" s="27" t="n">
        <f aca="false">E13+E14</f>
        <v>640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8.75" hidden="false" customHeight="true" outlineLevel="0" collapsed="false">
      <c r="A9" s="402" t="s">
        <v>133</v>
      </c>
      <c r="B9" s="402"/>
      <c r="C9" s="402"/>
      <c r="D9" s="402"/>
      <c r="E9" s="494" t="n">
        <f aca="false">B7+C7+D7+E3</f>
        <v>47687.5</v>
      </c>
      <c r="F9" s="19"/>
      <c r="G9" s="19"/>
      <c r="H9" s="19"/>
      <c r="I9" s="27"/>
      <c r="J9" s="27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8.75" hidden="false" customHeight="true" outlineLevel="0" collapsed="false">
      <c r="A10" s="404" t="s">
        <v>134</v>
      </c>
      <c r="B10" s="404"/>
      <c r="C10" s="404"/>
      <c r="D10" s="404"/>
      <c r="E10" s="476" t="n">
        <v>550</v>
      </c>
      <c r="F10" s="19"/>
      <c r="G10" s="19"/>
      <c r="H10" s="19"/>
      <c r="I10" s="32" t="s">
        <v>1</v>
      </c>
      <c r="J10" s="27" t="n">
        <f aca="false">E15-E11-J8</f>
        <v>48237.5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8.75" hidden="false" customHeight="true" outlineLevel="0" collapsed="false">
      <c r="A11" s="404" t="s">
        <v>135</v>
      </c>
      <c r="B11" s="404"/>
      <c r="C11" s="404"/>
      <c r="D11" s="404"/>
      <c r="E11" s="273" t="n">
        <f aca="false">(E9+E10)*20%</f>
        <v>9647.5</v>
      </c>
      <c r="F11" s="19"/>
      <c r="G11" s="19"/>
      <c r="H11" s="19"/>
      <c r="I11" s="27"/>
      <c r="J11" s="27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8.75" hidden="false" customHeight="true" outlineLevel="0" collapsed="false">
      <c r="A12" s="404" t="s">
        <v>136</v>
      </c>
      <c r="B12" s="404"/>
      <c r="C12" s="404"/>
      <c r="D12" s="404"/>
      <c r="E12" s="476" t="n"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8.75" hidden="false" customHeight="true" outlineLevel="0" collapsed="false">
      <c r="A13" s="404" t="s">
        <v>137</v>
      </c>
      <c r="B13" s="404"/>
      <c r="C13" s="404"/>
      <c r="D13" s="404"/>
      <c r="E13" s="476" t="n">
        <v>585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8.75" hidden="false" customHeight="true" outlineLevel="0" collapsed="false">
      <c r="A14" s="404" t="s">
        <v>138</v>
      </c>
      <c r="B14" s="404"/>
      <c r="C14" s="404"/>
      <c r="D14" s="404"/>
      <c r="E14" s="476" t="n">
        <v>55</v>
      </c>
      <c r="F14" s="19"/>
      <c r="G14" s="19" t="s">
        <v>13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8.75" hidden="false" customHeight="true" outlineLevel="0" collapsed="false">
      <c r="A15" s="404" t="s">
        <v>139</v>
      </c>
      <c r="B15" s="404"/>
      <c r="C15" s="404"/>
      <c r="D15" s="404"/>
      <c r="E15" s="495" t="n">
        <f aca="false">(E9+E10+E13+E14+E11)-E12</f>
        <v>58525</v>
      </c>
      <c r="F15" s="19"/>
      <c r="G15" s="205" t="n">
        <f aca="false">E15</f>
        <v>58525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8.75" hidden="false" customHeight="true" outlineLevel="0" collapsed="false">
      <c r="A16" s="404" t="s">
        <v>140</v>
      </c>
      <c r="B16" s="404"/>
      <c r="C16" s="404"/>
      <c r="D16" s="404"/>
      <c r="E16" s="476" t="n">
        <v>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6" t="s">
        <v>15</v>
      </c>
      <c r="Z16" s="19"/>
    </row>
    <row r="17" customFormat="false" ht="18.75" hidden="false" customHeight="true" outlineLevel="0" collapsed="false">
      <c r="A17" s="349" t="s">
        <v>141</v>
      </c>
      <c r="B17" s="349"/>
      <c r="C17" s="349"/>
      <c r="D17" s="349"/>
      <c r="E17" s="210"/>
      <c r="F17" s="19"/>
      <c r="G17" s="19" t="s">
        <v>16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6" t="s">
        <v>17</v>
      </c>
      <c r="Z17" s="19"/>
    </row>
    <row r="18" customFormat="false" ht="18.75" hidden="false" customHeight="true" outlineLevel="0" collapsed="false">
      <c r="A18" s="405" t="s">
        <v>15</v>
      </c>
      <c r="B18" s="406" t="s">
        <v>142</v>
      </c>
      <c r="C18" s="406"/>
      <c r="D18" s="406"/>
      <c r="E18" s="479" t="n">
        <v>0</v>
      </c>
      <c r="F18" s="19"/>
      <c r="G18" s="205" t="n">
        <f aca="false">(B3+C3+E10+D3+E3)*1.2</f>
        <v>57885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6" t="s">
        <v>18</v>
      </c>
      <c r="Z18" s="19"/>
    </row>
    <row r="19" customFormat="false" ht="18.75" hidden="false" customHeight="true" outlineLevel="0" collapsed="false">
      <c r="A19" s="405" t="s">
        <v>17</v>
      </c>
      <c r="B19" s="406" t="s">
        <v>142</v>
      </c>
      <c r="C19" s="406"/>
      <c r="D19" s="406"/>
      <c r="E19" s="479" t="n"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 t="s">
        <v>9</v>
      </c>
    </row>
    <row r="20" customFormat="false" ht="18.75" hidden="false" customHeight="true" outlineLevel="0" collapsed="false">
      <c r="A20" s="405" t="s">
        <v>18</v>
      </c>
      <c r="B20" s="406" t="s">
        <v>142</v>
      </c>
      <c r="C20" s="406"/>
      <c r="D20" s="406"/>
      <c r="E20" s="479" t="n"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 t="s">
        <v>10</v>
      </c>
    </row>
    <row r="21" customFormat="false" ht="18.75" hidden="false" customHeight="true" outlineLevel="0" collapsed="false">
      <c r="A21" s="407" t="s">
        <v>143</v>
      </c>
      <c r="B21" s="407"/>
      <c r="C21" s="407"/>
      <c r="D21" s="407"/>
      <c r="E21" s="480" t="n">
        <f aca="false">E15-((E18*1.2)+(E19*1.2)+(E20*1.2)+(E16*1.2))</f>
        <v>58525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8.75" hidden="false" customHeight="true" outlineLevel="0" collapsed="false">
      <c r="A22" s="207"/>
      <c r="B22" s="207"/>
      <c r="C22" s="207"/>
      <c r="D22" s="207"/>
      <c r="E22" s="207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8.75" hidden="false" customHeight="true" outlineLevel="0" collapsed="false">
      <c r="A23" s="207"/>
      <c r="B23" s="207"/>
      <c r="C23" s="207"/>
      <c r="D23" s="207"/>
      <c r="E23" s="207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45.75" hidden="false" customHeight="true" outlineLevel="0" collapsed="false">
      <c r="A24" s="208" t="s">
        <v>208</v>
      </c>
      <c r="B24" s="208"/>
      <c r="C24" s="208"/>
      <c r="D24" s="208"/>
      <c r="E24" s="20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8.75" hidden="false" customHeight="true" outlineLevel="0" collapsed="false">
      <c r="A25" s="209"/>
      <c r="B25" s="207"/>
      <c r="C25" s="207"/>
      <c r="D25" s="207"/>
      <c r="E25" s="21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8.75" hidden="false" customHeight="true" outlineLevel="0" collapsed="false">
      <c r="A26" s="211" t="s">
        <v>209</v>
      </c>
      <c r="B26" s="211"/>
      <c r="C26" s="211"/>
      <c r="D26" s="211"/>
      <c r="E26" s="211"/>
      <c r="F26" s="19"/>
      <c r="G26" s="212"/>
      <c r="H26" s="212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8.75" hidden="false" customHeight="true" outlineLevel="0" collapsed="false">
      <c r="A27" s="209"/>
      <c r="B27" s="207"/>
      <c r="C27" s="207"/>
      <c r="D27" s="207"/>
      <c r="E27" s="210"/>
      <c r="F27" s="19"/>
      <c r="G27" s="213" t="s">
        <v>46</v>
      </c>
      <c r="H27" s="213" t="n">
        <f aca="false">IF(A32=Z101,1,IF(A32=Z102,1,IF(A32=Z103,3,IF(A32=Z104,6,IF(A32=Z105,9,IF(A32=Z106,12,IF(A32=Z107,3,IF(A32=Z108,6,IF(A32=Z109,9,0)))))))))</f>
        <v>1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8.75" hidden="false" customHeight="true" outlineLevel="0" collapsed="false">
      <c r="A28" s="214" t="s">
        <v>210</v>
      </c>
      <c r="B28" s="215" t="s">
        <v>211</v>
      </c>
      <c r="C28" s="207"/>
      <c r="D28" s="215" t="s">
        <v>212</v>
      </c>
      <c r="E28" s="210"/>
      <c r="F28" s="19"/>
      <c r="G28" s="213" t="s">
        <v>60</v>
      </c>
      <c r="H28" s="213" t="n">
        <f aca="false">IF(A32=Z101,H29-H27,IF(A32=Z102,H29-H27,IF(A32=Z103,H29-1,IF(A32=Z104,H29-1,IF(A32=Z105,H29-1,IF(A32=Z106,H29-1,IF(A32=Z107,H29-H27,IF(A32=Z108,H29-H27,IF(A32=Z109,H29-H27,0)))))))))</f>
        <v>11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8.75" hidden="false" customHeight="true" outlineLevel="0" collapsed="false">
      <c r="A29" s="216" t="s">
        <v>213</v>
      </c>
      <c r="B29" s="217" t="n">
        <v>12345</v>
      </c>
      <c r="C29" s="217"/>
      <c r="D29" s="218" t="n">
        <f aca="true">TODAY()+1</f>
        <v>45008</v>
      </c>
      <c r="E29" s="218"/>
      <c r="F29" s="19"/>
      <c r="G29" s="212" t="s">
        <v>214</v>
      </c>
      <c r="H29" s="212" t="n">
        <f aca="false">B35</f>
        <v>12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8.75" hidden="false" customHeight="true" outlineLevel="0" collapsed="false">
      <c r="A30" s="209"/>
      <c r="B30" s="21"/>
      <c r="C30" s="21"/>
      <c r="D30" s="207"/>
      <c r="E30" s="210"/>
      <c r="F30" s="19"/>
      <c r="G30" s="212" t="s">
        <v>31</v>
      </c>
      <c r="H30" s="212" t="n">
        <f aca="false">D35</f>
        <v>5000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8.75" hidden="false" customHeight="true" outlineLevel="0" collapsed="false">
      <c r="A31" s="214" t="s">
        <v>23</v>
      </c>
      <c r="B31" s="215" t="s">
        <v>215</v>
      </c>
      <c r="C31" s="207"/>
      <c r="D31" s="215" t="s">
        <v>216</v>
      </c>
      <c r="E31" s="210"/>
      <c r="F31" s="19"/>
      <c r="G31" s="212" t="s">
        <v>217</v>
      </c>
      <c r="H31" s="219" t="n">
        <f aca="false">D38</f>
        <v>500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8.75" hidden="false" customHeight="true" outlineLevel="0" collapsed="false">
      <c r="A32" s="216" t="s">
        <v>100</v>
      </c>
      <c r="B32" s="220" t="n">
        <f aca="false">IF(A32=Z101,D38,IF(A32=Z102,D38,IF(A32=Z103,(D38*3),IF(A32=Z104,(D38*6),IF(A32=Z105,(D38*9),IF(A32=Z106,(D38*12),IF(A32=Z107,D38,IF(A32=Z108,D38,IF(A32=Z109,D38,0)))))))))</f>
        <v>500</v>
      </c>
      <c r="C32" s="220"/>
      <c r="D32" s="220" t="n">
        <f aca="false">IF(A32=Z101,A41,IF(A32=Z102,A41,IF(A32=Z103,(A41*3),IF(A32=Z104,(A41*6),IF(A32=Z105,(A41*9),IF(A32=Z106,(A41*12),IF(A32=Z107,A41,IF(A32=Z108,A41,IF(A32=Z109,A41,0)))))))))</f>
        <v>0</v>
      </c>
      <c r="E32" s="220"/>
      <c r="F32" s="19"/>
      <c r="G32" s="221" t="s">
        <v>218</v>
      </c>
      <c r="H32" s="219" t="n">
        <f aca="false">A41</f>
        <v>0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18.75" hidden="false" customHeight="true" outlineLevel="0" collapsed="false">
      <c r="A33" s="222"/>
      <c r="B33" s="174"/>
      <c r="C33" s="223"/>
      <c r="D33" s="176"/>
      <c r="E33" s="210"/>
      <c r="F33" s="19"/>
      <c r="G33" s="221"/>
      <c r="H33" s="212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8.75" hidden="false" customHeight="true" outlineLevel="0" collapsed="false">
      <c r="A34" s="222" t="s">
        <v>220</v>
      </c>
      <c r="B34" s="224" t="s">
        <v>221</v>
      </c>
      <c r="C34" s="223"/>
      <c r="D34" s="64" t="s">
        <v>175</v>
      </c>
      <c r="E34" s="210"/>
      <c r="F34" s="19"/>
      <c r="G34" s="221" t="s">
        <v>222</v>
      </c>
      <c r="H34" s="219" t="n">
        <f aca="false">D41</f>
        <v>12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8.75" hidden="false" customHeight="true" outlineLevel="0" collapsed="false">
      <c r="A35" s="220" t="n">
        <f aca="false">B32+D32</f>
        <v>500</v>
      </c>
      <c r="B35" s="217" t="n">
        <v>12</v>
      </c>
      <c r="C35" s="217"/>
      <c r="D35" s="217" t="n">
        <v>5000</v>
      </c>
      <c r="E35" s="217"/>
      <c r="F35" s="19"/>
      <c r="G35" s="225"/>
      <c r="H35" s="226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8.75" hidden="false" customHeight="true" outlineLevel="0" collapsed="false">
      <c r="A36" s="209"/>
      <c r="B36" s="207"/>
      <c r="C36" s="207"/>
      <c r="D36" s="207"/>
      <c r="E36" s="210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8.75" hidden="false" customHeight="true" outlineLevel="0" collapsed="false">
      <c r="A37" s="214" t="s">
        <v>223</v>
      </c>
      <c r="B37" s="215" t="s">
        <v>224</v>
      </c>
      <c r="C37" s="207"/>
      <c r="D37" s="215" t="s">
        <v>225</v>
      </c>
      <c r="E37" s="210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8.75" hidden="false" customHeight="true" outlineLevel="0" collapsed="false">
      <c r="A38" s="227" t="n">
        <f aca="false">(B35/12)*D35</f>
        <v>5000</v>
      </c>
      <c r="B38" s="217" t="s">
        <v>10</v>
      </c>
      <c r="C38" s="217"/>
      <c r="D38" s="60" t="n">
        <v>500</v>
      </c>
      <c r="E38" s="60"/>
      <c r="F38" s="19"/>
      <c r="G38" s="19"/>
      <c r="H38" s="19"/>
      <c r="I38" s="22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8.75" hidden="false" customHeight="true" outlineLevel="0" collapsed="false">
      <c r="A39" s="229"/>
      <c r="B39" s="223"/>
      <c r="C39" s="223"/>
      <c r="D39" s="207"/>
      <c r="E39" s="210"/>
      <c r="F39" s="19"/>
      <c r="G39" s="19"/>
      <c r="H39" s="228"/>
      <c r="I39" s="228"/>
      <c r="J39" s="22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8.75" hidden="false" customHeight="true" outlineLevel="0" collapsed="false">
      <c r="A40" s="230" t="s">
        <v>227</v>
      </c>
      <c r="B40" s="231" t="s">
        <v>93</v>
      </c>
      <c r="C40" s="223"/>
      <c r="D40" s="232" t="s">
        <v>111</v>
      </c>
      <c r="E40" s="210"/>
      <c r="F40" s="19"/>
      <c r="G40" s="19"/>
      <c r="H40" s="228"/>
      <c r="I40" s="228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8.75" hidden="false" customHeight="true" outlineLevel="0" collapsed="false">
      <c r="A41" s="60" t="n">
        <v>0</v>
      </c>
      <c r="B41" s="233" t="n">
        <f aca="false">IF(B38="YES", D38+A41, D38)</f>
        <v>500</v>
      </c>
      <c r="C41" s="233"/>
      <c r="D41" s="60" t="n">
        <v>12</v>
      </c>
      <c r="E41" s="60"/>
      <c r="F41" s="19"/>
      <c r="G41" s="19"/>
      <c r="H41" s="235"/>
      <c r="I41" s="22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8.75" hidden="false" customHeight="true" outlineLevel="0" collapsed="false">
      <c r="A42" s="229"/>
      <c r="B42" s="223"/>
      <c r="C42" s="223"/>
      <c r="D42" s="223"/>
      <c r="E42" s="236"/>
      <c r="F42" s="19"/>
      <c r="G42" s="237" t="s">
        <v>42</v>
      </c>
      <c r="H42" s="237"/>
      <c r="I42" s="22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8.75" hidden="false" customHeight="true" outlineLevel="0" collapsed="false">
      <c r="A43" s="230" t="s">
        <v>229</v>
      </c>
      <c r="B43" s="231" t="s">
        <v>230</v>
      </c>
      <c r="C43" s="223"/>
      <c r="D43" s="231" t="s">
        <v>235</v>
      </c>
      <c r="E43" s="236"/>
      <c r="F43" s="19"/>
      <c r="G43" s="19" t="s">
        <v>231</v>
      </c>
      <c r="H43" s="228" t="n">
        <f aca="false">(((D38*(B35-1))+B32)/B35) + (D41/B35)</f>
        <v>501</v>
      </c>
      <c r="I43" s="22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8.75" hidden="false" customHeight="true" outlineLevel="0" collapsed="false">
      <c r="A44" s="60" t="n">
        <v>1</v>
      </c>
      <c r="B44" s="60" t="n">
        <v>0</v>
      </c>
      <c r="C44" s="60"/>
      <c r="D44" s="364" t="n">
        <f aca="false">A44+B44</f>
        <v>1</v>
      </c>
      <c r="E44" s="364"/>
      <c r="F44" s="19"/>
      <c r="G44" s="19" t="s">
        <v>233</v>
      </c>
      <c r="H44" s="228" t="n">
        <f aca="false">((A41*(B35-1))+D32)/B35</f>
        <v>0</v>
      </c>
      <c r="I44" s="228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8.75" hidden="false" customHeight="true" outlineLevel="0" collapsed="false">
      <c r="A45" s="229"/>
      <c r="B45" s="223"/>
      <c r="C45" s="223"/>
      <c r="D45" s="223"/>
      <c r="E45" s="236"/>
      <c r="F45" s="19"/>
      <c r="G45" s="19" t="s">
        <v>234</v>
      </c>
      <c r="H45" s="239" t="n">
        <f aca="false">H43+H44</f>
        <v>501</v>
      </c>
      <c r="I45" s="22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8.75" hidden="false" customHeight="true" outlineLevel="0" collapsed="false">
      <c r="A46" s="242" t="s">
        <v>313</v>
      </c>
      <c r="B46" s="223"/>
      <c r="C46" s="223"/>
      <c r="D46" s="223"/>
      <c r="E46" s="236"/>
      <c r="F46" s="19"/>
      <c r="G46" s="19" t="s">
        <v>238</v>
      </c>
      <c r="H46" s="228" t="n">
        <f aca="false">H43</f>
        <v>501</v>
      </c>
      <c r="I46" s="228" t="s">
        <v>4</v>
      </c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8.75" hidden="false" customHeight="true" outlineLevel="0" collapsed="false">
      <c r="A47" s="229"/>
      <c r="B47" s="223"/>
      <c r="C47" s="223"/>
      <c r="D47" s="223"/>
      <c r="E47" s="236"/>
      <c r="F47" s="19"/>
      <c r="G47" s="19"/>
      <c r="H47" s="228"/>
      <c r="I47" s="22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8.75" hidden="false" customHeight="true" outlineLevel="0" collapsed="false">
      <c r="A48" s="243" t="s">
        <v>57</v>
      </c>
      <c r="B48" s="207"/>
      <c r="C48" s="207"/>
      <c r="D48" s="244"/>
      <c r="E48" s="245"/>
      <c r="F48" s="19"/>
      <c r="G48" s="19"/>
      <c r="H48" s="228"/>
      <c r="I48" s="22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8.75" hidden="false" customHeight="true" outlineLevel="0" collapsed="false">
      <c r="A49" s="209"/>
      <c r="B49" s="246"/>
      <c r="C49" s="246"/>
      <c r="D49" s="207"/>
      <c r="E49" s="210"/>
      <c r="F49" s="19"/>
      <c r="G49" s="19"/>
      <c r="H49" s="247"/>
      <c r="I49" s="22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8.75" hidden="false" customHeight="true" outlineLevel="0" collapsed="false">
      <c r="A50" s="248" t="s">
        <v>28</v>
      </c>
      <c r="B50" s="249" t="s">
        <v>33</v>
      </c>
      <c r="C50" s="249"/>
      <c r="D50" s="207"/>
      <c r="E50" s="210"/>
      <c r="F50" s="19"/>
      <c r="G50" s="19"/>
      <c r="H50" s="19"/>
      <c r="I50" s="22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8.75" hidden="false" customHeight="true" outlineLevel="0" collapsed="false">
      <c r="A51" s="248"/>
      <c r="B51" s="250" t="n">
        <f aca="false">H30</f>
        <v>5000</v>
      </c>
      <c r="C51" s="250"/>
      <c r="D51" s="207"/>
      <c r="E51" s="210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8.75" hidden="false" customHeight="true" outlineLevel="0" collapsed="false">
      <c r="A52" s="251" t="n">
        <f aca="false">H29</f>
        <v>12</v>
      </c>
      <c r="B52" s="92" t="n">
        <f aca="false">H45</f>
        <v>501</v>
      </c>
      <c r="C52" s="92"/>
      <c r="D52" s="207"/>
      <c r="E52" s="210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8.75" hidden="false" customHeight="true" outlineLevel="0" collapsed="false">
      <c r="A53" s="209"/>
      <c r="B53" s="207"/>
      <c r="C53" s="207"/>
      <c r="D53" s="207"/>
      <c r="E53" s="210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8.75" hidden="false" customHeight="true" outlineLevel="0" collapsed="false">
      <c r="A54" s="252"/>
      <c r="B54" s="253"/>
      <c r="C54" s="253"/>
      <c r="D54" s="253"/>
      <c r="E54" s="254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8.75" hidden="false" customHeight="true" outlineLevel="0" collapsed="false">
      <c r="A55" s="207"/>
      <c r="B55" s="207"/>
      <c r="C55" s="207"/>
      <c r="D55" s="207"/>
      <c r="E55" s="207"/>
      <c r="F55" s="19"/>
      <c r="G55" s="207"/>
      <c r="H55" s="207"/>
      <c r="I55" s="207"/>
      <c r="J55" s="207"/>
      <c r="K55" s="207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8.75" hidden="false" customHeight="true" outlineLevel="0" collapsed="false">
      <c r="A56" s="255"/>
      <c r="B56" s="256"/>
      <c r="C56" s="256"/>
      <c r="D56" s="256"/>
      <c r="E56" s="257"/>
      <c r="F56" s="19"/>
      <c r="G56" s="255"/>
      <c r="H56" s="256"/>
      <c r="I56" s="256"/>
      <c r="J56" s="256"/>
      <c r="K56" s="257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8.75" hidden="false" customHeight="true" outlineLevel="0" collapsed="false">
      <c r="A57" s="209" t="s">
        <v>46</v>
      </c>
      <c r="B57" s="207" t="n">
        <f aca="false">IF(B99=Z101,1,IF(B99=Z102,1,IF(B99=Z103,3,IF(B99=Z104,6,IF(B99=Z105,9,IF(B99=Z106,12,IF(B99=Z107,3,IF(B99=Z108,6,IF(B99=Z109,9,0)))))))))</f>
        <v>9</v>
      </c>
      <c r="C57" s="207"/>
      <c r="D57" s="207"/>
      <c r="E57" s="210"/>
      <c r="F57" s="19"/>
      <c r="G57" s="209" t="s">
        <v>46</v>
      </c>
      <c r="H57" s="207" t="n">
        <f aca="false">IF(H99=Z101,1,IF(H99=Z102,1,IF(H99=Z103,3,IF(H99=Z104,6,IF(H99=Z105,9,IF(H99=Z106,12,IF(H99=Z107,3,IF(H99=Z108,6,IF(H99=Z109,9,0)))))))))</f>
        <v>1</v>
      </c>
      <c r="I57" s="207"/>
      <c r="J57" s="207"/>
      <c r="K57" s="210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8.75" hidden="false" customHeight="true" outlineLevel="0" collapsed="false">
      <c r="A58" s="209" t="s">
        <v>60</v>
      </c>
      <c r="B58" s="207" t="n">
        <f aca="false">IF(B99=Z101,H29-B57,IF(B99=Z102,H29-B57,IF(B99=Z103,H29-1,IF(B99=Z104,H29-1,IF(B99=Z105,H29-1,IF(B99=Z106,H29-1,IF(B99=Z107,H29-B57,IF(B99=Z108,H29-B57,IF(B99=Z109,H29-B57,0)))))))))</f>
        <v>3</v>
      </c>
      <c r="C58" s="207" t="s">
        <v>314</v>
      </c>
      <c r="D58" s="207"/>
      <c r="E58" s="210"/>
      <c r="F58" s="19"/>
      <c r="G58" s="209" t="s">
        <v>60</v>
      </c>
      <c r="H58" s="207" t="n">
        <f aca="false">IF(H99=Z101,H29-H57,IF(H99=Z102,H29-H57,IF(H99=Z103,H29-1,IF(H99=Z104,H29-1,IF(H99=Z105,H29-1,IF(H99=Z106,H29-1,IF(H99=Z107,H29-H57,IF(H99=Z108,H29-H57,IF(H99=Z109,H29-H57,0)))))))))</f>
        <v>11</v>
      </c>
      <c r="I58" s="207"/>
      <c r="J58" s="207"/>
      <c r="K58" s="210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8.75" hidden="false" customHeight="true" outlineLevel="0" collapsed="false">
      <c r="A59" s="209"/>
      <c r="B59" s="207"/>
      <c r="C59" s="207"/>
      <c r="D59" s="207"/>
      <c r="E59" s="210"/>
      <c r="F59" s="19"/>
      <c r="G59" s="209"/>
      <c r="H59" s="207"/>
      <c r="I59" s="207"/>
      <c r="J59" s="207"/>
      <c r="K59" s="210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8.75" hidden="false" customHeight="true" outlineLevel="0" collapsed="false">
      <c r="A60" s="209"/>
      <c r="B60" s="207"/>
      <c r="C60" s="207"/>
      <c r="D60" s="207"/>
      <c r="E60" s="210"/>
      <c r="F60" s="19"/>
      <c r="G60" s="209"/>
      <c r="H60" s="207"/>
      <c r="I60" s="207"/>
      <c r="J60" s="207"/>
      <c r="K60" s="210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8.75" hidden="false" customHeight="true" outlineLevel="0" collapsed="false">
      <c r="A61" s="209" t="s">
        <v>16</v>
      </c>
      <c r="B61" s="79" t="n">
        <f aca="false">G18</f>
        <v>57885</v>
      </c>
      <c r="C61" s="207"/>
      <c r="D61" s="207"/>
      <c r="E61" s="210"/>
      <c r="F61" s="19"/>
      <c r="G61" s="209" t="s">
        <v>16</v>
      </c>
      <c r="H61" s="79" t="n">
        <f aca="false">G18</f>
        <v>57885</v>
      </c>
      <c r="I61" s="207"/>
      <c r="J61" s="207"/>
      <c r="K61" s="210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8.75" hidden="false" customHeight="true" outlineLevel="0" collapsed="false">
      <c r="A62" s="258" t="s">
        <v>241</v>
      </c>
      <c r="B62" s="259" t="n">
        <v>0.07</v>
      </c>
      <c r="C62" s="207"/>
      <c r="D62" s="207"/>
      <c r="E62" s="210"/>
      <c r="F62" s="19"/>
      <c r="G62" s="258" t="s">
        <v>241</v>
      </c>
      <c r="H62" s="259" t="n">
        <v>0.07</v>
      </c>
      <c r="I62" s="207"/>
      <c r="J62" s="207"/>
      <c r="K62" s="210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8.75" hidden="false" customHeight="true" outlineLevel="0" collapsed="false">
      <c r="A63" s="209" t="s">
        <v>242</v>
      </c>
      <c r="B63" s="260" t="n">
        <f aca="false">B62+(B62*0.25*(H29/12-1))</f>
        <v>0.07</v>
      </c>
      <c r="C63" s="207"/>
      <c r="D63" s="207"/>
      <c r="E63" s="210"/>
      <c r="F63" s="19"/>
      <c r="G63" s="209" t="s">
        <v>242</v>
      </c>
      <c r="H63" s="260" t="n">
        <f aca="false">H62+(H62*0.25*(H29/12-1))</f>
        <v>0.07</v>
      </c>
      <c r="I63" s="207"/>
      <c r="J63" s="207"/>
      <c r="K63" s="210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8.75" hidden="false" customHeight="true" outlineLevel="0" collapsed="false">
      <c r="A64" s="252" t="s">
        <v>65</v>
      </c>
      <c r="B64" s="139" t="n">
        <f aca="false">B61*B63</f>
        <v>4051.95</v>
      </c>
      <c r="C64" s="207" t="n">
        <v>10000</v>
      </c>
      <c r="D64" s="79" t="n">
        <f aca="false">B64</f>
        <v>4051.95</v>
      </c>
      <c r="E64" s="210"/>
      <c r="F64" s="19"/>
      <c r="G64" s="252" t="s">
        <v>65</v>
      </c>
      <c r="H64" s="139" t="n">
        <f aca="false">H61*H63</f>
        <v>4051.95</v>
      </c>
      <c r="I64" s="207"/>
      <c r="J64" s="79" t="n">
        <f aca="false">H64</f>
        <v>4051.95</v>
      </c>
      <c r="K64" s="210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8.75" hidden="false" customHeight="true" outlineLevel="0" collapsed="false">
      <c r="A65" s="258" t="s">
        <v>66</v>
      </c>
      <c r="B65" s="259" t="n">
        <v>0.01</v>
      </c>
      <c r="C65" s="207"/>
      <c r="D65" s="207"/>
      <c r="E65" s="210"/>
      <c r="F65" s="19"/>
      <c r="G65" s="258" t="s">
        <v>66</v>
      </c>
      <c r="H65" s="259" t="n">
        <v>0.005</v>
      </c>
      <c r="I65" s="207"/>
      <c r="J65" s="207"/>
      <c r="K65" s="210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8.75" hidden="false" customHeight="true" outlineLevel="0" collapsed="false">
      <c r="A66" s="209" t="s">
        <v>67</v>
      </c>
      <c r="B66" s="260" t="n">
        <f aca="false">B65+(B65*0.5*(H29/12-1))</f>
        <v>0.01</v>
      </c>
      <c r="C66" s="207"/>
      <c r="D66" s="207"/>
      <c r="E66" s="210"/>
      <c r="F66" s="19"/>
      <c r="G66" s="209" t="s">
        <v>67</v>
      </c>
      <c r="H66" s="260" t="n">
        <f aca="false">H65+(H65*0.5*(H29/12-1))</f>
        <v>0.005</v>
      </c>
      <c r="I66" s="207"/>
      <c r="J66" s="207"/>
      <c r="K66" s="210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8.75" hidden="false" customHeight="true" outlineLevel="0" collapsed="false">
      <c r="A67" s="252" t="s">
        <v>68</v>
      </c>
      <c r="B67" s="139" t="n">
        <f aca="false">B61*B66</f>
        <v>578.85</v>
      </c>
      <c r="C67" s="207"/>
      <c r="D67" s="79"/>
      <c r="E67" s="210"/>
      <c r="F67" s="19"/>
      <c r="G67" s="252" t="s">
        <v>68</v>
      </c>
      <c r="H67" s="139" t="n">
        <f aca="false">H61*H66</f>
        <v>289.425</v>
      </c>
      <c r="I67" s="207"/>
      <c r="J67" s="79"/>
      <c r="K67" s="210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8.75" hidden="false" customHeight="true" outlineLevel="0" collapsed="false">
      <c r="A68" s="258" t="s">
        <v>69</v>
      </c>
      <c r="B68" s="259" t="n">
        <v>0.0075</v>
      </c>
      <c r="C68" s="207"/>
      <c r="D68" s="207"/>
      <c r="E68" s="210"/>
      <c r="F68" s="19"/>
      <c r="G68" s="258" t="s">
        <v>69</v>
      </c>
      <c r="H68" s="259" t="n">
        <v>0.0075</v>
      </c>
      <c r="I68" s="207"/>
      <c r="J68" s="207"/>
      <c r="K68" s="210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8.75" hidden="false" customHeight="true" outlineLevel="0" collapsed="false">
      <c r="A69" s="261" t="s">
        <v>70</v>
      </c>
      <c r="B69" s="262" t="n">
        <v>0.12</v>
      </c>
      <c r="C69" s="207"/>
      <c r="D69" s="207"/>
      <c r="E69" s="210"/>
      <c r="F69" s="19"/>
      <c r="G69" s="261" t="s">
        <v>70</v>
      </c>
      <c r="H69" s="262" t="n">
        <v>0.12</v>
      </c>
      <c r="I69" s="207"/>
      <c r="J69" s="207"/>
      <c r="K69" s="210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18.75" hidden="false" customHeight="true" outlineLevel="0" collapsed="false">
      <c r="A70" s="252" t="s">
        <v>71</v>
      </c>
      <c r="B70" s="263" t="n">
        <f aca="false">B68*(1+B69)</f>
        <v>0.0084</v>
      </c>
      <c r="C70" s="207"/>
      <c r="D70" s="207"/>
      <c r="E70" s="210"/>
      <c r="F70" s="19"/>
      <c r="G70" s="252" t="s">
        <v>71</v>
      </c>
      <c r="H70" s="263" t="n">
        <f aca="false">H68*(1+H69)</f>
        <v>0.0084</v>
      </c>
      <c r="I70" s="207"/>
      <c r="J70" s="207"/>
      <c r="K70" s="210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18.75" hidden="false" customHeight="true" outlineLevel="0" collapsed="false">
      <c r="A71" s="258" t="s">
        <v>72</v>
      </c>
      <c r="B71" s="264" t="n">
        <v>200</v>
      </c>
      <c r="C71" s="207"/>
      <c r="D71" s="207"/>
      <c r="E71" s="210"/>
      <c r="F71" s="19"/>
      <c r="G71" s="258" t="s">
        <v>72</v>
      </c>
      <c r="H71" s="264" t="n">
        <v>160</v>
      </c>
      <c r="I71" s="207"/>
      <c r="J71" s="207"/>
      <c r="K71" s="210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8.75" hidden="false" customHeight="true" outlineLevel="0" collapsed="false">
      <c r="A72" s="261" t="s">
        <v>73</v>
      </c>
      <c r="B72" s="265" t="n">
        <v>5</v>
      </c>
      <c r="C72" s="207"/>
      <c r="D72" s="207"/>
      <c r="E72" s="210"/>
      <c r="F72" s="19"/>
      <c r="G72" s="261" t="s">
        <v>73</v>
      </c>
      <c r="H72" s="265" t="n">
        <v>4.5</v>
      </c>
      <c r="I72" s="207"/>
      <c r="J72" s="207"/>
      <c r="K72" s="210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8.75" hidden="false" customHeight="true" outlineLevel="0" collapsed="false">
      <c r="A73" s="252" t="s">
        <v>74</v>
      </c>
      <c r="B73" s="139" t="n">
        <f aca="false">B72*H29</f>
        <v>60</v>
      </c>
      <c r="C73" s="207"/>
      <c r="D73" s="79" t="n">
        <f aca="false">B73+B71</f>
        <v>260</v>
      </c>
      <c r="E73" s="210"/>
      <c r="F73" s="19"/>
      <c r="G73" s="252" t="s">
        <v>74</v>
      </c>
      <c r="H73" s="139" t="n">
        <f aca="false">H72*H29</f>
        <v>54</v>
      </c>
      <c r="I73" s="207"/>
      <c r="J73" s="79" t="n">
        <f aca="false">H73+H71</f>
        <v>214</v>
      </c>
      <c r="K73" s="210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8.75" hidden="false" customHeight="true" outlineLevel="0" collapsed="false">
      <c r="A74" s="258" t="s">
        <v>243</v>
      </c>
      <c r="B74" s="264" t="n">
        <v>0</v>
      </c>
      <c r="C74" s="207"/>
      <c r="D74" s="207"/>
      <c r="E74" s="210"/>
      <c r="F74" s="19"/>
      <c r="G74" s="258" t="s">
        <v>243</v>
      </c>
      <c r="H74" s="264" t="n">
        <v>150</v>
      </c>
      <c r="I74" s="207"/>
      <c r="J74" s="207"/>
      <c r="K74" s="210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8.75" hidden="false" customHeight="true" outlineLevel="0" collapsed="false">
      <c r="A75" s="261" t="s">
        <v>244</v>
      </c>
      <c r="B75" s="265" t="n">
        <v>0</v>
      </c>
      <c r="C75" s="207" t="n">
        <f aca="false">IF(G18&gt;40000, 325, 0)</f>
        <v>325</v>
      </c>
      <c r="D75" s="207"/>
      <c r="E75" s="210"/>
      <c r="F75" s="19"/>
      <c r="G75" s="261" t="s">
        <v>244</v>
      </c>
      <c r="H75" s="265" t="n">
        <f aca="false">IF(G18&gt;40000, 325, 0)</f>
        <v>325</v>
      </c>
      <c r="I75" s="207"/>
      <c r="J75" s="207"/>
      <c r="K75" s="210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8.75" hidden="false" customHeight="true" outlineLevel="0" collapsed="false">
      <c r="A76" s="252" t="s">
        <v>245</v>
      </c>
      <c r="B76" s="139" t="n">
        <f aca="false">((B74+B75)/12)*(H29-11)</f>
        <v>0</v>
      </c>
      <c r="C76" s="207"/>
      <c r="D76" s="79" t="n">
        <f aca="false">B76</f>
        <v>0</v>
      </c>
      <c r="E76" s="210"/>
      <c r="F76" s="19"/>
      <c r="G76" s="252" t="s">
        <v>245</v>
      </c>
      <c r="H76" s="139" t="n">
        <f aca="false">((H74+H75)/12)*(H29-11)</f>
        <v>39.5833333333333</v>
      </c>
      <c r="I76" s="207"/>
      <c r="J76" s="79" t="n">
        <f aca="false">H76</f>
        <v>39.5833333333333</v>
      </c>
      <c r="K76" s="210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8.75" hidden="false" customHeight="true" outlineLevel="0" collapsed="false">
      <c r="A77" s="258" t="s">
        <v>246</v>
      </c>
      <c r="B77" s="264" t="n">
        <f aca="false">B102/(1-0.1)</f>
        <v>444.444444444444</v>
      </c>
      <c r="C77" s="207"/>
      <c r="D77" s="79" t="n">
        <f aca="false">B77</f>
        <v>444.444444444444</v>
      </c>
      <c r="E77" s="210"/>
      <c r="F77" s="19"/>
      <c r="G77" s="258" t="s">
        <v>246</v>
      </c>
      <c r="H77" s="264" t="n">
        <f aca="false">H102</f>
        <v>1200</v>
      </c>
      <c r="I77" s="207"/>
      <c r="J77" s="79" t="n">
        <f aca="false">H77</f>
        <v>1200</v>
      </c>
      <c r="K77" s="210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8.75" hidden="false" customHeight="true" outlineLevel="0" collapsed="false">
      <c r="A78" s="209" t="s">
        <v>248</v>
      </c>
      <c r="B78" s="273" t="n">
        <f aca="false">D102/(1-0.1)</f>
        <v>222.222222222222</v>
      </c>
      <c r="C78" s="207"/>
      <c r="D78" s="79" t="n">
        <f aca="false">B78</f>
        <v>222.222222222222</v>
      </c>
      <c r="E78" s="210"/>
      <c r="F78" s="19"/>
      <c r="G78" s="209" t="s">
        <v>248</v>
      </c>
      <c r="H78" s="273" t="n">
        <f aca="false">J102</f>
        <v>0</v>
      </c>
      <c r="I78" s="207"/>
      <c r="J78" s="79" t="n">
        <f aca="false">H78</f>
        <v>0</v>
      </c>
      <c r="K78" s="210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8.75" hidden="false" customHeight="true" outlineLevel="0" collapsed="false">
      <c r="A79" s="261" t="s">
        <v>75</v>
      </c>
      <c r="B79" s="265" t="n">
        <v>200</v>
      </c>
      <c r="C79" s="207"/>
      <c r="D79" s="79" t="n">
        <f aca="false">B79</f>
        <v>200</v>
      </c>
      <c r="E79" s="210"/>
      <c r="F79" s="19"/>
      <c r="G79" s="261" t="s">
        <v>75</v>
      </c>
      <c r="H79" s="265" t="n">
        <v>100</v>
      </c>
      <c r="I79" s="207"/>
      <c r="J79" s="79" t="n">
        <f aca="false">H79</f>
        <v>100</v>
      </c>
      <c r="K79" s="210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8.75" hidden="false" customHeight="true" outlineLevel="0" collapsed="false">
      <c r="A80" s="274" t="s">
        <v>76</v>
      </c>
      <c r="B80" s="275" t="n">
        <v>200</v>
      </c>
      <c r="C80" s="207"/>
      <c r="D80" s="79" t="n">
        <f aca="false">B80</f>
        <v>200</v>
      </c>
      <c r="E80" s="210"/>
      <c r="F80" s="19"/>
      <c r="G80" s="274" t="s">
        <v>76</v>
      </c>
      <c r="H80" s="275" t="n">
        <v>100</v>
      </c>
      <c r="I80" s="207"/>
      <c r="J80" s="79" t="n">
        <f aca="false">H80</f>
        <v>100</v>
      </c>
      <c r="K80" s="210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18.75" hidden="false" customHeight="true" outlineLevel="0" collapsed="false">
      <c r="A81" s="276" t="s">
        <v>77</v>
      </c>
      <c r="B81" s="277" t="n">
        <f aca="false">SUM(D64:D80)</f>
        <v>5378.61666666667</v>
      </c>
      <c r="C81" s="207"/>
      <c r="D81" s="207"/>
      <c r="E81" s="210"/>
      <c r="F81" s="19"/>
      <c r="G81" s="276" t="s">
        <v>77</v>
      </c>
      <c r="H81" s="277" t="n">
        <f aca="false">SUM(J64:J80)</f>
        <v>5705.53333333333</v>
      </c>
      <c r="I81" s="207"/>
      <c r="J81" s="207"/>
      <c r="K81" s="210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18.75" hidden="false" customHeight="true" outlineLevel="0" collapsed="false">
      <c r="A82" s="209" t="s">
        <v>78</v>
      </c>
      <c r="B82" s="273" t="n">
        <f aca="false">B81/H29</f>
        <v>448.218055555556</v>
      </c>
      <c r="C82" s="207"/>
      <c r="D82" s="207"/>
      <c r="E82" s="210"/>
      <c r="F82" s="19"/>
      <c r="G82" s="209" t="s">
        <v>78</v>
      </c>
      <c r="H82" s="273" t="n">
        <f aca="false">H81/H29</f>
        <v>475.461111111111</v>
      </c>
      <c r="I82" s="207"/>
      <c r="J82" s="207"/>
      <c r="K82" s="210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8.75" hidden="false" customHeight="true" outlineLevel="0" collapsed="false">
      <c r="A83" s="278" t="s">
        <v>79</v>
      </c>
      <c r="B83" s="279" t="n">
        <f aca="false">H46</f>
        <v>501</v>
      </c>
      <c r="C83" s="207"/>
      <c r="D83" s="207"/>
      <c r="E83" s="210"/>
      <c r="F83" s="19"/>
      <c r="G83" s="278" t="s">
        <v>79</v>
      </c>
      <c r="H83" s="279" t="n">
        <f aca="false">H46</f>
        <v>501</v>
      </c>
      <c r="I83" s="207"/>
      <c r="J83" s="207"/>
      <c r="K83" s="210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18.75" hidden="false" customHeight="true" outlineLevel="0" collapsed="false">
      <c r="A84" s="209"/>
      <c r="B84" s="79"/>
      <c r="C84" s="207"/>
      <c r="D84" s="207"/>
      <c r="E84" s="210"/>
      <c r="F84" s="19"/>
      <c r="G84" s="209"/>
      <c r="H84" s="79"/>
      <c r="I84" s="207"/>
      <c r="J84" s="207"/>
      <c r="K84" s="210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8.75" hidden="false" customHeight="true" outlineLevel="0" collapsed="false">
      <c r="A85" s="255" t="s">
        <v>88</v>
      </c>
      <c r="B85" s="137" t="n">
        <f aca="false">((B83*(H29)+B81))*1.2</f>
        <v>13668.74</v>
      </c>
      <c r="C85" s="207"/>
      <c r="D85" s="207"/>
      <c r="E85" s="210"/>
      <c r="F85" s="19"/>
      <c r="G85" s="255" t="s">
        <v>88</v>
      </c>
      <c r="H85" s="137" t="n">
        <f aca="false">((H83*(H27+H28))+H81)*1.2</f>
        <v>14061.04</v>
      </c>
      <c r="I85" s="207"/>
      <c r="J85" s="207"/>
      <c r="K85" s="210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8.75" hidden="false" customHeight="true" outlineLevel="0" collapsed="false">
      <c r="A86" s="209" t="s">
        <v>89</v>
      </c>
      <c r="B86" s="273" t="n">
        <f aca="false">(((B83*(H29))+B81)/(1-B70))*B70</f>
        <v>96.4917103670835</v>
      </c>
      <c r="C86" s="207"/>
      <c r="D86" s="207"/>
      <c r="E86" s="210"/>
      <c r="F86" s="19"/>
      <c r="G86" s="209" t="s">
        <v>89</v>
      </c>
      <c r="H86" s="273" t="n">
        <f aca="false">(((H83*(H27+H28))+H81)/(1-H70))*H70</f>
        <v>99.2610730133118</v>
      </c>
      <c r="I86" s="207"/>
      <c r="J86" s="207"/>
      <c r="K86" s="210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8.75" hidden="false" customHeight="true" outlineLevel="0" collapsed="false">
      <c r="A87" s="252" t="s">
        <v>90</v>
      </c>
      <c r="B87" s="139" t="n">
        <f aca="false">IF(B110="YES",((B85+B86)-E114),((B85+B86)))</f>
        <v>9765.23171036708</v>
      </c>
      <c r="C87" s="207"/>
      <c r="D87" s="207"/>
      <c r="E87" s="210"/>
      <c r="F87" s="19"/>
      <c r="G87" s="252" t="s">
        <v>90</v>
      </c>
      <c r="H87" s="139" t="n">
        <f aca="false">IF(H110="YES",((H85+H86)-A151-K114),((H85+H86)-A151))</f>
        <v>14060.3110730133</v>
      </c>
      <c r="I87" s="207"/>
      <c r="J87" s="207"/>
      <c r="K87" s="210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8.75" hidden="false" customHeight="true" outlineLevel="0" collapsed="false">
      <c r="A88" s="209"/>
      <c r="B88" s="79"/>
      <c r="C88" s="207"/>
      <c r="D88" s="207"/>
      <c r="E88" s="210"/>
      <c r="F88" s="19"/>
      <c r="G88" s="209"/>
      <c r="H88" s="79"/>
      <c r="I88" s="207"/>
      <c r="J88" s="207"/>
      <c r="K88" s="210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8.75" hidden="false" customHeight="true" outlineLevel="0" collapsed="false">
      <c r="A89" s="276" t="s">
        <v>91</v>
      </c>
      <c r="B89" s="365" t="n">
        <f aca="false">IF(B99=Z102,(((H44*B35)+(H44*B35)*(B105/100))/(B58))*1.2,(((H44*B35)+(H44*B35)*(B105/100))/(B57+B58))*1.2)</f>
        <v>0</v>
      </c>
      <c r="C89" s="207"/>
      <c r="D89" s="207"/>
      <c r="E89" s="210"/>
      <c r="F89" s="19"/>
      <c r="G89" s="276" t="s">
        <v>91</v>
      </c>
      <c r="H89" s="277" t="n">
        <f aca="false">(A41+(A41*H105))*1.2</f>
        <v>0</v>
      </c>
      <c r="I89" s="207"/>
      <c r="J89" s="207"/>
      <c r="K89" s="210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8.75" hidden="false" customHeight="true" outlineLevel="0" collapsed="false">
      <c r="A90" s="281" t="s">
        <v>92</v>
      </c>
      <c r="B90" s="282" t="n">
        <f aca="false">IF(B99=Z102, (B87-D105)/(B58), B87/(B57+B58))</f>
        <v>813.769309197257</v>
      </c>
      <c r="C90" s="207"/>
      <c r="D90" s="207"/>
      <c r="E90" s="210"/>
      <c r="F90" s="19"/>
      <c r="G90" s="281" t="s">
        <v>92</v>
      </c>
      <c r="H90" s="282" t="n">
        <f aca="false">IF(H99=AE98, (H87-J105)/(H58), H87/(H57+H58))</f>
        <v>1171.69258941778</v>
      </c>
      <c r="I90" s="207"/>
      <c r="J90" s="207"/>
      <c r="K90" s="210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8.75" hidden="false" customHeight="true" outlineLevel="0" collapsed="false">
      <c r="A91" s="283" t="s">
        <v>93</v>
      </c>
      <c r="B91" s="284" t="n">
        <f aca="false">IF(A105="YES", B90+B89, B90)</f>
        <v>813.769309197257</v>
      </c>
      <c r="C91" s="207"/>
      <c r="D91" s="207"/>
      <c r="E91" s="210"/>
      <c r="F91" s="19"/>
      <c r="G91" s="283" t="s">
        <v>93</v>
      </c>
      <c r="H91" s="284" t="n">
        <f aca="false">IF(G105="YES", H90+H89, H90)</f>
        <v>1171.69258941778</v>
      </c>
      <c r="I91" s="207"/>
      <c r="J91" s="207"/>
      <c r="K91" s="210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8.75" hidden="false" customHeight="true" outlineLevel="0" collapsed="false">
      <c r="A92" s="252"/>
      <c r="B92" s="253"/>
      <c r="C92" s="253"/>
      <c r="D92" s="253"/>
      <c r="E92" s="254"/>
      <c r="F92" s="19"/>
      <c r="G92" s="252"/>
      <c r="H92" s="253"/>
      <c r="I92" s="253"/>
      <c r="J92" s="253"/>
      <c r="K92" s="254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8.75" hidden="false" customHeight="true" outlineLevel="0" collapsed="false">
      <c r="A93" s="207"/>
      <c r="B93" s="207"/>
      <c r="C93" s="207"/>
      <c r="D93" s="207"/>
      <c r="E93" s="207"/>
      <c r="F93" s="19"/>
      <c r="G93" s="207"/>
      <c r="H93" s="207"/>
      <c r="I93" s="207"/>
      <c r="J93" s="207"/>
      <c r="K93" s="207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46.5" hidden="false" customHeight="true" outlineLevel="0" collapsed="false">
      <c r="A94" s="208" t="s">
        <v>250</v>
      </c>
      <c r="B94" s="208"/>
      <c r="C94" s="208"/>
      <c r="D94" s="208"/>
      <c r="E94" s="208"/>
      <c r="F94" s="19"/>
      <c r="G94" s="208" t="s">
        <v>250</v>
      </c>
      <c r="H94" s="208"/>
      <c r="I94" s="208"/>
      <c r="J94" s="208"/>
      <c r="K94" s="20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8.75" hidden="false" customHeight="true" outlineLevel="0" collapsed="false">
      <c r="A95" s="209"/>
      <c r="B95" s="207"/>
      <c r="C95" s="207"/>
      <c r="D95" s="207"/>
      <c r="E95" s="210"/>
      <c r="F95" s="19"/>
      <c r="G95" s="209"/>
      <c r="H95" s="207"/>
      <c r="I95" s="207"/>
      <c r="J95" s="207"/>
      <c r="K95" s="210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8.75" hidden="false" customHeight="true" outlineLevel="0" collapsed="false">
      <c r="A96" s="211" t="s">
        <v>26</v>
      </c>
      <c r="B96" s="211"/>
      <c r="C96" s="211"/>
      <c r="D96" s="211"/>
      <c r="E96" s="211"/>
      <c r="F96" s="19"/>
      <c r="G96" s="211" t="s">
        <v>26</v>
      </c>
      <c r="H96" s="211"/>
      <c r="I96" s="211"/>
      <c r="J96" s="211"/>
      <c r="K96" s="2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8.75" hidden="false" customHeight="true" outlineLevel="0" collapsed="false">
      <c r="A97" s="209"/>
      <c r="B97" s="207"/>
      <c r="C97" s="207"/>
      <c r="D97" s="207"/>
      <c r="E97" s="210"/>
      <c r="F97" s="19"/>
      <c r="G97" s="209"/>
      <c r="H97" s="207"/>
      <c r="I97" s="207"/>
      <c r="J97" s="207"/>
      <c r="K97" s="210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18.75" hidden="false" customHeight="true" outlineLevel="0" collapsed="false">
      <c r="A98" s="209" t="s">
        <v>98</v>
      </c>
      <c r="B98" s="207" t="s">
        <v>23</v>
      </c>
      <c r="C98" s="207"/>
      <c r="D98" s="207" t="s">
        <v>252</v>
      </c>
      <c r="E98" s="210"/>
      <c r="F98" s="19"/>
      <c r="G98" s="209" t="s">
        <v>98</v>
      </c>
      <c r="H98" s="207" t="s">
        <v>23</v>
      </c>
      <c r="I98" s="207"/>
      <c r="J98" s="207" t="s">
        <v>252</v>
      </c>
      <c r="K98" s="210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18.75" hidden="false" customHeight="true" outlineLevel="0" collapsed="false">
      <c r="A99" s="214" t="s">
        <v>254</v>
      </c>
      <c r="B99" s="286" t="s">
        <v>315</v>
      </c>
      <c r="C99" s="286"/>
      <c r="D99" s="72" t="n">
        <v>1000</v>
      </c>
      <c r="E99" s="72"/>
      <c r="F99" s="19"/>
      <c r="G99" s="214" t="s">
        <v>254</v>
      </c>
      <c r="H99" s="286" t="s">
        <v>100</v>
      </c>
      <c r="I99" s="286"/>
      <c r="J99" s="72" t="n">
        <v>0</v>
      </c>
      <c r="K99" s="72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18.75" hidden="false" customHeight="true" outlineLevel="0" collapsed="false">
      <c r="A100" s="209"/>
      <c r="B100" s="207"/>
      <c r="C100" s="207"/>
      <c r="D100" s="207"/>
      <c r="E100" s="210"/>
      <c r="F100" s="19"/>
      <c r="G100" s="209"/>
      <c r="H100" s="207"/>
      <c r="I100" s="207"/>
      <c r="J100" s="207"/>
      <c r="K100" s="210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 customFormat="false" ht="18.75" hidden="false" customHeight="true" outlineLevel="0" collapsed="false">
      <c r="A101" s="209" t="s">
        <v>259</v>
      </c>
      <c r="B101" s="207" t="s">
        <v>260</v>
      </c>
      <c r="C101" s="207"/>
      <c r="D101" s="207" t="s">
        <v>261</v>
      </c>
      <c r="E101" s="210"/>
      <c r="F101" s="19"/>
      <c r="G101" s="209" t="s">
        <v>259</v>
      </c>
      <c r="H101" s="207" t="s">
        <v>260</v>
      </c>
      <c r="I101" s="207"/>
      <c r="J101" s="207" t="s">
        <v>261</v>
      </c>
      <c r="K101" s="210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 t="s">
        <v>100</v>
      </c>
      <c r="AA101" s="19"/>
    </row>
    <row r="102" customFormat="false" ht="18.75" hidden="false" customHeight="true" outlineLevel="0" collapsed="false">
      <c r="A102" s="288" t="n">
        <f aca="false">199.99*1.2</f>
        <v>239.988</v>
      </c>
      <c r="B102" s="72" t="n">
        <v>400</v>
      </c>
      <c r="C102" s="72"/>
      <c r="D102" s="72" t="n">
        <v>200</v>
      </c>
      <c r="E102" s="72"/>
      <c r="F102" s="19"/>
      <c r="G102" s="288" t="n">
        <f aca="false">199.99*1.2</f>
        <v>239.988</v>
      </c>
      <c r="H102" s="72" t="n">
        <v>1200</v>
      </c>
      <c r="I102" s="72"/>
      <c r="J102" s="72" t="n">
        <v>0</v>
      </c>
      <c r="K102" s="72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 t="s">
        <v>253</v>
      </c>
      <c r="AA102" s="19"/>
    </row>
    <row r="103" customFormat="false" ht="18.75" hidden="false" customHeight="true" outlineLevel="0" collapsed="false">
      <c r="A103" s="209"/>
      <c r="B103" s="207"/>
      <c r="C103" s="207"/>
      <c r="D103" s="207"/>
      <c r="E103" s="210"/>
      <c r="F103" s="19"/>
      <c r="G103" s="209"/>
      <c r="H103" s="207"/>
      <c r="I103" s="207"/>
      <c r="J103" s="207"/>
      <c r="K103" s="210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Z103" s="19" t="s">
        <v>257</v>
      </c>
      <c r="AA103" s="19"/>
    </row>
    <row r="104" customFormat="false" ht="18.75" hidden="false" customHeight="true" outlineLevel="0" collapsed="false">
      <c r="A104" s="214" t="s">
        <v>22</v>
      </c>
      <c r="B104" s="19" t="s">
        <v>101</v>
      </c>
      <c r="C104" s="207"/>
      <c r="D104" s="207" t="s">
        <v>112</v>
      </c>
      <c r="E104" s="210"/>
      <c r="F104" s="19"/>
      <c r="G104" s="214" t="s">
        <v>22</v>
      </c>
      <c r="H104" s="19" t="s">
        <v>101</v>
      </c>
      <c r="I104" s="207"/>
      <c r="J104" s="207" t="s">
        <v>112</v>
      </c>
      <c r="K104" s="210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Z104" s="19" t="s">
        <v>258</v>
      </c>
      <c r="AA104" s="19"/>
    </row>
    <row r="105" customFormat="false" ht="18.75" hidden="false" customHeight="true" outlineLevel="0" collapsed="false">
      <c r="A105" s="216" t="s">
        <v>10</v>
      </c>
      <c r="B105" s="286" t="n">
        <v>0</v>
      </c>
      <c r="C105" s="286"/>
      <c r="D105" s="72" t="s">
        <v>264</v>
      </c>
      <c r="E105" s="72"/>
      <c r="F105" s="19"/>
      <c r="G105" s="216" t="s">
        <v>9</v>
      </c>
      <c r="H105" s="289" t="n">
        <v>0.2</v>
      </c>
      <c r="I105" s="289"/>
      <c r="J105" s="72" t="n">
        <v>0</v>
      </c>
      <c r="K105" s="72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Z105" s="19" t="s">
        <v>262</v>
      </c>
      <c r="AA105" s="19"/>
    </row>
    <row r="106" customFormat="false" ht="18.75" hidden="false" customHeight="true" outlineLevel="0" collapsed="false">
      <c r="A106" s="209"/>
      <c r="B106" s="207"/>
      <c r="C106" s="207"/>
      <c r="D106" s="207"/>
      <c r="E106" s="210"/>
      <c r="F106" s="19"/>
      <c r="G106" s="209"/>
      <c r="H106" s="207"/>
      <c r="I106" s="207"/>
      <c r="J106" s="207"/>
      <c r="K106" s="210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Z106" s="19" t="s">
        <v>256</v>
      </c>
      <c r="AA106" s="19"/>
    </row>
    <row r="107" customFormat="false" ht="18.75" hidden="false" customHeight="true" outlineLevel="0" collapsed="false">
      <c r="A107" s="209"/>
      <c r="B107" s="207"/>
      <c r="C107" s="207"/>
      <c r="D107" s="207"/>
      <c r="E107" s="210"/>
      <c r="F107" s="19"/>
      <c r="G107" s="209"/>
      <c r="H107" s="207"/>
      <c r="I107" s="207"/>
      <c r="J107" s="207"/>
      <c r="K107" s="210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Z107" s="19" t="s">
        <v>255</v>
      </c>
      <c r="AA107" s="19"/>
    </row>
    <row r="108" customFormat="false" ht="18.75" hidden="false" customHeight="true" outlineLevel="0" collapsed="false">
      <c r="A108" s="211" t="s">
        <v>267</v>
      </c>
      <c r="B108" s="211"/>
      <c r="C108" s="211"/>
      <c r="D108" s="211"/>
      <c r="E108" s="211"/>
      <c r="F108" s="19"/>
      <c r="G108" s="211" t="s">
        <v>267</v>
      </c>
      <c r="H108" s="211"/>
      <c r="I108" s="211"/>
      <c r="J108" s="211"/>
      <c r="K108" s="2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Z108" s="19" t="s">
        <v>263</v>
      </c>
      <c r="AA108" s="19"/>
    </row>
    <row r="109" customFormat="false" ht="18.75" hidden="false" customHeight="true" outlineLevel="0" collapsed="false">
      <c r="A109" s="209"/>
      <c r="B109" s="207"/>
      <c r="C109" s="207"/>
      <c r="D109" s="207"/>
      <c r="E109" s="210"/>
      <c r="F109" s="19"/>
      <c r="G109" s="209"/>
      <c r="H109" s="207"/>
      <c r="I109" s="207"/>
      <c r="J109" s="207"/>
      <c r="K109" s="210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Z109" s="19" t="s">
        <v>265</v>
      </c>
    </row>
    <row r="110" customFormat="false" ht="18.75" hidden="false" customHeight="true" outlineLevel="0" collapsed="false">
      <c r="A110" s="209" t="s">
        <v>268</v>
      </c>
      <c r="B110" s="216" t="s">
        <v>9</v>
      </c>
      <c r="C110" s="207"/>
      <c r="D110" s="207"/>
      <c r="E110" s="210"/>
      <c r="F110" s="19"/>
      <c r="G110" s="209" t="s">
        <v>268</v>
      </c>
      <c r="H110" s="216" t="s">
        <v>10</v>
      </c>
      <c r="I110" s="207"/>
      <c r="J110" s="207"/>
      <c r="K110" s="210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Z110" s="19"/>
    </row>
    <row r="111" customFormat="false" ht="18.75" hidden="false" customHeight="true" outlineLevel="0" collapsed="false">
      <c r="A111" s="209"/>
      <c r="B111" s="207"/>
      <c r="C111" s="207"/>
      <c r="D111" s="207"/>
      <c r="E111" s="210"/>
      <c r="F111" s="19"/>
      <c r="G111" s="209"/>
      <c r="H111" s="207"/>
      <c r="I111" s="207"/>
      <c r="J111" s="207"/>
      <c r="K111" s="210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Z111" s="19"/>
    </row>
    <row r="112" customFormat="false" ht="18.75" hidden="false" customHeight="true" outlineLevel="0" collapsed="false">
      <c r="A112" s="209" t="s">
        <v>146</v>
      </c>
      <c r="B112" s="207"/>
      <c r="C112" s="207"/>
      <c r="D112" s="288" t="n">
        <v>10000</v>
      </c>
      <c r="E112" s="72" t="n">
        <v>6000</v>
      </c>
      <c r="F112" s="19"/>
      <c r="G112" s="209" t="s">
        <v>146</v>
      </c>
      <c r="H112" s="207"/>
      <c r="I112" s="207"/>
      <c r="J112" s="288" t="n">
        <v>10000</v>
      </c>
      <c r="K112" s="72" t="n">
        <v>5000</v>
      </c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8.75" hidden="false" customHeight="true" outlineLevel="0" collapsed="false">
      <c r="A113" s="209" t="s">
        <v>147</v>
      </c>
      <c r="B113" s="207"/>
      <c r="C113" s="207"/>
      <c r="D113" s="38" t="n">
        <f aca="false">E113</f>
        <v>2000</v>
      </c>
      <c r="E113" s="72" t="n">
        <v>2000</v>
      </c>
      <c r="F113" s="19"/>
      <c r="G113" s="209" t="s">
        <v>147</v>
      </c>
      <c r="H113" s="207"/>
      <c r="I113" s="207"/>
      <c r="J113" s="38" t="n">
        <f aca="false">K113</f>
        <v>7000</v>
      </c>
      <c r="K113" s="72" t="n">
        <v>7000</v>
      </c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8.75" hidden="false" customHeight="true" outlineLevel="0" collapsed="false">
      <c r="A114" s="209" t="s">
        <v>148</v>
      </c>
      <c r="B114" s="207"/>
      <c r="C114" s="207"/>
      <c r="D114" s="38" t="n">
        <f aca="false">D112-D113</f>
        <v>8000</v>
      </c>
      <c r="E114" s="163" t="n">
        <f aca="false">E112-E113</f>
        <v>4000</v>
      </c>
      <c r="F114" s="19"/>
      <c r="G114" s="209" t="s">
        <v>148</v>
      </c>
      <c r="H114" s="207"/>
      <c r="I114" s="207"/>
      <c r="J114" s="38" t="n">
        <f aca="false">J112-J113</f>
        <v>3000</v>
      </c>
      <c r="K114" s="163" t="n">
        <f aca="false">K112-K113</f>
        <v>-2000</v>
      </c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8.75" hidden="false" customHeight="true" outlineLevel="0" collapsed="false">
      <c r="A115" s="209" t="s">
        <v>149</v>
      </c>
      <c r="B115" s="207"/>
      <c r="C115" s="207"/>
      <c r="D115" s="38" t="n">
        <f aca="false">D114-E114</f>
        <v>4000</v>
      </c>
      <c r="E115" s="210"/>
      <c r="F115" s="19"/>
      <c r="G115" s="209" t="s">
        <v>149</v>
      </c>
      <c r="H115" s="207"/>
      <c r="I115" s="207"/>
      <c r="J115" s="38" t="n">
        <f aca="false">J114-K114</f>
        <v>5000</v>
      </c>
      <c r="K115" s="210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8.75" hidden="false" customHeight="true" outlineLevel="0" collapsed="false">
      <c r="A116" s="209"/>
      <c r="B116" s="207"/>
      <c r="C116" s="207"/>
      <c r="D116" s="207"/>
      <c r="E116" s="210"/>
      <c r="F116" s="19"/>
      <c r="G116" s="209"/>
      <c r="H116" s="207"/>
      <c r="I116" s="207"/>
      <c r="J116" s="207"/>
      <c r="K116" s="210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8.75" hidden="false" customHeight="true" outlineLevel="0" collapsed="false">
      <c r="A117" s="255" t="s">
        <v>108</v>
      </c>
      <c r="B117" s="256"/>
      <c r="C117" s="256"/>
      <c r="D117" s="256"/>
      <c r="E117" s="137" t="n">
        <f aca="false">D99</f>
        <v>1000</v>
      </c>
      <c r="F117" s="19"/>
      <c r="G117" s="255" t="s">
        <v>108</v>
      </c>
      <c r="H117" s="256"/>
      <c r="I117" s="256"/>
      <c r="J117" s="256"/>
      <c r="K117" s="137" t="n">
        <f aca="false">J99</f>
        <v>0</v>
      </c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8.75" hidden="false" customHeight="true" outlineLevel="0" collapsed="false">
      <c r="A118" s="209" t="s">
        <v>152</v>
      </c>
      <c r="B118" s="207"/>
      <c r="C118" s="207"/>
      <c r="D118" s="207"/>
      <c r="E118" s="273" t="n">
        <f aca="false">A102</f>
        <v>239.988</v>
      </c>
      <c r="F118" s="19"/>
      <c r="G118" s="209" t="s">
        <v>152</v>
      </c>
      <c r="H118" s="207"/>
      <c r="I118" s="207"/>
      <c r="J118" s="207"/>
      <c r="K118" s="273" t="n">
        <f aca="false">G102</f>
        <v>239.988</v>
      </c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8.75" hidden="false" customHeight="true" outlineLevel="0" collapsed="false">
      <c r="A119" s="290" t="s">
        <v>269</v>
      </c>
      <c r="B119" s="253"/>
      <c r="C119" s="253"/>
      <c r="D119" s="253"/>
      <c r="E119" s="139" t="n">
        <f aca="false">(E118+E117)-D115</f>
        <v>-2760.012</v>
      </c>
      <c r="F119" s="19"/>
      <c r="G119" s="290" t="s">
        <v>269</v>
      </c>
      <c r="H119" s="253"/>
      <c r="I119" s="253"/>
      <c r="J119" s="253"/>
      <c r="K119" s="139" t="n">
        <f aca="false">(K118+K117)-J115</f>
        <v>-4760.012</v>
      </c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8.75" hidden="false" customHeight="true" outlineLevel="0" collapsed="false">
      <c r="A120" s="209"/>
      <c r="B120" s="207"/>
      <c r="C120" s="207"/>
      <c r="D120" s="207"/>
      <c r="E120" s="210"/>
      <c r="F120" s="19"/>
      <c r="G120" s="209"/>
      <c r="H120" s="207"/>
      <c r="I120" s="207"/>
      <c r="J120" s="207"/>
      <c r="K120" s="210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8.75" hidden="false" customHeight="true" outlineLevel="0" collapsed="false">
      <c r="A121" s="209"/>
      <c r="B121" s="207"/>
      <c r="C121" s="207"/>
      <c r="D121" s="207"/>
      <c r="E121" s="210"/>
      <c r="F121" s="19"/>
      <c r="G121" s="209"/>
      <c r="H121" s="207"/>
      <c r="I121" s="207"/>
      <c r="J121" s="207"/>
      <c r="K121" s="210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8.75" hidden="false" customHeight="true" outlineLevel="0" collapsed="false">
      <c r="A122" s="211" t="s">
        <v>270</v>
      </c>
      <c r="B122" s="211"/>
      <c r="C122" s="211"/>
      <c r="D122" s="211"/>
      <c r="E122" s="211"/>
      <c r="F122" s="19"/>
      <c r="G122" s="211" t="s">
        <v>270</v>
      </c>
      <c r="H122" s="211"/>
      <c r="I122" s="211"/>
      <c r="J122" s="211"/>
      <c r="K122" s="211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8.75" hidden="false" customHeight="true" outlineLevel="0" collapsed="false">
      <c r="A123" s="291"/>
      <c r="B123" s="292"/>
      <c r="C123" s="292"/>
      <c r="D123" s="292"/>
      <c r="E123" s="293"/>
      <c r="F123" s="19"/>
      <c r="G123" s="209"/>
      <c r="H123" s="207"/>
      <c r="I123" s="207"/>
      <c r="J123" s="207"/>
      <c r="K123" s="210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8.75" hidden="false" customHeight="true" outlineLevel="0" collapsed="false">
      <c r="A124" s="294" t="s">
        <v>98</v>
      </c>
      <c r="B124" s="295" t="n">
        <v>0</v>
      </c>
      <c r="C124" s="296"/>
      <c r="D124" s="295" t="s">
        <v>33</v>
      </c>
      <c r="E124" s="297"/>
      <c r="F124" s="19"/>
      <c r="G124" s="209" t="s">
        <v>29</v>
      </c>
      <c r="H124" s="168" t="n">
        <v>0</v>
      </c>
      <c r="I124" s="168"/>
      <c r="J124" s="207"/>
      <c r="K124" s="210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8.75" hidden="false" customHeight="true" outlineLevel="0" collapsed="false">
      <c r="A125" s="298" t="s">
        <v>254</v>
      </c>
      <c r="B125" s="299" t="n">
        <f aca="false">A161</f>
        <v>12</v>
      </c>
      <c r="C125" s="300"/>
      <c r="D125" s="299" t="n">
        <f aca="false">B160</f>
        <v>5000</v>
      </c>
      <c r="E125" s="297"/>
      <c r="F125" s="19"/>
      <c r="G125" s="209"/>
      <c r="H125" s="207"/>
      <c r="I125" s="207"/>
      <c r="J125" s="207"/>
      <c r="K125" s="210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8.75" hidden="false" customHeight="true" outlineLevel="0" collapsed="false">
      <c r="A126" s="294"/>
      <c r="B126" s="295"/>
      <c r="C126" s="295"/>
      <c r="D126" s="295"/>
      <c r="E126" s="297"/>
      <c r="F126" s="19"/>
      <c r="G126" s="209" t="s">
        <v>28</v>
      </c>
      <c r="H126" s="207" t="s">
        <v>33</v>
      </c>
      <c r="I126" s="207"/>
      <c r="J126" s="207" t="s">
        <v>60</v>
      </c>
      <c r="K126" s="210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8.75" hidden="false" customHeight="true" outlineLevel="0" collapsed="false">
      <c r="A127" s="294" t="s">
        <v>92</v>
      </c>
      <c r="B127" s="295" t="s">
        <v>271</v>
      </c>
      <c r="C127" s="296"/>
      <c r="D127" s="295" t="s">
        <v>272</v>
      </c>
      <c r="E127" s="297"/>
      <c r="F127" s="19"/>
      <c r="G127" s="222" t="n">
        <f aca="false">G152</f>
        <v>12</v>
      </c>
      <c r="H127" s="174" t="n">
        <f aca="false">A152</f>
        <v>0</v>
      </c>
      <c r="I127" s="223"/>
      <c r="J127" s="174" t="n">
        <f aca="false">B151</f>
        <v>0</v>
      </c>
      <c r="K127" s="210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8.75" hidden="false" customHeight="true" outlineLevel="0" collapsed="false">
      <c r="A128" s="298" t="n">
        <f aca="false">B90</f>
        <v>813.769309197257</v>
      </c>
      <c r="B128" s="296" t="n">
        <f aca="false">IF(A105="YES", B89, 0)</f>
        <v>0</v>
      </c>
      <c r="C128" s="301"/>
      <c r="D128" s="296" t="n">
        <f aca="false">B91</f>
        <v>813.769309197257</v>
      </c>
      <c r="E128" s="297"/>
      <c r="F128" s="19"/>
      <c r="G128" s="209"/>
      <c r="H128" s="207"/>
      <c r="I128" s="207"/>
      <c r="J128" s="207"/>
      <c r="K128" s="210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8.75" hidden="false" customHeight="true" outlineLevel="0" collapsed="false">
      <c r="A129" s="291"/>
      <c r="B129" s="292"/>
      <c r="C129" s="292"/>
      <c r="D129" s="292"/>
      <c r="E129" s="293"/>
      <c r="F129" s="19"/>
      <c r="G129" s="302" t="s">
        <v>273</v>
      </c>
      <c r="H129" s="303" t="s">
        <v>274</v>
      </c>
      <c r="I129" s="303"/>
      <c r="J129" s="303" t="s">
        <v>275</v>
      </c>
      <c r="K129" s="210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366"/>
    </row>
    <row r="130" customFormat="false" ht="18.75" hidden="false" customHeight="true" outlineLevel="0" collapsed="false">
      <c r="A130" s="304" t="s">
        <v>23</v>
      </c>
      <c r="B130" s="305" t="s">
        <v>277</v>
      </c>
      <c r="C130" s="306"/>
      <c r="D130" s="305" t="s">
        <v>278</v>
      </c>
      <c r="E130" s="293"/>
      <c r="F130" s="19"/>
      <c r="G130" s="307" t="n">
        <f aca="false">H90</f>
        <v>1171.69258941778</v>
      </c>
      <c r="H130" s="172" t="n">
        <f aca="false">IF(G105="YES", H89*H57, 0)</f>
        <v>0</v>
      </c>
      <c r="I130" s="172"/>
      <c r="J130" s="308" t="n">
        <f aca="false">H91</f>
        <v>1171.69258941778</v>
      </c>
      <c r="K130" s="177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366"/>
    </row>
    <row r="131" customFormat="false" ht="18.75" hidden="false" customHeight="true" outlineLevel="0" collapsed="false">
      <c r="A131" s="309" t="str">
        <f aca="false">B99</f>
        <v>Terminal pause with 9 down</v>
      </c>
      <c r="B131" s="201" t="n">
        <f aca="false">B90*B57</f>
        <v>7323.92378277531</v>
      </c>
      <c r="C131" s="292"/>
      <c r="D131" s="201" t="n">
        <f aca="false">IF(A105="YES", B89*B57, 0)</f>
        <v>0</v>
      </c>
      <c r="E131" s="293"/>
      <c r="F131" s="19"/>
      <c r="G131" s="209"/>
      <c r="H131" s="207"/>
      <c r="I131" s="207"/>
      <c r="J131" s="207"/>
      <c r="K131" s="210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366"/>
    </row>
    <row r="132" customFormat="false" ht="18.75" hidden="false" customHeight="true" outlineLevel="0" collapsed="false">
      <c r="A132" s="291"/>
      <c r="B132" s="292"/>
      <c r="C132" s="292"/>
      <c r="D132" s="292"/>
      <c r="E132" s="293"/>
      <c r="F132" s="19"/>
      <c r="G132" s="209" t="s">
        <v>279</v>
      </c>
      <c r="H132" s="207" t="s">
        <v>280</v>
      </c>
      <c r="I132" s="207"/>
      <c r="J132" s="207" t="s">
        <v>281</v>
      </c>
      <c r="K132" s="210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8.75" hidden="false" customHeight="true" outlineLevel="0" collapsed="false">
      <c r="A133" s="123" t="s">
        <v>283</v>
      </c>
      <c r="B133" s="200" t="s">
        <v>284</v>
      </c>
      <c r="C133" s="310"/>
      <c r="D133" s="240" t="s">
        <v>177</v>
      </c>
      <c r="E133" s="293"/>
      <c r="F133" s="19"/>
      <c r="G133" s="69" t="n">
        <f aca="false">H90*H57</f>
        <v>1171.69258941778</v>
      </c>
      <c r="H133" s="37" t="n">
        <f aca="false">IF(G105="YES", H89*H57, 0)</f>
        <v>0</v>
      </c>
      <c r="I133" s="215"/>
      <c r="J133" s="232" t="n">
        <f aca="false">H91*H57</f>
        <v>1171.69258941778</v>
      </c>
      <c r="K133" s="210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8.75" hidden="false" customHeight="true" outlineLevel="0" collapsed="false">
      <c r="A134" s="70" t="n">
        <f aca="false">B91*B57</f>
        <v>7323.92378277531</v>
      </c>
      <c r="B134" s="201" t="n">
        <f aca="false">E114</f>
        <v>4000</v>
      </c>
      <c r="C134" s="292"/>
      <c r="D134" s="311" t="n">
        <f aca="false">B58</f>
        <v>3</v>
      </c>
      <c r="E134" s="293"/>
      <c r="F134" s="19"/>
      <c r="G134" s="209"/>
      <c r="H134" s="207"/>
      <c r="I134" s="207"/>
      <c r="J134" s="207"/>
      <c r="K134" s="210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8.75" hidden="false" customHeight="true" outlineLevel="0" collapsed="false">
      <c r="A135" s="70"/>
      <c r="B135" s="312"/>
      <c r="C135" s="292"/>
      <c r="D135" s="292"/>
      <c r="E135" s="293"/>
      <c r="F135" s="19"/>
      <c r="G135" s="209" t="s">
        <v>285</v>
      </c>
      <c r="H135" s="207" t="s">
        <v>286</v>
      </c>
      <c r="I135" s="207"/>
      <c r="J135" s="207" t="s">
        <v>287</v>
      </c>
      <c r="K135" s="210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8.75" hidden="false" customHeight="true" outlineLevel="0" collapsed="false">
      <c r="A136" s="78" t="s">
        <v>92</v>
      </c>
      <c r="B136" s="313" t="s">
        <v>271</v>
      </c>
      <c r="C136" s="292"/>
      <c r="D136" s="292" t="s">
        <v>272</v>
      </c>
      <c r="E136" s="293"/>
      <c r="F136" s="19"/>
      <c r="G136" s="70" t="n">
        <f aca="false">E15*0.000006</f>
        <v>0.35115</v>
      </c>
      <c r="H136" s="37" t="n">
        <f aca="false">IF(G105="YES", E15*0.000002, 0)</f>
        <v>0.11705</v>
      </c>
      <c r="I136" s="37"/>
      <c r="J136" s="37" t="n">
        <f aca="false">G136+H136</f>
        <v>0.4682</v>
      </c>
      <c r="K136" s="177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8.75" hidden="false" customHeight="true" outlineLevel="0" collapsed="false">
      <c r="A137" s="70" t="n">
        <f aca="false">B90</f>
        <v>813.769309197257</v>
      </c>
      <c r="B137" s="201" t="n">
        <f aca="false">IF(A105="YES", B89, 0)</f>
        <v>0</v>
      </c>
      <c r="C137" s="292"/>
      <c r="D137" s="201" t="n">
        <f aca="false">B91</f>
        <v>813.769309197257</v>
      </c>
      <c r="E137" s="293"/>
      <c r="F137" s="19"/>
      <c r="G137" s="209"/>
      <c r="H137" s="207"/>
      <c r="I137" s="207"/>
      <c r="J137" s="207"/>
      <c r="K137" s="210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8.75" hidden="false" customHeight="true" outlineLevel="0" collapsed="false">
      <c r="A138" s="291"/>
      <c r="B138" s="292"/>
      <c r="C138" s="292"/>
      <c r="D138" s="292"/>
      <c r="E138" s="293"/>
      <c r="F138" s="19"/>
      <c r="G138" s="209" t="s">
        <v>288</v>
      </c>
      <c r="H138" s="207" t="s">
        <v>289</v>
      </c>
      <c r="I138" s="207"/>
      <c r="J138" s="207" t="s">
        <v>290</v>
      </c>
      <c r="K138" s="210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8.75" hidden="false" customHeight="true" outlineLevel="0" collapsed="false">
      <c r="A139" s="314" t="s">
        <v>180</v>
      </c>
      <c r="B139" s="315" t="s">
        <v>291</v>
      </c>
      <c r="C139" s="201"/>
      <c r="D139" s="315" t="s">
        <v>182</v>
      </c>
      <c r="E139" s="177"/>
      <c r="F139" s="19"/>
      <c r="G139" s="70" t="n">
        <f aca="false">G102</f>
        <v>239.988</v>
      </c>
      <c r="H139" s="37" t="n">
        <f aca="false">H67</f>
        <v>289.425</v>
      </c>
      <c r="I139" s="37"/>
      <c r="J139" s="37" t="n">
        <f aca="false">H102*0.9</f>
        <v>1080</v>
      </c>
      <c r="K139" s="177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8.75" hidden="false" customHeight="true" outlineLevel="0" collapsed="false">
      <c r="A140" s="316" t="n">
        <f aca="false">(G18*0.000006)*1.2*100</f>
        <v>41.6772</v>
      </c>
      <c r="B140" s="317" t="n">
        <f aca="false">G18*0.000002 *1.2*100</f>
        <v>13.8924</v>
      </c>
      <c r="C140" s="292"/>
      <c r="D140" s="317" t="n">
        <f aca="false">A140+B140</f>
        <v>55.5696</v>
      </c>
      <c r="E140" s="293"/>
      <c r="F140" s="19"/>
      <c r="G140" s="209"/>
      <c r="H140" s="207"/>
      <c r="I140" s="207"/>
      <c r="J140" s="207"/>
      <c r="K140" s="210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8.75" hidden="false" customHeight="true" outlineLevel="0" collapsed="false">
      <c r="A141" s="316"/>
      <c r="B141" s="317"/>
      <c r="C141" s="292"/>
      <c r="D141" s="317"/>
      <c r="E141" s="293"/>
      <c r="F141" s="19"/>
      <c r="G141" s="209" t="s">
        <v>292</v>
      </c>
      <c r="H141" s="207" t="s">
        <v>293</v>
      </c>
      <c r="I141" s="207"/>
      <c r="J141" s="207" t="s">
        <v>294</v>
      </c>
      <c r="K141" s="210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8.75" hidden="false" customHeight="true" outlineLevel="0" collapsed="false">
      <c r="A142" s="314" t="s">
        <v>295</v>
      </c>
      <c r="B142" s="315" t="s">
        <v>152</v>
      </c>
      <c r="C142" s="201"/>
      <c r="D142" s="315" t="s">
        <v>246</v>
      </c>
      <c r="E142" s="293"/>
      <c r="F142" s="19"/>
      <c r="G142" s="70" t="n">
        <f aca="false">IF(G105="YES", H89*0.1, 0)</f>
        <v>0</v>
      </c>
      <c r="H142" s="37" t="n">
        <f aca="false">G102-100</f>
        <v>139.988</v>
      </c>
      <c r="I142" s="37"/>
      <c r="J142" s="37" t="n">
        <f aca="false">(H139+J139+G142+H142)-H145</f>
        <v>1509.413</v>
      </c>
      <c r="K142" s="177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8.75" hidden="false" customHeight="true" outlineLevel="0" collapsed="false">
      <c r="A143" s="70" t="n">
        <v>0</v>
      </c>
      <c r="B143" s="201" t="n">
        <f aca="false">E118</f>
        <v>239.988</v>
      </c>
      <c r="C143" s="292"/>
      <c r="D143" s="152" t="n">
        <f aca="false">B102</f>
        <v>400</v>
      </c>
      <c r="E143" s="293"/>
      <c r="F143" s="19"/>
      <c r="G143" s="209"/>
      <c r="H143" s="207"/>
      <c r="I143" s="207"/>
      <c r="J143" s="207"/>
      <c r="K143" s="210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8.75" hidden="false" customHeight="true" outlineLevel="0" collapsed="false">
      <c r="A144" s="70"/>
      <c r="B144" s="201"/>
      <c r="C144" s="292"/>
      <c r="D144" s="201"/>
      <c r="E144" s="293"/>
      <c r="F144" s="19"/>
      <c r="G144" s="209" t="s">
        <v>296</v>
      </c>
      <c r="H144" s="207" t="s">
        <v>297</v>
      </c>
      <c r="I144" s="207"/>
      <c r="J144" s="207"/>
      <c r="K144" s="210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8.75" hidden="false" customHeight="true" outlineLevel="0" collapsed="false">
      <c r="A145" s="318" t="s">
        <v>298</v>
      </c>
      <c r="B145" s="319"/>
      <c r="C145" s="320"/>
      <c r="D145" s="319"/>
      <c r="E145" s="321"/>
      <c r="F145" s="19"/>
      <c r="G145" s="70" t="n">
        <f aca="false">IF((1200-H102) &lt;= 0, 0, (1200-H102))</f>
        <v>0</v>
      </c>
      <c r="H145" s="37" t="n">
        <f aca="false">(H139+J139+G142+H142)*(G145/H64)</f>
        <v>0</v>
      </c>
      <c r="I145" s="207"/>
      <c r="J145" s="207"/>
      <c r="K145" s="210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8.75" hidden="false" customHeight="true" outlineLevel="0" collapsed="false">
      <c r="A146" s="316"/>
      <c r="B146" s="317"/>
      <c r="C146" s="292"/>
      <c r="D146" s="317"/>
      <c r="E146" s="293"/>
      <c r="F146" s="19"/>
      <c r="G146" s="209"/>
      <c r="H146" s="207"/>
      <c r="I146" s="207"/>
      <c r="J146" s="207"/>
      <c r="K146" s="210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8.75" hidden="false" customHeight="true" outlineLevel="0" collapsed="false">
      <c r="A147" s="291" t="s">
        <v>299</v>
      </c>
      <c r="B147" s="292" t="s">
        <v>300</v>
      </c>
      <c r="C147" s="292"/>
      <c r="D147" s="292" t="s">
        <v>301</v>
      </c>
      <c r="E147" s="293"/>
      <c r="F147" s="19"/>
      <c r="G147" s="209"/>
      <c r="H147" s="207"/>
      <c r="I147" s="207"/>
      <c r="J147" s="207"/>
      <c r="K147" s="210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8.75" hidden="false" customHeight="true" outlineLevel="0" collapsed="false">
      <c r="A148" s="70" t="n">
        <f aca="false">B67</f>
        <v>578.85</v>
      </c>
      <c r="B148" s="201" t="n">
        <f aca="false">B102</f>
        <v>400</v>
      </c>
      <c r="C148" s="201"/>
      <c r="D148" s="201" t="n">
        <f aca="false">IF(A105="YES", (A38/100*B105)*B125, 0)*0.001</f>
        <v>0</v>
      </c>
      <c r="E148" s="177"/>
      <c r="F148" s="19"/>
      <c r="G148" s="243" t="s">
        <v>304</v>
      </c>
      <c r="H148" s="207"/>
      <c r="I148" s="207"/>
      <c r="J148" s="244"/>
      <c r="K148" s="245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8.75" hidden="false" customHeight="true" outlineLevel="0" collapsed="false">
      <c r="A149" s="291"/>
      <c r="B149" s="292"/>
      <c r="C149" s="292"/>
      <c r="D149" s="292"/>
      <c r="E149" s="293"/>
      <c r="F149" s="19"/>
      <c r="G149" s="209"/>
      <c r="H149" s="246"/>
      <c r="I149" s="246"/>
      <c r="J149" s="207"/>
      <c r="K149" s="210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8.75" hidden="false" customHeight="true" outlineLevel="0" collapsed="false">
      <c r="A150" s="291" t="s">
        <v>305</v>
      </c>
      <c r="B150" s="292" t="s">
        <v>297</v>
      </c>
      <c r="C150" s="292"/>
      <c r="D150" s="292" t="s">
        <v>294</v>
      </c>
      <c r="E150" s="293"/>
      <c r="F150" s="19"/>
      <c r="G150" s="248" t="s">
        <v>28</v>
      </c>
      <c r="H150" s="249" t="s">
        <v>33</v>
      </c>
      <c r="I150" s="249"/>
      <c r="J150" s="207"/>
      <c r="K150" s="210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8.75" hidden="false" customHeight="true" outlineLevel="0" collapsed="false">
      <c r="A151" s="70" t="n">
        <f aca="false">(E118/1.2)-100</f>
        <v>99.99</v>
      </c>
      <c r="B151" s="201" t="n">
        <f aca="false">(A148+B148+D148+A151)*(A143/B64)</f>
        <v>0</v>
      </c>
      <c r="C151" s="201"/>
      <c r="D151" s="201" t="n">
        <f aca="false">(A148+B148+D148+A151)-B151</f>
        <v>1078.84</v>
      </c>
      <c r="E151" s="177"/>
      <c r="F151" s="19"/>
      <c r="G151" s="248"/>
      <c r="H151" s="250" t="n">
        <f aca="false">B51</f>
        <v>5000</v>
      </c>
      <c r="I151" s="250"/>
      <c r="J151" s="207"/>
      <c r="K151" s="210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8.75" hidden="false" customHeight="true" outlineLevel="0" collapsed="false">
      <c r="A152" s="291"/>
      <c r="B152" s="292"/>
      <c r="C152" s="292"/>
      <c r="D152" s="292"/>
      <c r="E152" s="293"/>
      <c r="F152" s="19"/>
      <c r="G152" s="251" t="n">
        <f aca="false">A52</f>
        <v>12</v>
      </c>
      <c r="H152" s="92" t="n">
        <f aca="false">H91</f>
        <v>1171.69258941778</v>
      </c>
      <c r="I152" s="92"/>
      <c r="J152" s="207"/>
      <c r="K152" s="210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8.75" hidden="false" customHeight="true" outlineLevel="0" collapsed="false">
      <c r="A153" s="291" t="s">
        <v>306</v>
      </c>
      <c r="B153" s="292"/>
      <c r="C153" s="292"/>
      <c r="D153" s="292"/>
      <c r="E153" s="293"/>
      <c r="F153" s="19"/>
      <c r="G153" s="209"/>
      <c r="H153" s="207"/>
      <c r="I153" s="207"/>
      <c r="J153" s="207"/>
      <c r="K153" s="210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9.5" hidden="false" customHeight="true" outlineLevel="0" collapsed="false">
      <c r="A154" s="70" t="n">
        <f aca="false">D102</f>
        <v>200</v>
      </c>
      <c r="B154" s="201"/>
      <c r="C154" s="292"/>
      <c r="D154" s="292"/>
      <c r="E154" s="293"/>
      <c r="F154" s="19"/>
      <c r="G154" s="209"/>
      <c r="H154" s="207"/>
      <c r="I154" s="207"/>
      <c r="J154" s="207"/>
      <c r="K154" s="210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8.75" hidden="false" customHeight="true" outlineLevel="0" collapsed="false">
      <c r="A155" s="291"/>
      <c r="B155" s="292"/>
      <c r="C155" s="292"/>
      <c r="D155" s="292"/>
      <c r="E155" s="293"/>
      <c r="F155" s="19"/>
      <c r="G155" s="209"/>
      <c r="H155" s="207"/>
      <c r="I155" s="207"/>
      <c r="J155" s="207"/>
      <c r="K155" s="210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8.75" hidden="false" customHeight="true" outlineLevel="0" collapsed="false">
      <c r="A156" s="291"/>
      <c r="B156" s="292"/>
      <c r="C156" s="292"/>
      <c r="D156" s="292"/>
      <c r="E156" s="293"/>
      <c r="F156" s="19"/>
      <c r="G156" s="209"/>
      <c r="H156" s="207"/>
      <c r="I156" s="207"/>
      <c r="J156" s="207"/>
      <c r="K156" s="210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8.75" hidden="false" customHeight="true" outlineLevel="0" collapsed="false">
      <c r="A157" s="324" t="s">
        <v>304</v>
      </c>
      <c r="B157" s="292"/>
      <c r="C157" s="292"/>
      <c r="D157" s="325"/>
      <c r="E157" s="326"/>
      <c r="F157" s="19"/>
      <c r="G157" s="252"/>
      <c r="H157" s="253"/>
      <c r="I157" s="253"/>
      <c r="J157" s="253"/>
      <c r="K157" s="254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8.75" hidden="false" customHeight="true" outlineLevel="0" collapsed="false">
      <c r="A158" s="291"/>
      <c r="B158" s="327"/>
      <c r="C158" s="327"/>
      <c r="D158" s="292"/>
      <c r="E158" s="293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8.75" hidden="false" customHeight="true" outlineLevel="0" collapsed="false">
      <c r="A159" s="248" t="s">
        <v>28</v>
      </c>
      <c r="B159" s="249" t="s">
        <v>33</v>
      </c>
      <c r="C159" s="249"/>
      <c r="D159" s="292"/>
      <c r="E159" s="293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8.75" hidden="false" customHeight="true" outlineLevel="0" collapsed="false">
      <c r="A160" s="248"/>
      <c r="B160" s="250" t="n">
        <f aca="false">B51</f>
        <v>5000</v>
      </c>
      <c r="C160" s="250"/>
      <c r="D160" s="292"/>
      <c r="E160" s="293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8.75" hidden="false" customHeight="true" outlineLevel="0" collapsed="false">
      <c r="A161" s="251" t="n">
        <f aca="false">A52</f>
        <v>12</v>
      </c>
      <c r="B161" s="92" t="n">
        <f aca="false">B91</f>
        <v>813.769309197257</v>
      </c>
      <c r="C161" s="92"/>
      <c r="D161" s="292"/>
      <c r="E161" s="293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8.75" hidden="false" customHeight="true" outlineLevel="0" collapsed="false">
      <c r="A162" s="291"/>
      <c r="B162" s="292"/>
      <c r="C162" s="292"/>
      <c r="D162" s="292"/>
      <c r="E162" s="293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8.75" hidden="false" customHeight="true" outlineLevel="0" collapsed="false">
      <c r="A163" s="291"/>
      <c r="B163" s="292"/>
      <c r="C163" s="292"/>
      <c r="D163" s="292"/>
      <c r="E163" s="293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8.75" hidden="false" customHeight="true" outlineLevel="0" collapsed="false">
      <c r="A164" s="291"/>
      <c r="B164" s="292"/>
      <c r="C164" s="292"/>
      <c r="D164" s="292"/>
      <c r="E164" s="293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8.75" hidden="false" customHeight="true" outlineLevel="0" collapsed="false">
      <c r="A165" s="328" t="s">
        <v>270</v>
      </c>
      <c r="B165" s="328"/>
      <c r="C165" s="328"/>
      <c r="D165" s="328"/>
      <c r="E165" s="328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8.75" hidden="false" customHeight="true" outlineLevel="0" collapsed="false">
      <c r="A166" s="291"/>
      <c r="B166" s="329"/>
      <c r="C166" s="329"/>
      <c r="D166" s="329"/>
      <c r="E166" s="293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8.75" hidden="false" customHeight="true" outlineLevel="0" collapsed="false">
      <c r="A167" s="294" t="s">
        <v>98</v>
      </c>
      <c r="B167" s="330" t="s">
        <v>174</v>
      </c>
      <c r="C167" s="331"/>
      <c r="D167" s="330" t="s">
        <v>33</v>
      </c>
      <c r="E167" s="297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8.75" hidden="false" customHeight="true" outlineLevel="0" collapsed="false">
      <c r="A168" s="298" t="s">
        <v>254</v>
      </c>
      <c r="B168" s="332" t="n">
        <f aca="false">A161</f>
        <v>12</v>
      </c>
      <c r="C168" s="333"/>
      <c r="D168" s="331" t="n">
        <f aca="false">B160</f>
        <v>5000</v>
      </c>
      <c r="E168" s="297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8.75" hidden="false" customHeight="true" outlineLevel="0" collapsed="false">
      <c r="A169" s="294"/>
      <c r="B169" s="330"/>
      <c r="C169" s="330"/>
      <c r="D169" s="330"/>
      <c r="E169" s="297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8.75" hidden="false" customHeight="true" outlineLevel="0" collapsed="false">
      <c r="A170" s="294" t="s">
        <v>92</v>
      </c>
      <c r="B170" s="330" t="s">
        <v>271</v>
      </c>
      <c r="C170" s="331"/>
      <c r="D170" s="330" t="s">
        <v>272</v>
      </c>
      <c r="E170" s="297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8.75" hidden="false" customHeight="true" outlineLevel="0" collapsed="false">
      <c r="A171" s="298" t="n">
        <f aca="false">B90</f>
        <v>813.769309197257</v>
      </c>
      <c r="B171" s="331" t="n">
        <f aca="false">IF(A105="YES", B89, 0)</f>
        <v>0</v>
      </c>
      <c r="C171" s="334"/>
      <c r="D171" s="331" t="n">
        <f aca="false">B91</f>
        <v>813.769309197257</v>
      </c>
      <c r="E171" s="297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8.75" hidden="false" customHeight="true" outlineLevel="0" collapsed="false">
      <c r="A172" s="291"/>
      <c r="B172" s="329"/>
      <c r="C172" s="329"/>
      <c r="D172" s="329"/>
      <c r="E172" s="293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8.75" hidden="false" customHeight="true" outlineLevel="0" collapsed="false">
      <c r="A173" s="304" t="s">
        <v>23</v>
      </c>
      <c r="B173" s="335" t="s">
        <v>277</v>
      </c>
      <c r="C173" s="223"/>
      <c r="D173" s="335" t="s">
        <v>278</v>
      </c>
      <c r="E173" s="293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8.75" hidden="false" customHeight="true" outlineLevel="0" collapsed="false">
      <c r="A174" s="309" t="str">
        <f aca="false">B99</f>
        <v>Terminal pause with 9 down</v>
      </c>
      <c r="B174" s="37" t="n">
        <f aca="false">B90*B57</f>
        <v>7323.92378277531</v>
      </c>
      <c r="C174" s="329"/>
      <c r="D174" s="37" t="n">
        <f aca="false">IF(A105="YES", B89*B57, 0)</f>
        <v>0</v>
      </c>
      <c r="E174" s="293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8.75" hidden="false" customHeight="true" outlineLevel="0" collapsed="false">
      <c r="A175" s="291"/>
      <c r="B175" s="329"/>
      <c r="C175" s="329"/>
      <c r="D175" s="329"/>
      <c r="E175" s="293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8.75" hidden="false" customHeight="true" outlineLevel="0" collapsed="false">
      <c r="A176" s="123" t="s">
        <v>283</v>
      </c>
      <c r="B176" s="38" t="s">
        <v>284</v>
      </c>
      <c r="C176" s="336"/>
      <c r="D176" s="233" t="s">
        <v>177</v>
      </c>
      <c r="E176" s="293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8.75" hidden="false" customHeight="true" outlineLevel="0" collapsed="false">
      <c r="A177" s="70" t="n">
        <f aca="false">B91*B57</f>
        <v>7323.92378277531</v>
      </c>
      <c r="B177" s="37" t="n">
        <f aca="false">E114</f>
        <v>4000</v>
      </c>
      <c r="C177" s="329"/>
      <c r="D177" s="337" t="n">
        <f aca="false">B58</f>
        <v>3</v>
      </c>
      <c r="E177" s="293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8.75" hidden="false" customHeight="true" outlineLevel="0" collapsed="false">
      <c r="A178" s="70"/>
      <c r="B178" s="338"/>
      <c r="C178" s="329"/>
      <c r="D178" s="329"/>
      <c r="E178" s="293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8.75" hidden="false" customHeight="true" outlineLevel="0" collapsed="false">
      <c r="A179" s="78" t="s">
        <v>92</v>
      </c>
      <c r="B179" s="339" t="s">
        <v>271</v>
      </c>
      <c r="C179" s="329"/>
      <c r="D179" s="329" t="s">
        <v>272</v>
      </c>
      <c r="E179" s="293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8.75" hidden="false" customHeight="true" outlineLevel="0" collapsed="false">
      <c r="A180" s="70" t="n">
        <f aca="false">B90</f>
        <v>813.769309197257</v>
      </c>
      <c r="B180" s="37" t="n">
        <f aca="false">IF(A105="YES", B89, 0)</f>
        <v>0</v>
      </c>
      <c r="C180" s="329"/>
      <c r="D180" s="37" t="n">
        <f aca="false">B91</f>
        <v>813.769309197257</v>
      </c>
      <c r="E180" s="293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8.75" hidden="false" customHeight="true" outlineLevel="0" collapsed="false">
      <c r="A181" s="291"/>
      <c r="B181" s="329"/>
      <c r="C181" s="329"/>
      <c r="D181" s="329"/>
      <c r="E181" s="293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8.75" hidden="false" customHeight="true" outlineLevel="0" collapsed="false">
      <c r="A182" s="314" t="s">
        <v>180</v>
      </c>
      <c r="B182" s="340" t="s">
        <v>291</v>
      </c>
      <c r="C182" s="37"/>
      <c r="D182" s="340" t="s">
        <v>182</v>
      </c>
      <c r="E182" s="177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8.75" hidden="false" customHeight="true" outlineLevel="0" collapsed="false">
      <c r="A183" s="316" t="n">
        <f aca="false">(G18*0.000006)*1.2*100</f>
        <v>41.6772</v>
      </c>
      <c r="B183" s="341" t="n">
        <f aca="false">G18*0.000002 *1.2*100</f>
        <v>13.8924</v>
      </c>
      <c r="C183" s="329"/>
      <c r="D183" s="341" t="n">
        <f aca="false">A183+B183</f>
        <v>55.5696</v>
      </c>
      <c r="E183" s="293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8.75" hidden="false" customHeight="true" outlineLevel="0" collapsed="false">
      <c r="A184" s="316"/>
      <c r="B184" s="341"/>
      <c r="C184" s="329"/>
      <c r="D184" s="341"/>
      <c r="E184" s="293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8.75" hidden="false" customHeight="true" outlineLevel="0" collapsed="false">
      <c r="A185" s="314" t="s">
        <v>295</v>
      </c>
      <c r="B185" s="340" t="s">
        <v>152</v>
      </c>
      <c r="C185" s="37"/>
      <c r="D185" s="340" t="s">
        <v>246</v>
      </c>
      <c r="E185" s="293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8.75" hidden="false" customHeight="true" outlineLevel="0" collapsed="false">
      <c r="A186" s="70" t="n">
        <v>0</v>
      </c>
      <c r="B186" s="37" t="n">
        <f aca="false">E118</f>
        <v>239.988</v>
      </c>
      <c r="C186" s="329"/>
      <c r="D186" s="152" t="n">
        <f aca="false">B102</f>
        <v>400</v>
      </c>
      <c r="E186" s="293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8.75" hidden="false" customHeight="true" outlineLevel="0" collapsed="false">
      <c r="A187" s="70"/>
      <c r="B187" s="37"/>
      <c r="C187" s="329"/>
      <c r="D187" s="37"/>
      <c r="E187" s="293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8.75" hidden="false" customHeight="true" outlineLevel="0" collapsed="false">
      <c r="A188" s="318" t="s">
        <v>298</v>
      </c>
      <c r="B188" s="319"/>
      <c r="C188" s="320"/>
      <c r="D188" s="319"/>
      <c r="E188" s="321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8.75" hidden="false" customHeight="true" outlineLevel="0" collapsed="false">
      <c r="A189" s="316"/>
      <c r="B189" s="341"/>
      <c r="C189" s="329"/>
      <c r="D189" s="341"/>
      <c r="E189" s="293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8.75" hidden="false" customHeight="true" outlineLevel="0" collapsed="false">
      <c r="A190" s="291" t="s">
        <v>299</v>
      </c>
      <c r="B190" s="329" t="s">
        <v>300</v>
      </c>
      <c r="C190" s="329"/>
      <c r="D190" s="329" t="s">
        <v>301</v>
      </c>
      <c r="E190" s="293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8.75" hidden="false" customHeight="true" outlineLevel="0" collapsed="false">
      <c r="A191" s="70" t="n">
        <f aca="false">B67</f>
        <v>578.85</v>
      </c>
      <c r="B191" s="37" t="n">
        <f aca="false">B102</f>
        <v>400</v>
      </c>
      <c r="C191" s="37"/>
      <c r="D191" s="37" t="n">
        <f aca="false">IF(A105="YES", (A38/100*B105)*B125, 0)*0.001</f>
        <v>0</v>
      </c>
      <c r="E191" s="177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8.75" hidden="false" customHeight="true" outlineLevel="0" collapsed="false">
      <c r="A192" s="291"/>
      <c r="B192" s="329"/>
      <c r="C192" s="329"/>
      <c r="D192" s="329"/>
      <c r="E192" s="293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8.75" hidden="false" customHeight="true" outlineLevel="0" collapsed="false">
      <c r="A193" s="291" t="s">
        <v>305</v>
      </c>
      <c r="B193" s="329" t="s">
        <v>297</v>
      </c>
      <c r="C193" s="329"/>
      <c r="D193" s="329" t="s">
        <v>294</v>
      </c>
      <c r="E193" s="293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8.75" hidden="false" customHeight="true" outlineLevel="0" collapsed="false">
      <c r="A194" s="70" t="n">
        <f aca="false">(E118/1.2)-100</f>
        <v>99.99</v>
      </c>
      <c r="B194" s="37" t="n">
        <f aca="false">(A148+B148+D148+A151)*(A143/B64)</f>
        <v>0</v>
      </c>
      <c r="C194" s="37"/>
      <c r="D194" s="37" t="n">
        <f aca="false">(A148+B148+D148+A151)-B151</f>
        <v>1078.84</v>
      </c>
      <c r="E194" s="177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8.75" hidden="false" customHeight="true" outlineLevel="0" collapsed="false">
      <c r="A195" s="291"/>
      <c r="B195" s="329"/>
      <c r="C195" s="329"/>
      <c r="D195" s="329"/>
      <c r="E195" s="293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8.75" hidden="false" customHeight="true" outlineLevel="0" collapsed="false">
      <c r="A196" s="291" t="s">
        <v>306</v>
      </c>
      <c r="B196" s="329"/>
      <c r="C196" s="329"/>
      <c r="D196" s="329"/>
      <c r="E196" s="293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8.75" hidden="false" customHeight="true" outlineLevel="0" collapsed="false">
      <c r="A197" s="70" t="n">
        <f aca="false">D102</f>
        <v>200</v>
      </c>
      <c r="B197" s="37"/>
      <c r="C197" s="329"/>
      <c r="D197" s="329"/>
      <c r="E197" s="293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8.75" hidden="false" customHeight="true" outlineLevel="0" collapsed="false">
      <c r="A198" s="342"/>
      <c r="B198" s="343"/>
      <c r="C198" s="343"/>
      <c r="D198" s="343"/>
      <c r="E198" s="344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8.75" hidden="false" customHeight="true" outlineLevel="0" collapsed="false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8.75" hidden="false" customHeight="true" outlineLevel="0" collapsed="false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8.75" hidden="false" customHeight="true" outlineLevel="0" collapsed="false">
      <c r="A201" s="328" t="s">
        <v>185</v>
      </c>
      <c r="B201" s="328"/>
      <c r="C201" s="328"/>
      <c r="D201" s="328"/>
      <c r="E201" s="328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8.75" hidden="false" customHeight="true" outlineLevel="0" collapsed="false">
      <c r="A202" s="291"/>
      <c r="B202" s="292"/>
      <c r="C202" s="292"/>
      <c r="D202" s="292"/>
      <c r="E202" s="293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8.75" hidden="false" customHeight="true" outlineLevel="0" collapsed="false">
      <c r="A203" s="294" t="s">
        <v>186</v>
      </c>
      <c r="B203" s="345" t="n">
        <f aca="false">B209</f>
        <v>0.065</v>
      </c>
      <c r="C203" s="296" t="s">
        <v>188</v>
      </c>
      <c r="D203" s="346" t="n">
        <f aca="false">D64</f>
        <v>4051.95</v>
      </c>
      <c r="E203" s="297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8.75" hidden="false" customHeight="true" outlineLevel="0" collapsed="false">
      <c r="A204" s="298"/>
      <c r="B204" s="299"/>
      <c r="C204" s="300"/>
      <c r="D204" s="299"/>
      <c r="E204" s="297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8.75" hidden="false" customHeight="true" outlineLevel="0" collapsed="false">
      <c r="A205" s="294" t="s">
        <v>189</v>
      </c>
      <c r="B205" s="296" t="n">
        <f aca="false">B213</f>
        <v>578.85</v>
      </c>
      <c r="C205" s="295" t="s">
        <v>190</v>
      </c>
      <c r="D205" s="346" t="n">
        <f aca="false">B219+E215+B215+B217</f>
        <v>339.99</v>
      </c>
      <c r="E205" s="297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8.75" hidden="false" customHeight="true" outlineLevel="0" collapsed="false">
      <c r="A206" s="294"/>
      <c r="B206" s="347"/>
      <c r="C206" s="296"/>
      <c r="D206" s="295"/>
      <c r="E206" s="297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8.75" hidden="false" customHeight="true" outlineLevel="0" collapsed="false">
      <c r="A207" s="298" t="s">
        <v>191</v>
      </c>
      <c r="B207" s="296" t="n">
        <f aca="false">E217</f>
        <v>3813.09</v>
      </c>
      <c r="C207" s="300"/>
      <c r="D207" s="296"/>
      <c r="E207" s="297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8.75" hidden="false" customHeight="true" outlineLevel="0" collapsed="false">
      <c r="A208" s="291"/>
      <c r="B208" s="313"/>
      <c r="C208" s="292"/>
      <c r="D208" s="292"/>
      <c r="E208" s="293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8.75" hidden="false" customHeight="true" outlineLevel="0" collapsed="false">
      <c r="A209" s="222" t="s">
        <v>186</v>
      </c>
      <c r="B209" s="348" t="n">
        <v>0.065</v>
      </c>
      <c r="C209" s="306"/>
      <c r="D209" s="305"/>
      <c r="E209" s="293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8.75" hidden="false" customHeight="true" outlineLevel="0" collapsed="false">
      <c r="A210" s="349"/>
      <c r="B210" s="200"/>
      <c r="C210" s="292"/>
      <c r="D210" s="201"/>
      <c r="E210" s="293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8.75" hidden="false" customHeight="true" outlineLevel="0" collapsed="false">
      <c r="A211" s="350" t="s">
        <v>188</v>
      </c>
      <c r="B211" s="60" t="n">
        <f aca="false">D64</f>
        <v>4051.95</v>
      </c>
      <c r="C211" s="351" t="s">
        <v>194</v>
      </c>
      <c r="D211" s="292"/>
      <c r="E211" s="352" t="n">
        <f aca="false">B66</f>
        <v>0.01</v>
      </c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8.75" hidden="false" customHeight="true" outlineLevel="0" collapsed="false">
      <c r="A212" s="69"/>
      <c r="B212" s="200"/>
      <c r="C212" s="310"/>
      <c r="D212" s="240"/>
      <c r="E212" s="293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8.75" hidden="false" customHeight="true" outlineLevel="0" collapsed="false">
      <c r="A213" s="70" t="s">
        <v>194</v>
      </c>
      <c r="B213" s="60" t="n">
        <f aca="false">B67</f>
        <v>578.85</v>
      </c>
      <c r="C213" s="310" t="s">
        <v>307</v>
      </c>
      <c r="D213" s="353"/>
      <c r="E213" s="103" t="n">
        <v>0.001</v>
      </c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8.75" hidden="false" customHeight="true" outlineLevel="0" collapsed="false">
      <c r="A214" s="70"/>
      <c r="B214" s="313"/>
      <c r="C214" s="310"/>
      <c r="D214" s="292"/>
      <c r="E214" s="293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8.75" hidden="false" customHeight="true" outlineLevel="0" collapsed="false">
      <c r="A215" s="70" t="s">
        <v>307</v>
      </c>
      <c r="B215" s="233" t="n">
        <f aca="false">B191*E213*100</f>
        <v>40</v>
      </c>
      <c r="C215" s="310" t="s">
        <v>196</v>
      </c>
      <c r="D215" s="292"/>
      <c r="E215" s="20" t="n">
        <f aca="false">A194</f>
        <v>99.99</v>
      </c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8.75" hidden="false" customHeight="true" outlineLevel="0" collapsed="false">
      <c r="A216" s="70"/>
      <c r="B216" s="200"/>
      <c r="C216" s="310"/>
      <c r="D216" s="201"/>
      <c r="E216" s="293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8.75" hidden="false" customHeight="true" outlineLevel="0" collapsed="false">
      <c r="A217" s="350" t="s">
        <v>308</v>
      </c>
      <c r="B217" s="233" t="n">
        <f aca="false">B78-(B78*(E213*100))</f>
        <v>200</v>
      </c>
      <c r="C217" s="310" t="s">
        <v>191</v>
      </c>
      <c r="D217" s="292"/>
      <c r="E217" s="20" t="n">
        <f aca="false">(B211-B205+D205)</f>
        <v>3813.09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8.75" hidden="false" customHeight="true" outlineLevel="0" collapsed="false">
      <c r="A218" s="354"/>
      <c r="B218" s="315"/>
      <c r="C218" s="201"/>
      <c r="D218" s="315"/>
      <c r="E218" s="163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8.75" hidden="false" customHeight="true" outlineLevel="0" collapsed="false">
      <c r="A219" s="354" t="s">
        <v>309</v>
      </c>
      <c r="B219" s="315" t="n">
        <f aca="false">D191/0.1</f>
        <v>0</v>
      </c>
      <c r="C219" s="201"/>
      <c r="D219" s="315"/>
      <c r="E219" s="163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8.75" hidden="false" customHeight="true" outlineLevel="0" collapsed="false">
      <c r="A220" s="354"/>
      <c r="B220" s="315"/>
      <c r="C220" s="201"/>
      <c r="D220" s="315"/>
      <c r="E220" s="163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8.75" hidden="false" customHeight="true" outlineLevel="0" collapsed="false">
      <c r="A221" s="318" t="s">
        <v>310</v>
      </c>
      <c r="B221" s="355"/>
      <c r="C221" s="320"/>
      <c r="D221" s="319"/>
      <c r="E221" s="321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18.75" hidden="false" customHeight="true" outlineLevel="0" collapsed="false">
      <c r="A222" s="316"/>
      <c r="B222" s="356"/>
      <c r="C222" s="292"/>
      <c r="D222" s="317"/>
      <c r="E222" s="293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18.75" hidden="false" customHeight="true" outlineLevel="0" collapsed="false">
      <c r="A223" s="316" t="s">
        <v>198</v>
      </c>
      <c r="B223" s="60" t="n">
        <f aca="false">B71</f>
        <v>200</v>
      </c>
      <c r="C223" s="310" t="s">
        <v>199</v>
      </c>
      <c r="D223" s="317"/>
      <c r="E223" s="150" t="n">
        <f aca="false">B72</f>
        <v>5</v>
      </c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18.75" hidden="false" customHeight="true" outlineLevel="0" collapsed="false">
      <c r="A224" s="316"/>
      <c r="B224" s="356"/>
      <c r="C224" s="310" t="s">
        <v>200</v>
      </c>
      <c r="D224" s="317"/>
      <c r="E224" s="20" t="n">
        <f aca="false">D73</f>
        <v>260</v>
      </c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18.75" hidden="false" customHeight="true" outlineLevel="0" collapsed="false">
      <c r="A225" s="316" t="s">
        <v>201</v>
      </c>
      <c r="B225" s="357" t="n">
        <f aca="false">B68</f>
        <v>0.0075</v>
      </c>
      <c r="C225" s="310" t="s">
        <v>202</v>
      </c>
      <c r="D225" s="317"/>
      <c r="E225" s="352" t="n">
        <f aca="false">B69</f>
        <v>0.12</v>
      </c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18.75" hidden="false" customHeight="true" outlineLevel="0" collapsed="false">
      <c r="A226" s="316"/>
      <c r="B226" s="356"/>
      <c r="C226" s="310" t="s">
        <v>203</v>
      </c>
      <c r="D226" s="317"/>
      <c r="E226" s="20" t="n">
        <f aca="false">B86</f>
        <v>96.4917103670835</v>
      </c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customFormat="false" ht="18.75" hidden="false" customHeight="true" outlineLevel="0" collapsed="false">
      <c r="A227" s="316" t="s">
        <v>204</v>
      </c>
      <c r="B227" s="60" t="n">
        <f aca="false">B79</f>
        <v>200</v>
      </c>
      <c r="C227" s="358" t="s">
        <v>311</v>
      </c>
      <c r="D227" s="359"/>
      <c r="E227" s="150" t="n">
        <f aca="false">B74</f>
        <v>0</v>
      </c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18.75" hidden="false" customHeight="true" outlineLevel="0" collapsed="false">
      <c r="A228" s="350"/>
      <c r="B228" s="313"/>
      <c r="C228" s="358"/>
      <c r="D228" s="360"/>
      <c r="E228" s="361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18.75" hidden="false" customHeight="true" outlineLevel="0" collapsed="false">
      <c r="A229" s="70" t="s">
        <v>205</v>
      </c>
      <c r="B229" s="60" t="n">
        <f aca="false">B80</f>
        <v>200</v>
      </c>
      <c r="C229" s="362" t="s">
        <v>312</v>
      </c>
      <c r="D229" s="362"/>
      <c r="E229" s="150" t="n">
        <f aca="false">B75</f>
        <v>0</v>
      </c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18.75" hidden="false" customHeight="true" outlineLevel="0" collapsed="false">
      <c r="A230" s="291"/>
      <c r="B230" s="292"/>
      <c r="C230" s="292"/>
      <c r="D230" s="292"/>
      <c r="E230" s="293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18.75" hidden="false" customHeight="true" outlineLevel="0" collapsed="false">
      <c r="A231" s="291"/>
      <c r="B231" s="292"/>
      <c r="C231" s="292"/>
      <c r="D231" s="292"/>
      <c r="E231" s="293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8.75" hidden="false" customHeight="true" outlineLevel="0" collapsed="false">
      <c r="A232" s="70"/>
      <c r="B232" s="201"/>
      <c r="C232" s="201"/>
      <c r="D232" s="201"/>
      <c r="E232" s="177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18.75" hidden="false" customHeight="true" outlineLevel="0" collapsed="false">
      <c r="A233" s="291"/>
      <c r="B233" s="292"/>
      <c r="C233" s="292"/>
      <c r="D233" s="292"/>
      <c r="E233" s="293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18.75" hidden="false" customHeight="true" outlineLevel="0" collapsed="false">
      <c r="A234" s="291"/>
      <c r="B234" s="292"/>
      <c r="C234" s="292"/>
      <c r="D234" s="292"/>
      <c r="E234" s="293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18.75" hidden="false" customHeight="true" outlineLevel="0" collapsed="false">
      <c r="A235" s="70"/>
      <c r="B235" s="201"/>
      <c r="C235" s="292"/>
      <c r="D235" s="292"/>
      <c r="E235" s="293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18.75" hidden="false" customHeight="true" outlineLevel="0" collapsed="false">
      <c r="A236" s="342"/>
      <c r="B236" s="343"/>
      <c r="C236" s="343"/>
      <c r="D236" s="343"/>
      <c r="E236" s="344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18.75" hidden="false" customHeight="true" outlineLevel="0" collapsed="false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18.75" hidden="false" customHeight="true" outlineLevel="0" collapsed="false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18.75" hidden="false" customHeight="true" outlineLevel="0" collapsed="false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18.75" hidden="false" customHeight="true" outlineLevel="0" collapsed="false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18.75" hidden="false" customHeight="true" outlineLevel="0" collapsed="false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18.75" hidden="false" customHeight="true" outlineLevel="0" collapsed="false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18.75" hidden="false" customHeight="tru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18.75" hidden="false" customHeight="tru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18.75" hidden="false" customHeight="tru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18.75" hidden="false" customHeight="tru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18.75" hidden="false" customHeight="tru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18.75" hidden="false" customHeight="tru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18.75" hidden="false" customHeight="tru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18.75" hidden="false" customHeight="tru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18.75" hidden="false" customHeight="tru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18.75" hidden="false" customHeight="tru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18.75" hidden="false" customHeight="tru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18.75" hidden="false" customHeight="tru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18.75" hidden="false" customHeight="tru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18.75" hidden="false" customHeight="tru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18.75" hidden="false" customHeight="tru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18.75" hidden="false" customHeight="tru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18.75" hidden="false" customHeight="tru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18.75" hidden="false" customHeight="tru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18.75" hidden="false" customHeight="tru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18.75" hidden="false" customHeight="tru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18.75" hidden="false" customHeight="tru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18.75" hidden="false" customHeight="tru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18.75" hidden="false" customHeight="tru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18.75" hidden="false" customHeight="tru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18.75" hidden="false" customHeight="tru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18.75" hidden="false" customHeight="tru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18.75" hidden="false" customHeight="tru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18.75" hidden="false" customHeight="tru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18.75" hidden="false" customHeight="tru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18.75" hidden="false" customHeight="tru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18.75" hidden="false" customHeight="tru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18.75" hidden="false" customHeight="tru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18.75" hidden="false" customHeight="tru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18.75" hidden="false" customHeight="tru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18.75" hidden="false" customHeight="tru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18.75" hidden="false" customHeight="tru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18.75" hidden="false" customHeight="tru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18.75" hidden="false" customHeight="tru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18.75" hidden="false" customHeight="tru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18.75" hidden="false" customHeight="tru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18.75" hidden="false" customHeight="tru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18.75" hidden="false" customHeight="tru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18.75" hidden="false" customHeight="tru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18.75" hidden="false" customHeight="tru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18.75" hidden="false" customHeight="tru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18.75" hidden="false" customHeight="tru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18.75" hidden="false" customHeight="tru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18.75" hidden="false" customHeight="tru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18.75" hidden="false" customHeight="tru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18.75" hidden="false" customHeight="tru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18.75" hidden="false" customHeight="tru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18.75" hidden="false" customHeight="tru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18.75" hidden="false" customHeight="tru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18.75" hidden="false" customHeight="tru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18.75" hidden="false" customHeight="tru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18.75" hidden="false" customHeight="tru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18.75" hidden="false" customHeight="tru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18.75" hidden="false" customHeight="tru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18.75" hidden="false" customHeight="tru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18.75" hidden="false" customHeight="tru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18.75" hidden="false" customHeight="tru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18.75" hidden="false" customHeight="tru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18.75" hidden="false" customHeight="tru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18.75" hidden="false" customHeight="tru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18.75" hidden="false" customHeight="tru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18.75" hidden="false" customHeight="tru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18.75" hidden="false" customHeight="tru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18.75" hidden="false" customHeight="tru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18.75" hidden="false" customHeight="tru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18.75" hidden="false" customHeight="tru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18.75" hidden="false" customHeight="tru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18.75" hidden="false" customHeight="tru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18.75" hidden="false" customHeight="tru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18.75" hidden="false" customHeight="tru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18.75" hidden="false" customHeight="tru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18.75" hidden="false" customHeight="tru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18.75" hidden="false" customHeight="tru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18.75" hidden="false" customHeight="tru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18.75" hidden="false" customHeight="tru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18.75" hidden="false" customHeight="tru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18.75" hidden="false" customHeight="tru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18.75" hidden="false" customHeight="tru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18.75" hidden="false" customHeight="tru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18.75" hidden="false" customHeight="tru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18.75" hidden="false" customHeight="tru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18.75" hidden="false" customHeight="tru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18.75" hidden="false" customHeight="tru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18.75" hidden="false" customHeight="tru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18.75" hidden="false" customHeight="tru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18.75" hidden="false" customHeight="tru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18.75" hidden="false" customHeight="tru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18.75" hidden="false" customHeight="tru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18.75" hidden="false" customHeight="tru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18.75" hidden="false" customHeight="tru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18.75" hidden="false" customHeight="tru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18.75" hidden="false" customHeight="tru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18.75" hidden="false" customHeight="tru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18.75" hidden="false" customHeight="tru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18.75" hidden="false" customHeight="tru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18.75" hidden="false" customHeight="tru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18.75" hidden="false" customHeight="tru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18.75" hidden="false" customHeight="tru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18.75" hidden="false" customHeight="tru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18.75" hidden="false" customHeight="tru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18.75" hidden="false" customHeight="tru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18.75" hidden="false" customHeight="tru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18.75" hidden="false" customHeight="tru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18.75" hidden="false" customHeight="tru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18.75" hidden="false" customHeight="tru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18.75" hidden="false" customHeight="tru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operator="between" showDropDown="false" showErrorMessage="true" showInputMessage="false" sqref="H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A18:A20" type="list">
      <formula1>#ref!</formula1>
      <formula2>0</formula2>
    </dataValidation>
    <dataValidation allowBlank="true" operator="between" showDropDown="false" showErrorMessage="true" showInputMessage="false" sqref="N99:O99" type="list">
      <formula1>#ref!</formula1>
      <formula2>0</formula2>
    </dataValidation>
    <dataValidation allowBlank="true" operator="between" showDropDown="false" showErrorMessage="true" showInputMessage="false" sqref="B110" type="list">
      <formula1>"NO,YES"</formula1>
      <formula2>0</formula2>
    </dataValidation>
    <dataValidation allowBlank="true" operator="between" showDropDown="false" showErrorMessage="true" showInputMessage="false" sqref="A105" type="list">
      <formula1>"NO,YES"</formula1>
      <formula2>0</formula2>
    </dataValidation>
    <dataValidation allowBlank="true" operator="between" showDropDown="false" showErrorMessage="true" showInputMessage="false" sqref="B38" type="list">
      <formula1>"NO,YES"</formula1>
      <formula2>0</formula2>
    </dataValidation>
    <dataValidation allowBlank="true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99" colorId="64" zoomScale="75" zoomScaleNormal="75" zoomScalePageLayoutView="100" workbookViewId="0">
      <selection pane="topLeft" activeCell="B216" activeCellId="0" sqref="B216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396" t="s">
        <v>324</v>
      </c>
      <c r="B1" s="396"/>
      <c r="C1" s="396"/>
      <c r="D1" s="396"/>
      <c r="E1" s="396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8.75" hidden="false" customHeight="true" outlineLevel="0" collapsed="false">
      <c r="A2" s="261"/>
      <c r="B2" s="474" t="s">
        <v>115</v>
      </c>
      <c r="C2" s="474" t="s">
        <v>116</v>
      </c>
      <c r="D2" s="474" t="s">
        <v>117</v>
      </c>
      <c r="E2" s="399" t="s">
        <v>118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8.75" hidden="false" customHeight="true" outlineLevel="0" collapsed="false">
      <c r="A3" s="209" t="s">
        <v>121</v>
      </c>
      <c r="B3" s="475" t="n">
        <v>46854.17</v>
      </c>
      <c r="C3" s="475" t="n">
        <v>0</v>
      </c>
      <c r="D3" s="475" t="n">
        <v>833.33</v>
      </c>
      <c r="E3" s="476" t="n">
        <v>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8.75" hidden="false" customHeight="true" outlineLevel="0" collapsed="false">
      <c r="A4" s="209" t="s">
        <v>122</v>
      </c>
      <c r="B4" s="493" t="n">
        <v>0</v>
      </c>
      <c r="C4" s="493" t="n">
        <v>0</v>
      </c>
      <c r="D4" s="493" t="n">
        <v>0</v>
      </c>
      <c r="E4" s="260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8.75" hidden="false" customHeight="true" outlineLevel="0" collapsed="false">
      <c r="A5" s="209" t="s">
        <v>123</v>
      </c>
      <c r="B5" s="475" t="n">
        <v>0</v>
      </c>
      <c r="C5" s="475" t="n">
        <v>0</v>
      </c>
      <c r="D5" s="475" t="n">
        <v>0</v>
      </c>
      <c r="E5" s="273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8.75" hidden="false" customHeight="true" outlineLevel="0" collapsed="false">
      <c r="A6" s="209" t="s">
        <v>124</v>
      </c>
      <c r="B6" s="79" t="n">
        <f aca="false">(B3*B4/100)+B5</f>
        <v>0</v>
      </c>
      <c r="C6" s="79" t="n">
        <f aca="false">(C3*C4/100)+C5</f>
        <v>0</v>
      </c>
      <c r="D6" s="79" t="n">
        <f aca="false">(D3*D4/100)+D5</f>
        <v>0</v>
      </c>
      <c r="E6" s="273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8.75" hidden="false" customHeight="true" outlineLevel="0" collapsed="false">
      <c r="A7" s="209" t="s">
        <v>125</v>
      </c>
      <c r="B7" s="79" t="n">
        <f aca="false">B3-B6</f>
        <v>46854.17</v>
      </c>
      <c r="C7" s="79" t="n">
        <f aca="false">C3-C6</f>
        <v>0</v>
      </c>
      <c r="D7" s="79" t="n">
        <f aca="false">D3-D6</f>
        <v>833.33</v>
      </c>
      <c r="E7" s="273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8.75" hidden="false" customHeight="true" outlineLevel="0" collapsed="false">
      <c r="A8" s="209"/>
      <c r="B8" s="207"/>
      <c r="C8" s="207"/>
      <c r="D8" s="207"/>
      <c r="E8" s="210"/>
      <c r="F8" s="19"/>
      <c r="G8" s="19"/>
      <c r="H8" s="19"/>
      <c r="I8" s="26" t="s">
        <v>3</v>
      </c>
      <c r="J8" s="27" t="n">
        <f aca="false">E13+E14</f>
        <v>640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8.75" hidden="false" customHeight="true" outlineLevel="0" collapsed="false">
      <c r="A9" s="402" t="s">
        <v>133</v>
      </c>
      <c r="B9" s="402"/>
      <c r="C9" s="402"/>
      <c r="D9" s="402"/>
      <c r="E9" s="494" t="n">
        <f aca="false">B7+C7+D7+E3</f>
        <v>47687.5</v>
      </c>
      <c r="F9" s="19"/>
      <c r="G9" s="19"/>
      <c r="H9" s="19"/>
      <c r="I9" s="27"/>
      <c r="J9" s="27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8.75" hidden="false" customHeight="true" outlineLevel="0" collapsed="false">
      <c r="A10" s="404" t="s">
        <v>134</v>
      </c>
      <c r="B10" s="404"/>
      <c r="C10" s="404"/>
      <c r="D10" s="404"/>
      <c r="E10" s="476" t="n">
        <v>550</v>
      </c>
      <c r="F10" s="19"/>
      <c r="G10" s="19"/>
      <c r="H10" s="19"/>
      <c r="I10" s="32" t="s">
        <v>1</v>
      </c>
      <c r="J10" s="27" t="n">
        <f aca="false">E15-E11-J8</f>
        <v>48237.5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8.75" hidden="false" customHeight="true" outlineLevel="0" collapsed="false">
      <c r="A11" s="404" t="s">
        <v>135</v>
      </c>
      <c r="B11" s="404"/>
      <c r="C11" s="404"/>
      <c r="D11" s="404"/>
      <c r="E11" s="273" t="n">
        <f aca="false">(E9+E10)*20%</f>
        <v>9647.5</v>
      </c>
      <c r="F11" s="19"/>
      <c r="G11" s="19"/>
      <c r="H11" s="19"/>
      <c r="I11" s="27"/>
      <c r="J11" s="27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8.75" hidden="false" customHeight="true" outlineLevel="0" collapsed="false">
      <c r="A12" s="404" t="s">
        <v>136</v>
      </c>
      <c r="B12" s="404"/>
      <c r="C12" s="404"/>
      <c r="D12" s="404"/>
      <c r="E12" s="476" t="n"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8.75" hidden="false" customHeight="true" outlineLevel="0" collapsed="false">
      <c r="A13" s="404" t="s">
        <v>137</v>
      </c>
      <c r="B13" s="404"/>
      <c r="C13" s="404"/>
      <c r="D13" s="404"/>
      <c r="E13" s="476" t="n">
        <v>585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8.75" hidden="false" customHeight="true" outlineLevel="0" collapsed="false">
      <c r="A14" s="404" t="s">
        <v>138</v>
      </c>
      <c r="B14" s="404"/>
      <c r="C14" s="404"/>
      <c r="D14" s="404"/>
      <c r="E14" s="476" t="n">
        <v>55</v>
      </c>
      <c r="F14" s="19"/>
      <c r="G14" s="19" t="s">
        <v>13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8.75" hidden="false" customHeight="true" outlineLevel="0" collapsed="false">
      <c r="A15" s="404" t="s">
        <v>139</v>
      </c>
      <c r="B15" s="404"/>
      <c r="C15" s="404"/>
      <c r="D15" s="404"/>
      <c r="E15" s="495" t="n">
        <f aca="false">(E9+E10+E13+E14+E11)-E12</f>
        <v>58525</v>
      </c>
      <c r="F15" s="19"/>
      <c r="G15" s="205" t="n">
        <f aca="false">E15</f>
        <v>58525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8.75" hidden="false" customHeight="true" outlineLevel="0" collapsed="false">
      <c r="A16" s="404" t="s">
        <v>140</v>
      </c>
      <c r="B16" s="404"/>
      <c r="C16" s="404"/>
      <c r="D16" s="404"/>
      <c r="E16" s="476" t="n">
        <v>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6" t="s">
        <v>15</v>
      </c>
      <c r="Z16" s="19"/>
    </row>
    <row r="17" customFormat="false" ht="18.75" hidden="false" customHeight="true" outlineLevel="0" collapsed="false">
      <c r="A17" s="349" t="s">
        <v>141</v>
      </c>
      <c r="B17" s="349"/>
      <c r="C17" s="349"/>
      <c r="D17" s="349"/>
      <c r="E17" s="210"/>
      <c r="F17" s="19"/>
      <c r="G17" s="19" t="s">
        <v>16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6" t="s">
        <v>17</v>
      </c>
      <c r="Z17" s="19"/>
    </row>
    <row r="18" customFormat="false" ht="18.75" hidden="false" customHeight="true" outlineLevel="0" collapsed="false">
      <c r="A18" s="405" t="s">
        <v>15</v>
      </c>
      <c r="B18" s="406" t="s">
        <v>142</v>
      </c>
      <c r="C18" s="406"/>
      <c r="D18" s="406"/>
      <c r="E18" s="479" t="n">
        <v>0</v>
      </c>
      <c r="F18" s="19"/>
      <c r="G18" s="205" t="n">
        <f aca="false">(B3+C3+E10+D3+E3)*1.2</f>
        <v>57885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6" t="s">
        <v>18</v>
      </c>
      <c r="Z18" s="19"/>
    </row>
    <row r="19" customFormat="false" ht="18.75" hidden="false" customHeight="true" outlineLevel="0" collapsed="false">
      <c r="A19" s="405" t="s">
        <v>17</v>
      </c>
      <c r="B19" s="406" t="s">
        <v>142</v>
      </c>
      <c r="C19" s="406"/>
      <c r="D19" s="406"/>
      <c r="E19" s="479" t="n"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 t="s">
        <v>9</v>
      </c>
    </row>
    <row r="20" customFormat="false" ht="18.75" hidden="false" customHeight="true" outlineLevel="0" collapsed="false">
      <c r="A20" s="405" t="s">
        <v>18</v>
      </c>
      <c r="B20" s="406" t="s">
        <v>142</v>
      </c>
      <c r="C20" s="406"/>
      <c r="D20" s="406"/>
      <c r="E20" s="479" t="n"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 t="s">
        <v>10</v>
      </c>
    </row>
    <row r="21" customFormat="false" ht="18.75" hidden="false" customHeight="true" outlineLevel="0" collapsed="false">
      <c r="A21" s="407" t="s">
        <v>143</v>
      </c>
      <c r="B21" s="407"/>
      <c r="C21" s="407"/>
      <c r="D21" s="407"/>
      <c r="E21" s="480" t="n">
        <f aca="false">E15-((E18*1.2)+(E19*1.2)+(E20*1.2)+(E16*1.2))</f>
        <v>58525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8.75" hidden="false" customHeight="true" outlineLevel="0" collapsed="false">
      <c r="A22" s="207"/>
      <c r="B22" s="207"/>
      <c r="C22" s="207"/>
      <c r="D22" s="207"/>
      <c r="E22" s="207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8.75" hidden="false" customHeight="true" outlineLevel="0" collapsed="false">
      <c r="A23" s="207"/>
      <c r="B23" s="207"/>
      <c r="C23" s="207"/>
      <c r="D23" s="207"/>
      <c r="E23" s="207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45.75" hidden="false" customHeight="true" outlineLevel="0" collapsed="false">
      <c r="A24" s="208" t="s">
        <v>208</v>
      </c>
      <c r="B24" s="208"/>
      <c r="C24" s="208"/>
      <c r="D24" s="208"/>
      <c r="E24" s="20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8.75" hidden="false" customHeight="true" outlineLevel="0" collapsed="false">
      <c r="A25" s="209"/>
      <c r="B25" s="207"/>
      <c r="C25" s="207"/>
      <c r="D25" s="207"/>
      <c r="E25" s="21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8.75" hidden="false" customHeight="true" outlineLevel="0" collapsed="false">
      <c r="A26" s="211" t="s">
        <v>209</v>
      </c>
      <c r="B26" s="211"/>
      <c r="C26" s="211"/>
      <c r="D26" s="211"/>
      <c r="E26" s="211"/>
      <c r="F26" s="19"/>
      <c r="G26" s="212"/>
      <c r="H26" s="212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8.75" hidden="false" customHeight="true" outlineLevel="0" collapsed="false">
      <c r="A27" s="209"/>
      <c r="B27" s="207"/>
      <c r="C27" s="207"/>
      <c r="D27" s="207"/>
      <c r="E27" s="210"/>
      <c r="F27" s="19"/>
      <c r="G27" s="213" t="s">
        <v>46</v>
      </c>
      <c r="H27" s="213" t="n">
        <f aca="false">IF(A32=Z101,1,IF(A32=Z102,1,IF(A32=Z103,3,IF(A32=Z104,6,IF(A32=Z105,9,IF(A32=Z106,12,IF(A32=Z107,3,IF(A32=Z108,6,IF(A32=Z109,9,0)))))))))</f>
        <v>1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8.75" hidden="false" customHeight="true" outlineLevel="0" collapsed="false">
      <c r="A28" s="214" t="s">
        <v>210</v>
      </c>
      <c r="B28" s="215" t="s">
        <v>211</v>
      </c>
      <c r="C28" s="207"/>
      <c r="D28" s="215" t="s">
        <v>212</v>
      </c>
      <c r="E28" s="210"/>
      <c r="F28" s="19"/>
      <c r="G28" s="213" t="s">
        <v>60</v>
      </c>
      <c r="H28" s="213" t="n">
        <f aca="false">IF(A32=Z101,H29-H27,IF(A32=Z102,H29-H27,IF(A32=Z103,H29-1,IF(A32=Z104,H29-1,IF(A32=Z105,H29-1,IF(A32=Z106,H29-1,IF(A32=Z107,H29-H27,IF(A32=Z108,H29-H27,IF(A32=Z109,H29-H27,0)))))))))</f>
        <v>11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8.75" hidden="false" customHeight="true" outlineLevel="0" collapsed="false">
      <c r="A29" s="216" t="s">
        <v>213</v>
      </c>
      <c r="B29" s="217" t="n">
        <v>12345</v>
      </c>
      <c r="C29" s="217"/>
      <c r="D29" s="218" t="n">
        <f aca="true">TODAY()+1</f>
        <v>45008</v>
      </c>
      <c r="E29" s="218"/>
      <c r="F29" s="19"/>
      <c r="G29" s="212" t="s">
        <v>214</v>
      </c>
      <c r="H29" s="212" t="n">
        <f aca="false">B35</f>
        <v>12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8.75" hidden="false" customHeight="true" outlineLevel="0" collapsed="false">
      <c r="A30" s="209"/>
      <c r="B30" s="21"/>
      <c r="C30" s="21"/>
      <c r="D30" s="207"/>
      <c r="E30" s="210"/>
      <c r="F30" s="19"/>
      <c r="G30" s="212" t="s">
        <v>31</v>
      </c>
      <c r="H30" s="212" t="n">
        <f aca="false">D35</f>
        <v>5000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8.75" hidden="false" customHeight="true" outlineLevel="0" collapsed="false">
      <c r="A31" s="214" t="s">
        <v>23</v>
      </c>
      <c r="B31" s="215" t="s">
        <v>215</v>
      </c>
      <c r="C31" s="207"/>
      <c r="D31" s="215" t="s">
        <v>216</v>
      </c>
      <c r="E31" s="210"/>
      <c r="F31" s="19"/>
      <c r="G31" s="212" t="s">
        <v>217</v>
      </c>
      <c r="H31" s="219" t="n">
        <f aca="false">D38</f>
        <v>500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8.75" hidden="false" customHeight="true" outlineLevel="0" collapsed="false">
      <c r="A32" s="216" t="s">
        <v>100</v>
      </c>
      <c r="B32" s="220" t="n">
        <f aca="false">IF(A32=Z101,D38,IF(A32=Z102,D38,IF(A32=Z103,(D38*3),IF(A32=Z104,(D38*6),IF(A32=Z105,(D38*9),IF(A32=Z106,(D38*12),IF(A32=Z107,D38,IF(A32=Z108,D38,IF(A32=Z109,D38,0)))))))))</f>
        <v>500</v>
      </c>
      <c r="C32" s="220"/>
      <c r="D32" s="220" t="n">
        <f aca="false">IF(A32=Z101,A41,IF(A32=Z102,A41,IF(A32=Z103,(A41*3),IF(A32=Z104,(A41*6),IF(A32=Z105,(A41*9),IF(A32=Z106,(A41*12),IF(A32=Z107,A41,IF(A32=Z108,A41,IF(A32=Z109,A41,0)))))))))</f>
        <v>0</v>
      </c>
      <c r="E32" s="220"/>
      <c r="F32" s="19"/>
      <c r="G32" s="221" t="s">
        <v>218</v>
      </c>
      <c r="H32" s="219" t="n">
        <f aca="false">A41</f>
        <v>0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18.75" hidden="false" customHeight="true" outlineLevel="0" collapsed="false">
      <c r="A33" s="222"/>
      <c r="B33" s="174"/>
      <c r="C33" s="223"/>
      <c r="D33" s="176"/>
      <c r="E33" s="210"/>
      <c r="F33" s="19"/>
      <c r="G33" s="221"/>
      <c r="H33" s="212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8.75" hidden="false" customHeight="true" outlineLevel="0" collapsed="false">
      <c r="A34" s="222" t="s">
        <v>220</v>
      </c>
      <c r="B34" s="224" t="s">
        <v>221</v>
      </c>
      <c r="C34" s="223"/>
      <c r="D34" s="64" t="s">
        <v>175</v>
      </c>
      <c r="E34" s="210"/>
      <c r="F34" s="19"/>
      <c r="G34" s="221" t="s">
        <v>222</v>
      </c>
      <c r="H34" s="219" t="n">
        <f aca="false">D41</f>
        <v>12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8.75" hidden="false" customHeight="true" outlineLevel="0" collapsed="false">
      <c r="A35" s="220" t="n">
        <f aca="false">B32+D32</f>
        <v>500</v>
      </c>
      <c r="B35" s="217" t="n">
        <v>12</v>
      </c>
      <c r="C35" s="217"/>
      <c r="D35" s="217" t="n">
        <v>5000</v>
      </c>
      <c r="E35" s="217"/>
      <c r="F35" s="19"/>
      <c r="G35" s="225"/>
      <c r="H35" s="226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8.75" hidden="false" customHeight="true" outlineLevel="0" collapsed="false">
      <c r="A36" s="209"/>
      <c r="B36" s="207"/>
      <c r="C36" s="207"/>
      <c r="D36" s="207"/>
      <c r="E36" s="210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8.75" hidden="false" customHeight="true" outlineLevel="0" collapsed="false">
      <c r="A37" s="214" t="s">
        <v>223</v>
      </c>
      <c r="B37" s="215" t="s">
        <v>224</v>
      </c>
      <c r="C37" s="207"/>
      <c r="D37" s="215" t="s">
        <v>225</v>
      </c>
      <c r="E37" s="210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8.75" hidden="false" customHeight="true" outlineLevel="0" collapsed="false">
      <c r="A38" s="227" t="n">
        <f aca="false">(B35/12)*D35</f>
        <v>5000</v>
      </c>
      <c r="B38" s="217" t="s">
        <v>10</v>
      </c>
      <c r="C38" s="217"/>
      <c r="D38" s="60" t="n">
        <v>500</v>
      </c>
      <c r="E38" s="60"/>
      <c r="F38" s="19"/>
      <c r="G38" s="19"/>
      <c r="H38" s="19"/>
      <c r="I38" s="22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8.75" hidden="false" customHeight="true" outlineLevel="0" collapsed="false">
      <c r="A39" s="229"/>
      <c r="B39" s="223"/>
      <c r="C39" s="223"/>
      <c r="D39" s="207"/>
      <c r="E39" s="210"/>
      <c r="F39" s="19"/>
      <c r="G39" s="19"/>
      <c r="H39" s="228"/>
      <c r="I39" s="228"/>
      <c r="J39" s="22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8.75" hidden="false" customHeight="true" outlineLevel="0" collapsed="false">
      <c r="A40" s="230" t="s">
        <v>227</v>
      </c>
      <c r="B40" s="231" t="s">
        <v>93</v>
      </c>
      <c r="C40" s="223"/>
      <c r="D40" s="232" t="s">
        <v>111</v>
      </c>
      <c r="E40" s="210"/>
      <c r="F40" s="19"/>
      <c r="G40" s="367"/>
      <c r="H40" s="228"/>
      <c r="I40" s="228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8.75" hidden="false" customHeight="true" outlineLevel="0" collapsed="false">
      <c r="A41" s="60" t="n">
        <v>0</v>
      </c>
      <c r="B41" s="233" t="n">
        <f aca="false">IF(B38="YES", D38+A41, D38)</f>
        <v>500</v>
      </c>
      <c r="C41" s="233"/>
      <c r="D41" s="60" t="n">
        <v>12</v>
      </c>
      <c r="E41" s="60"/>
      <c r="F41" s="19"/>
      <c r="G41" s="19"/>
      <c r="H41" s="235"/>
      <c r="I41" s="22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8.75" hidden="false" customHeight="true" outlineLevel="0" collapsed="false">
      <c r="A42" s="229"/>
      <c r="B42" s="223"/>
      <c r="C42" s="223"/>
      <c r="D42" s="223"/>
      <c r="E42" s="236"/>
      <c r="F42" s="19"/>
      <c r="G42" s="237" t="s">
        <v>42</v>
      </c>
      <c r="H42" s="237"/>
      <c r="I42" s="22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8.75" hidden="false" customHeight="true" outlineLevel="0" collapsed="false">
      <c r="A43" s="230" t="s">
        <v>229</v>
      </c>
      <c r="B43" s="231" t="s">
        <v>230</v>
      </c>
      <c r="C43" s="223"/>
      <c r="D43" s="231" t="s">
        <v>235</v>
      </c>
      <c r="E43" s="236"/>
      <c r="F43" s="19"/>
      <c r="G43" s="19" t="s">
        <v>231</v>
      </c>
      <c r="H43" s="228" t="n">
        <f aca="false">(((D38*(B35-1))+B32)/B35) + (D41/B35)</f>
        <v>501</v>
      </c>
      <c r="I43" s="22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8.75" hidden="false" customHeight="true" outlineLevel="0" collapsed="false">
      <c r="A44" s="60" t="n">
        <v>1</v>
      </c>
      <c r="B44" s="60" t="n">
        <v>0</v>
      </c>
      <c r="C44" s="60"/>
      <c r="D44" s="364" t="n">
        <f aca="false">A44+B44</f>
        <v>1</v>
      </c>
      <c r="E44" s="364"/>
      <c r="F44" s="19"/>
      <c r="G44" s="19" t="s">
        <v>233</v>
      </c>
      <c r="H44" s="228" t="n">
        <f aca="false">((A41*(B35-1))+D32)/B35</f>
        <v>0</v>
      </c>
      <c r="I44" s="228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8.75" hidden="false" customHeight="true" outlineLevel="0" collapsed="false">
      <c r="A45" s="229"/>
      <c r="B45" s="223"/>
      <c r="C45" s="223"/>
      <c r="D45" s="223"/>
      <c r="E45" s="236"/>
      <c r="F45" s="19"/>
      <c r="G45" s="19" t="s">
        <v>234</v>
      </c>
      <c r="H45" s="239" t="n">
        <f aca="false">H43+H44</f>
        <v>501</v>
      </c>
      <c r="I45" s="22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8.75" hidden="false" customHeight="true" outlineLevel="0" collapsed="false">
      <c r="A46" s="242" t="s">
        <v>313</v>
      </c>
      <c r="B46" s="223"/>
      <c r="C46" s="223"/>
      <c r="D46" s="223"/>
      <c r="E46" s="236"/>
      <c r="F46" s="19"/>
      <c r="G46" s="19" t="s">
        <v>238</v>
      </c>
      <c r="H46" s="228" t="n">
        <f aca="false">H43</f>
        <v>501</v>
      </c>
      <c r="I46" s="22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8.75" hidden="false" customHeight="true" outlineLevel="0" collapsed="false">
      <c r="A47" s="229"/>
      <c r="B47" s="223"/>
      <c r="C47" s="223"/>
      <c r="D47" s="223"/>
      <c r="E47" s="236"/>
      <c r="F47" s="19"/>
      <c r="G47" s="19"/>
      <c r="H47" s="228"/>
      <c r="I47" s="22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8.75" hidden="false" customHeight="true" outlineLevel="0" collapsed="false">
      <c r="A48" s="243" t="s">
        <v>57</v>
      </c>
      <c r="B48" s="207"/>
      <c r="C48" s="207"/>
      <c r="D48" s="244"/>
      <c r="E48" s="245"/>
      <c r="F48" s="19"/>
      <c r="G48" s="19"/>
      <c r="H48" s="228" t="n">
        <f aca="false">(A41*(B58+B57))</f>
        <v>0</v>
      </c>
      <c r="I48" s="22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8.75" hidden="false" customHeight="true" outlineLevel="0" collapsed="false">
      <c r="A49" s="209"/>
      <c r="B49" s="246"/>
      <c r="C49" s="246"/>
      <c r="D49" s="207"/>
      <c r="E49" s="210"/>
      <c r="F49" s="19"/>
      <c r="G49" s="19"/>
      <c r="H49" s="247"/>
      <c r="I49" s="22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8.75" hidden="false" customHeight="true" outlineLevel="0" collapsed="false">
      <c r="A50" s="248" t="s">
        <v>28</v>
      </c>
      <c r="B50" s="249" t="s">
        <v>33</v>
      </c>
      <c r="C50" s="249"/>
      <c r="D50" s="207"/>
      <c r="E50" s="210"/>
      <c r="F50" s="19"/>
      <c r="G50" s="19"/>
      <c r="H50" s="19"/>
      <c r="I50" s="22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8.75" hidden="false" customHeight="true" outlineLevel="0" collapsed="false">
      <c r="A51" s="248"/>
      <c r="B51" s="250" t="n">
        <f aca="false">H30</f>
        <v>5000</v>
      </c>
      <c r="C51" s="250"/>
      <c r="D51" s="207"/>
      <c r="E51" s="210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8.75" hidden="false" customHeight="true" outlineLevel="0" collapsed="false">
      <c r="A52" s="251" t="n">
        <f aca="false">H29</f>
        <v>12</v>
      </c>
      <c r="B52" s="92" t="n">
        <f aca="false">H45</f>
        <v>501</v>
      </c>
      <c r="C52" s="92"/>
      <c r="D52" s="207"/>
      <c r="E52" s="210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8.75" hidden="false" customHeight="true" outlineLevel="0" collapsed="false">
      <c r="A53" s="209"/>
      <c r="B53" s="207"/>
      <c r="C53" s="207"/>
      <c r="D53" s="207"/>
      <c r="E53" s="210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8.75" hidden="false" customHeight="true" outlineLevel="0" collapsed="false">
      <c r="A54" s="252"/>
      <c r="B54" s="253"/>
      <c r="C54" s="253"/>
      <c r="D54" s="253"/>
      <c r="E54" s="254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8.75" hidden="false" customHeight="true" outlineLevel="0" collapsed="false">
      <c r="A55" s="207"/>
      <c r="B55" s="207"/>
      <c r="C55" s="207"/>
      <c r="D55" s="207"/>
      <c r="E55" s="207"/>
      <c r="F55" s="19"/>
      <c r="G55" s="207"/>
      <c r="H55" s="207"/>
      <c r="I55" s="207"/>
      <c r="J55" s="207"/>
      <c r="K55" s="207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8.75" hidden="false" customHeight="true" outlineLevel="0" collapsed="false">
      <c r="A56" s="255"/>
      <c r="B56" s="256"/>
      <c r="C56" s="256"/>
      <c r="D56" s="256"/>
      <c r="E56" s="257"/>
      <c r="F56" s="19"/>
      <c r="G56" s="255"/>
      <c r="H56" s="256"/>
      <c r="I56" s="256"/>
      <c r="J56" s="256"/>
      <c r="K56" s="257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8.75" hidden="false" customHeight="true" outlineLevel="0" collapsed="false">
      <c r="A57" s="209" t="s">
        <v>46</v>
      </c>
      <c r="B57" s="207" t="n">
        <f aca="false">IF(B99=Z101,1,IF(B99=Z102,1,IF(B99=Z103,3,IF(B99=Z104,6,IF(B99=Z105,9,IF(B99=Z106,12,IF(B99=Z107,3,IF(B99=Z108,6,IF(B99=Z109,9,0)))))))))</f>
        <v>9</v>
      </c>
      <c r="C57" s="207"/>
      <c r="D57" s="207"/>
      <c r="E57" s="210"/>
      <c r="F57" s="19"/>
      <c r="G57" s="209" t="s">
        <v>46</v>
      </c>
      <c r="H57" s="207" t="n">
        <f aca="false">IF(H99=Z101,1,IF(H99=Z102,1,IF(H99=Z103,3,IF(H99=Z104,6,IF(H99=Z105,9,IF(H99=Z106,12,IF(H99=Z107,3,IF(H99=Z108,6,IF(H99=Z109,9,0)))))))))</f>
        <v>1</v>
      </c>
      <c r="I57" s="207"/>
      <c r="J57" s="207"/>
      <c r="K57" s="210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8.75" hidden="false" customHeight="true" outlineLevel="0" collapsed="false">
      <c r="A58" s="209" t="s">
        <v>60</v>
      </c>
      <c r="B58" s="207" t="n">
        <f aca="false">IF(B99=Z101,H29-B57,IF(B99=Z102,H29-B57,IF(B99=Z103,H29-1,IF(B99=Z104,H29-1,IF(B99=Z105,H29-1,IF(B99=Z106,H29-1,IF(B99=Z107,H29-B57,IF(B99=Z108,H29-B57,IF(B99=Z109,H29-B57,0)))))))))</f>
        <v>3</v>
      </c>
      <c r="C58" s="207" t="s">
        <v>314</v>
      </c>
      <c r="D58" s="207"/>
      <c r="E58" s="210"/>
      <c r="F58" s="19"/>
      <c r="G58" s="209" t="s">
        <v>60</v>
      </c>
      <c r="H58" s="207" t="n">
        <f aca="false">IF(H99=Z101,H29-H57,IF(H99=Z102,H29-H57,IF(H99=Z103,H29-1,IF(H99=Z104,H29-1,IF(H99=Z105,H29-1,IF(H99=Z106,H29-1,IF(H99=Z107,H29-H57,IF(H99=Z108,H29-H57,IF(H99=Z109,H29-H57,0)))))))))</f>
        <v>11</v>
      </c>
      <c r="I58" s="207"/>
      <c r="J58" s="207"/>
      <c r="K58" s="210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8.75" hidden="false" customHeight="true" outlineLevel="0" collapsed="false">
      <c r="A59" s="209"/>
      <c r="B59" s="207"/>
      <c r="C59" s="207"/>
      <c r="D59" s="207"/>
      <c r="E59" s="210"/>
      <c r="F59" s="19"/>
      <c r="G59" s="209"/>
      <c r="H59" s="207"/>
      <c r="I59" s="207"/>
      <c r="J59" s="207"/>
      <c r="K59" s="210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8.75" hidden="false" customHeight="true" outlineLevel="0" collapsed="false">
      <c r="A60" s="209"/>
      <c r="B60" s="207"/>
      <c r="C60" s="207"/>
      <c r="D60" s="207"/>
      <c r="E60" s="210"/>
      <c r="F60" s="19"/>
      <c r="G60" s="209"/>
      <c r="H60" s="207"/>
      <c r="I60" s="207"/>
      <c r="J60" s="207"/>
      <c r="K60" s="210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8.75" hidden="false" customHeight="true" outlineLevel="0" collapsed="false">
      <c r="A61" s="209" t="s">
        <v>16</v>
      </c>
      <c r="B61" s="79" t="n">
        <f aca="false">G18</f>
        <v>57885</v>
      </c>
      <c r="C61" s="207"/>
      <c r="D61" s="207"/>
      <c r="E61" s="210"/>
      <c r="F61" s="19"/>
      <c r="G61" s="209" t="s">
        <v>16</v>
      </c>
      <c r="H61" s="79" t="n">
        <f aca="false">G18</f>
        <v>57885</v>
      </c>
      <c r="I61" s="207"/>
      <c r="J61" s="207"/>
      <c r="K61" s="210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8.75" hidden="false" customHeight="true" outlineLevel="0" collapsed="false">
      <c r="A62" s="258" t="s">
        <v>241</v>
      </c>
      <c r="B62" s="259" t="n">
        <v>0.07</v>
      </c>
      <c r="C62" s="207"/>
      <c r="D62" s="207"/>
      <c r="E62" s="210"/>
      <c r="F62" s="19"/>
      <c r="G62" s="258" t="s">
        <v>241</v>
      </c>
      <c r="H62" s="259" t="n">
        <v>0.07</v>
      </c>
      <c r="I62" s="207"/>
      <c r="J62" s="207"/>
      <c r="K62" s="210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8.75" hidden="false" customHeight="true" outlineLevel="0" collapsed="false">
      <c r="A63" s="209" t="s">
        <v>242</v>
      </c>
      <c r="B63" s="260" t="n">
        <f aca="false">B62+(B62*0.25*(H29/12-1))</f>
        <v>0.07</v>
      </c>
      <c r="C63" s="207"/>
      <c r="D63" s="207"/>
      <c r="E63" s="210"/>
      <c r="F63" s="19"/>
      <c r="G63" s="209" t="s">
        <v>242</v>
      </c>
      <c r="H63" s="260" t="n">
        <f aca="false">H62+(H62*0.25*(H29/12-1))</f>
        <v>0.07</v>
      </c>
      <c r="I63" s="207"/>
      <c r="J63" s="207"/>
      <c r="K63" s="210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8.75" hidden="false" customHeight="true" outlineLevel="0" collapsed="false">
      <c r="A64" s="252" t="s">
        <v>65</v>
      </c>
      <c r="B64" s="139" t="n">
        <f aca="false">B61*B63</f>
        <v>4051.95</v>
      </c>
      <c r="C64" s="207" t="n">
        <v>10000</v>
      </c>
      <c r="D64" s="79" t="n">
        <f aca="false">B64</f>
        <v>4051.95</v>
      </c>
      <c r="E64" s="210"/>
      <c r="F64" s="19"/>
      <c r="G64" s="252" t="s">
        <v>65</v>
      </c>
      <c r="H64" s="139" t="n">
        <f aca="false">H61*H63</f>
        <v>4051.95</v>
      </c>
      <c r="I64" s="207"/>
      <c r="J64" s="79" t="n">
        <f aca="false">H64</f>
        <v>4051.95</v>
      </c>
      <c r="K64" s="210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8.75" hidden="false" customHeight="true" outlineLevel="0" collapsed="false">
      <c r="A65" s="258" t="s">
        <v>66</v>
      </c>
      <c r="B65" s="259" t="n">
        <v>0.01</v>
      </c>
      <c r="C65" s="207"/>
      <c r="D65" s="207"/>
      <c r="E65" s="210"/>
      <c r="F65" s="19"/>
      <c r="G65" s="258" t="s">
        <v>66</v>
      </c>
      <c r="H65" s="259" t="n">
        <v>0.005</v>
      </c>
      <c r="I65" s="207"/>
      <c r="J65" s="207"/>
      <c r="K65" s="210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8.75" hidden="false" customHeight="true" outlineLevel="0" collapsed="false">
      <c r="A66" s="209" t="s">
        <v>67</v>
      </c>
      <c r="B66" s="260" t="n">
        <f aca="false">B65+(B65*0.5*(H29/12-1))</f>
        <v>0.01</v>
      </c>
      <c r="C66" s="207"/>
      <c r="D66" s="207"/>
      <c r="E66" s="210"/>
      <c r="F66" s="19"/>
      <c r="G66" s="209" t="s">
        <v>67</v>
      </c>
      <c r="H66" s="260" t="n">
        <f aca="false">H65+(H65*0.5*(H29/12-1))</f>
        <v>0.005</v>
      </c>
      <c r="I66" s="207"/>
      <c r="J66" s="207"/>
      <c r="K66" s="210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8.75" hidden="false" customHeight="true" outlineLevel="0" collapsed="false">
      <c r="A67" s="252" t="s">
        <v>68</v>
      </c>
      <c r="B67" s="139" t="n">
        <f aca="false">B61*B66</f>
        <v>578.85</v>
      </c>
      <c r="C67" s="207"/>
      <c r="D67" s="79"/>
      <c r="E67" s="210"/>
      <c r="F67" s="19"/>
      <c r="G67" s="252" t="s">
        <v>68</v>
      </c>
      <c r="H67" s="139" t="n">
        <f aca="false">H61*H66</f>
        <v>289.425</v>
      </c>
      <c r="I67" s="207"/>
      <c r="J67" s="79"/>
      <c r="K67" s="210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8.75" hidden="false" customHeight="true" outlineLevel="0" collapsed="false">
      <c r="A68" s="258" t="s">
        <v>69</v>
      </c>
      <c r="B68" s="259" t="n">
        <v>0.0075</v>
      </c>
      <c r="C68" s="207"/>
      <c r="D68" s="207"/>
      <c r="E68" s="210"/>
      <c r="F68" s="19"/>
      <c r="G68" s="258" t="s">
        <v>69</v>
      </c>
      <c r="H68" s="259" t="n">
        <v>0.0075</v>
      </c>
      <c r="I68" s="207"/>
      <c r="J68" s="207"/>
      <c r="K68" s="210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8.75" hidden="false" customHeight="true" outlineLevel="0" collapsed="false">
      <c r="A69" s="261" t="s">
        <v>70</v>
      </c>
      <c r="B69" s="262" t="n">
        <v>0.12</v>
      </c>
      <c r="C69" s="207"/>
      <c r="D69" s="207"/>
      <c r="E69" s="210"/>
      <c r="F69" s="19"/>
      <c r="G69" s="261" t="s">
        <v>70</v>
      </c>
      <c r="H69" s="262" t="n">
        <v>0.12</v>
      </c>
      <c r="I69" s="207"/>
      <c r="J69" s="207"/>
      <c r="K69" s="210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18.75" hidden="false" customHeight="true" outlineLevel="0" collapsed="false">
      <c r="A70" s="252" t="s">
        <v>71</v>
      </c>
      <c r="B70" s="263" t="n">
        <f aca="false">B68*(1+B69)</f>
        <v>0.0084</v>
      </c>
      <c r="C70" s="207"/>
      <c r="D70" s="207"/>
      <c r="E70" s="210"/>
      <c r="F70" s="19"/>
      <c r="G70" s="252" t="s">
        <v>71</v>
      </c>
      <c r="H70" s="263" t="n">
        <f aca="false">H68*(1+H69)</f>
        <v>0.0084</v>
      </c>
      <c r="I70" s="207"/>
      <c r="J70" s="207"/>
      <c r="K70" s="210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18.75" hidden="false" customHeight="true" outlineLevel="0" collapsed="false">
      <c r="A71" s="258" t="s">
        <v>72</v>
      </c>
      <c r="B71" s="264" t="n">
        <v>200</v>
      </c>
      <c r="C71" s="207"/>
      <c r="D71" s="207"/>
      <c r="E71" s="210"/>
      <c r="F71" s="19"/>
      <c r="G71" s="258" t="s">
        <v>72</v>
      </c>
      <c r="H71" s="264" t="n">
        <v>160</v>
      </c>
      <c r="I71" s="207"/>
      <c r="J71" s="207"/>
      <c r="K71" s="210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8.75" hidden="false" customHeight="true" outlineLevel="0" collapsed="false">
      <c r="A72" s="261" t="s">
        <v>73</v>
      </c>
      <c r="B72" s="265" t="n">
        <v>5</v>
      </c>
      <c r="C72" s="207"/>
      <c r="D72" s="207"/>
      <c r="E72" s="210"/>
      <c r="F72" s="19"/>
      <c r="G72" s="261" t="s">
        <v>73</v>
      </c>
      <c r="H72" s="265" t="n">
        <v>4.5</v>
      </c>
      <c r="I72" s="207"/>
      <c r="J72" s="207"/>
      <c r="K72" s="210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8.75" hidden="false" customHeight="true" outlineLevel="0" collapsed="false">
      <c r="A73" s="252" t="s">
        <v>74</v>
      </c>
      <c r="B73" s="139" t="n">
        <f aca="false">B72*H29</f>
        <v>60</v>
      </c>
      <c r="C73" s="207"/>
      <c r="D73" s="79" t="n">
        <f aca="false">B73+B71</f>
        <v>260</v>
      </c>
      <c r="E73" s="210"/>
      <c r="F73" s="19"/>
      <c r="G73" s="252" t="s">
        <v>74</v>
      </c>
      <c r="H73" s="139" t="n">
        <f aca="false">H72*H29</f>
        <v>54</v>
      </c>
      <c r="I73" s="207"/>
      <c r="J73" s="79" t="n">
        <f aca="false">H73+H71</f>
        <v>214</v>
      </c>
      <c r="K73" s="210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8.75" hidden="false" customHeight="true" outlineLevel="0" collapsed="false">
      <c r="A74" s="258" t="s">
        <v>243</v>
      </c>
      <c r="B74" s="264" t="n">
        <v>0</v>
      </c>
      <c r="C74" s="207"/>
      <c r="D74" s="207"/>
      <c r="E74" s="210"/>
      <c r="F74" s="19"/>
      <c r="G74" s="258" t="s">
        <v>243</v>
      </c>
      <c r="H74" s="264" t="n">
        <v>150</v>
      </c>
      <c r="I74" s="207"/>
      <c r="J74" s="207"/>
      <c r="K74" s="210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8.75" hidden="false" customHeight="true" outlineLevel="0" collapsed="false">
      <c r="A75" s="261" t="s">
        <v>244</v>
      </c>
      <c r="B75" s="265" t="n">
        <v>0</v>
      </c>
      <c r="C75" s="207"/>
      <c r="D75" s="207"/>
      <c r="E75" s="210"/>
      <c r="F75" s="19"/>
      <c r="G75" s="261" t="s">
        <v>244</v>
      </c>
      <c r="H75" s="265" t="n">
        <f aca="false">IF(G18&gt;40000, 325, 0)</f>
        <v>325</v>
      </c>
      <c r="I75" s="207"/>
      <c r="J75" s="207"/>
      <c r="K75" s="210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8.75" hidden="false" customHeight="true" outlineLevel="0" collapsed="false">
      <c r="A76" s="252" t="s">
        <v>245</v>
      </c>
      <c r="B76" s="139" t="n">
        <f aca="false">((B74+B75)/12)*(H29-11)</f>
        <v>0</v>
      </c>
      <c r="C76" s="207"/>
      <c r="D76" s="79" t="n">
        <f aca="false">B76</f>
        <v>0</v>
      </c>
      <c r="E76" s="210"/>
      <c r="F76" s="19"/>
      <c r="G76" s="252" t="s">
        <v>245</v>
      </c>
      <c r="H76" s="139" t="n">
        <f aca="false">((H74+H75)/12)*(H29-11)</f>
        <v>39.5833333333333</v>
      </c>
      <c r="I76" s="207"/>
      <c r="J76" s="79" t="n">
        <f aca="false">H76</f>
        <v>39.5833333333333</v>
      </c>
      <c r="K76" s="210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8.75" hidden="false" customHeight="true" outlineLevel="0" collapsed="false">
      <c r="A77" s="258" t="s">
        <v>246</v>
      </c>
      <c r="B77" s="264" t="n">
        <f aca="false">B102/(1-0.1)</f>
        <v>444.444444444444</v>
      </c>
      <c r="C77" s="207"/>
      <c r="D77" s="79" t="n">
        <f aca="false">B77</f>
        <v>444.444444444444</v>
      </c>
      <c r="E77" s="210"/>
      <c r="F77" s="19"/>
      <c r="G77" s="258" t="s">
        <v>246</v>
      </c>
      <c r="H77" s="264" t="n">
        <f aca="false">H102</f>
        <v>1200</v>
      </c>
      <c r="I77" s="207"/>
      <c r="J77" s="79" t="n">
        <f aca="false">H77</f>
        <v>1200</v>
      </c>
      <c r="K77" s="210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8.75" hidden="false" customHeight="true" outlineLevel="0" collapsed="false">
      <c r="A78" s="209" t="s">
        <v>248</v>
      </c>
      <c r="B78" s="273" t="n">
        <f aca="false">D102/(1-0.1)</f>
        <v>222.222222222222</v>
      </c>
      <c r="C78" s="207"/>
      <c r="D78" s="79" t="n">
        <f aca="false">B78</f>
        <v>222.222222222222</v>
      </c>
      <c r="E78" s="210"/>
      <c r="F78" s="19"/>
      <c r="G78" s="209" t="s">
        <v>248</v>
      </c>
      <c r="H78" s="273" t="n">
        <f aca="false">J102</f>
        <v>0</v>
      </c>
      <c r="I78" s="207"/>
      <c r="J78" s="79" t="n">
        <f aca="false">H78</f>
        <v>0</v>
      </c>
      <c r="K78" s="210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8.75" hidden="false" customHeight="true" outlineLevel="0" collapsed="false">
      <c r="A79" s="261" t="s">
        <v>75</v>
      </c>
      <c r="B79" s="265" t="n">
        <v>200</v>
      </c>
      <c r="C79" s="207"/>
      <c r="D79" s="79" t="n">
        <f aca="false">B79</f>
        <v>200</v>
      </c>
      <c r="E79" s="210"/>
      <c r="F79" s="19"/>
      <c r="G79" s="261" t="s">
        <v>75</v>
      </c>
      <c r="H79" s="265" t="n">
        <v>100</v>
      </c>
      <c r="I79" s="207"/>
      <c r="J79" s="79" t="n">
        <f aca="false">H79</f>
        <v>100</v>
      </c>
      <c r="K79" s="210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8.75" hidden="false" customHeight="true" outlineLevel="0" collapsed="false">
      <c r="A80" s="274" t="s">
        <v>76</v>
      </c>
      <c r="B80" s="275" t="n">
        <v>200</v>
      </c>
      <c r="C80" s="207"/>
      <c r="D80" s="79" t="n">
        <f aca="false">B80</f>
        <v>200</v>
      </c>
      <c r="E80" s="210"/>
      <c r="F80" s="19"/>
      <c r="G80" s="274" t="s">
        <v>76</v>
      </c>
      <c r="H80" s="275" t="n">
        <v>100</v>
      </c>
      <c r="I80" s="207"/>
      <c r="J80" s="79" t="n">
        <f aca="false">H80</f>
        <v>100</v>
      </c>
      <c r="K80" s="210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18.75" hidden="false" customHeight="true" outlineLevel="0" collapsed="false">
      <c r="A81" s="276" t="s">
        <v>77</v>
      </c>
      <c r="B81" s="277" t="n">
        <f aca="false">SUM(D64:D80)</f>
        <v>5378.61666666667</v>
      </c>
      <c r="C81" s="207"/>
      <c r="D81" s="207"/>
      <c r="E81" s="210"/>
      <c r="F81" s="19"/>
      <c r="G81" s="276" t="s">
        <v>77</v>
      </c>
      <c r="H81" s="277" t="n">
        <f aca="false">SUM(J64:J80)</f>
        <v>5705.53333333333</v>
      </c>
      <c r="I81" s="207"/>
      <c r="J81" s="207"/>
      <c r="K81" s="210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18.75" hidden="false" customHeight="true" outlineLevel="0" collapsed="false">
      <c r="A82" s="209" t="s">
        <v>78</v>
      </c>
      <c r="B82" s="273" t="n">
        <f aca="false">B81/H29</f>
        <v>448.218055555556</v>
      </c>
      <c r="C82" s="207"/>
      <c r="D82" s="207"/>
      <c r="E82" s="210"/>
      <c r="F82" s="19"/>
      <c r="G82" s="209" t="s">
        <v>78</v>
      </c>
      <c r="H82" s="273" t="n">
        <f aca="false">H81/H29</f>
        <v>475.461111111111</v>
      </c>
      <c r="I82" s="207"/>
      <c r="J82" s="207"/>
      <c r="K82" s="210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8.75" hidden="false" customHeight="true" outlineLevel="0" collapsed="false">
      <c r="A83" s="278" t="s">
        <v>79</v>
      </c>
      <c r="B83" s="279" t="n">
        <f aca="false">H46</f>
        <v>501</v>
      </c>
      <c r="C83" s="207"/>
      <c r="D83" s="207"/>
      <c r="E83" s="210"/>
      <c r="F83" s="19"/>
      <c r="G83" s="278" t="s">
        <v>79</v>
      </c>
      <c r="H83" s="279" t="n">
        <f aca="false">H46</f>
        <v>501</v>
      </c>
      <c r="I83" s="207"/>
      <c r="J83" s="207"/>
      <c r="K83" s="210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18.75" hidden="false" customHeight="true" outlineLevel="0" collapsed="false">
      <c r="A84" s="209"/>
      <c r="B84" s="79"/>
      <c r="C84" s="207"/>
      <c r="D84" s="207"/>
      <c r="E84" s="210"/>
      <c r="F84" s="19"/>
      <c r="G84" s="209"/>
      <c r="H84" s="79"/>
      <c r="I84" s="207"/>
      <c r="J84" s="207"/>
      <c r="K84" s="210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8.75" hidden="false" customHeight="true" outlineLevel="0" collapsed="false">
      <c r="A85" s="255" t="s">
        <v>88</v>
      </c>
      <c r="B85" s="137" t="n">
        <f aca="false">((B83*(H29)+B81))</f>
        <v>11390.6166666667</v>
      </c>
      <c r="C85" s="207"/>
      <c r="D85" s="207"/>
      <c r="E85" s="210"/>
      <c r="F85" s="19"/>
      <c r="G85" s="255" t="s">
        <v>88</v>
      </c>
      <c r="H85" s="137" t="n">
        <f aca="false">((H83*(H27+H28))+H81)*1.2</f>
        <v>14061.04</v>
      </c>
      <c r="I85" s="207"/>
      <c r="J85" s="207"/>
      <c r="K85" s="210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8.75" hidden="false" customHeight="true" outlineLevel="0" collapsed="false">
      <c r="A86" s="209" t="s">
        <v>89</v>
      </c>
      <c r="B86" s="273" t="n">
        <f aca="false">(B85/(1-B70))*B70</f>
        <v>96.4917103670835</v>
      </c>
      <c r="C86" s="207"/>
      <c r="D86" s="207"/>
      <c r="E86" s="210"/>
      <c r="F86" s="19"/>
      <c r="G86" s="209" t="s">
        <v>89</v>
      </c>
      <c r="H86" s="273" t="n">
        <f aca="false">(((H83*(H27+H28))+H81)/(1-H70))*H70</f>
        <v>99.2610730133118</v>
      </c>
      <c r="I86" s="207"/>
      <c r="J86" s="207"/>
      <c r="K86" s="210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8.75" hidden="false" customHeight="true" outlineLevel="0" collapsed="false">
      <c r="A87" s="252" t="s">
        <v>90</v>
      </c>
      <c r="B87" s="139" t="n">
        <f aca="false">IF(B110="YES",((B85+B86)-E114),((B85+B86)))</f>
        <v>7487.10837703375</v>
      </c>
      <c r="C87" s="207"/>
      <c r="D87" s="207"/>
      <c r="E87" s="210"/>
      <c r="F87" s="19"/>
      <c r="G87" s="252" t="s">
        <v>90</v>
      </c>
      <c r="H87" s="139" t="n">
        <f aca="false">IF(H110="YES",((H85+H86)-A151-K114),((H85+H86)-A151))</f>
        <v>14060.3110730133</v>
      </c>
      <c r="I87" s="207"/>
      <c r="J87" s="207"/>
      <c r="K87" s="210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8.75" hidden="false" customHeight="true" outlineLevel="0" collapsed="false">
      <c r="A88" s="209"/>
      <c r="B88" s="79"/>
      <c r="C88" s="207"/>
      <c r="D88" s="207"/>
      <c r="E88" s="210"/>
      <c r="F88" s="19"/>
      <c r="G88" s="209"/>
      <c r="H88" s="79"/>
      <c r="I88" s="207"/>
      <c r="J88" s="207"/>
      <c r="K88" s="210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8.75" hidden="false" customHeight="true" outlineLevel="0" collapsed="false">
      <c r="A89" s="276" t="s">
        <v>91</v>
      </c>
      <c r="B89" s="365" t="n">
        <f aca="false">IF(B99=Z102,(((H44*B35)+(H44*B35)*(B105/100))/(B58)),(((H44*B35)+(H44*B35)*(B105/100))/(B57+B58)))</f>
        <v>0</v>
      </c>
      <c r="C89" s="207" t="s">
        <v>4</v>
      </c>
      <c r="D89" s="207"/>
      <c r="E89" s="210"/>
      <c r="F89" s="19"/>
      <c r="G89" s="276" t="s">
        <v>91</v>
      </c>
      <c r="H89" s="277" t="n">
        <f aca="false">(A41+(A41*H105))*1.2</f>
        <v>0</v>
      </c>
      <c r="I89" s="207"/>
      <c r="J89" s="207"/>
      <c r="K89" s="210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8.75" hidden="false" customHeight="true" outlineLevel="0" collapsed="false">
      <c r="A90" s="281" t="s">
        <v>92</v>
      </c>
      <c r="B90" s="282" t="n">
        <f aca="false">IF(B99=Z102, (B87-D105)/(B58), B87/(B57+B58))</f>
        <v>623.925698086146</v>
      </c>
      <c r="C90" s="207"/>
      <c r="D90" s="207"/>
      <c r="E90" s="210"/>
      <c r="F90" s="19"/>
      <c r="G90" s="281" t="s">
        <v>92</v>
      </c>
      <c r="H90" s="282" t="n">
        <f aca="false">IF(H99=AE98, (H87-J105)/(H58), H87/(H57+H58))</f>
        <v>1171.69258941778</v>
      </c>
      <c r="I90" s="207"/>
      <c r="K90" s="210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8.75" hidden="false" customHeight="true" outlineLevel="0" collapsed="false">
      <c r="A91" s="283" t="s">
        <v>93</v>
      </c>
      <c r="B91" s="284" t="n">
        <f aca="false">IF(A105="YES", B90+B89, B90)</f>
        <v>623.925698086146</v>
      </c>
      <c r="C91" s="207"/>
      <c r="D91" s="207"/>
      <c r="E91" s="210"/>
      <c r="F91" s="19"/>
      <c r="G91" s="283" t="s">
        <v>93</v>
      </c>
      <c r="H91" s="284" t="n">
        <f aca="false">IF(G105="YES", H90+H89, H90)</f>
        <v>1171.69258941778</v>
      </c>
      <c r="I91" s="207"/>
      <c r="J91" s="207"/>
      <c r="K91" s="210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8.75" hidden="false" customHeight="true" outlineLevel="0" collapsed="false">
      <c r="A92" s="252"/>
      <c r="B92" s="253"/>
      <c r="C92" s="253"/>
      <c r="D92" s="253"/>
      <c r="E92" s="254"/>
      <c r="F92" s="19"/>
      <c r="G92" s="252"/>
      <c r="H92" s="253"/>
      <c r="I92" s="253"/>
      <c r="J92" s="253"/>
      <c r="K92" s="254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8.75" hidden="false" customHeight="true" outlineLevel="0" collapsed="false">
      <c r="A93" s="207"/>
      <c r="B93" s="207"/>
      <c r="C93" s="207"/>
      <c r="D93" s="207"/>
      <c r="E93" s="207"/>
      <c r="F93" s="19"/>
      <c r="G93" s="207"/>
      <c r="H93" s="207"/>
      <c r="I93" s="207"/>
      <c r="J93" s="207"/>
      <c r="K93" s="207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46.5" hidden="false" customHeight="true" outlineLevel="0" collapsed="false">
      <c r="A94" s="208" t="s">
        <v>249</v>
      </c>
      <c r="B94" s="208"/>
      <c r="C94" s="208"/>
      <c r="D94" s="208"/>
      <c r="E94" s="208"/>
      <c r="F94" s="19"/>
      <c r="G94" s="208" t="s">
        <v>250</v>
      </c>
      <c r="H94" s="208"/>
      <c r="I94" s="208"/>
      <c r="J94" s="208"/>
      <c r="K94" s="20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8.75" hidden="false" customHeight="true" outlineLevel="0" collapsed="false">
      <c r="A95" s="209"/>
      <c r="B95" s="207"/>
      <c r="C95" s="207"/>
      <c r="D95" s="207"/>
      <c r="E95" s="210"/>
      <c r="F95" s="19"/>
      <c r="G95" s="209"/>
      <c r="H95" s="207"/>
      <c r="I95" s="207"/>
      <c r="J95" s="207"/>
      <c r="K95" s="210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8.75" hidden="false" customHeight="true" outlineLevel="0" collapsed="false">
      <c r="A96" s="211" t="s">
        <v>26</v>
      </c>
      <c r="B96" s="211"/>
      <c r="C96" s="211"/>
      <c r="D96" s="211"/>
      <c r="E96" s="211"/>
      <c r="F96" s="19"/>
      <c r="G96" s="211" t="s">
        <v>26</v>
      </c>
      <c r="H96" s="211"/>
      <c r="I96" s="211"/>
      <c r="J96" s="211"/>
      <c r="K96" s="2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8.75" hidden="false" customHeight="true" outlineLevel="0" collapsed="false">
      <c r="A97" s="209"/>
      <c r="B97" s="207"/>
      <c r="C97" s="207"/>
      <c r="D97" s="207"/>
      <c r="E97" s="210"/>
      <c r="F97" s="19"/>
      <c r="G97" s="209"/>
      <c r="H97" s="207"/>
      <c r="I97" s="207"/>
      <c r="J97" s="207"/>
      <c r="K97" s="210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18.75" hidden="false" customHeight="true" outlineLevel="0" collapsed="false">
      <c r="A98" s="209" t="s">
        <v>98</v>
      </c>
      <c r="B98" s="207" t="s">
        <v>23</v>
      </c>
      <c r="C98" s="207"/>
      <c r="D98" s="207" t="s">
        <v>252</v>
      </c>
      <c r="E98" s="210"/>
      <c r="F98" s="19"/>
      <c r="G98" s="209" t="s">
        <v>98</v>
      </c>
      <c r="H98" s="207" t="s">
        <v>23</v>
      </c>
      <c r="I98" s="207"/>
      <c r="J98" s="207" t="s">
        <v>252</v>
      </c>
      <c r="K98" s="210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18.75" hidden="false" customHeight="true" outlineLevel="0" collapsed="false">
      <c r="A99" s="214" t="s">
        <v>254</v>
      </c>
      <c r="B99" s="286" t="s">
        <v>315</v>
      </c>
      <c r="C99" s="286"/>
      <c r="D99" s="72" t="n">
        <v>1000</v>
      </c>
      <c r="E99" s="72"/>
      <c r="F99" s="19"/>
      <c r="G99" s="214" t="s">
        <v>254</v>
      </c>
      <c r="H99" s="286" t="s">
        <v>100</v>
      </c>
      <c r="I99" s="286"/>
      <c r="J99" s="72" t="n">
        <v>0</v>
      </c>
      <c r="K99" s="72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18.75" hidden="false" customHeight="true" outlineLevel="0" collapsed="false">
      <c r="A100" s="209"/>
      <c r="B100" s="207"/>
      <c r="C100" s="207"/>
      <c r="D100" s="207"/>
      <c r="E100" s="210"/>
      <c r="F100" s="19"/>
      <c r="G100" s="209"/>
      <c r="H100" s="207"/>
      <c r="I100" s="207"/>
      <c r="J100" s="207"/>
      <c r="K100" s="210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 customFormat="false" ht="18.75" hidden="false" customHeight="true" outlineLevel="0" collapsed="false">
      <c r="A101" s="209" t="s">
        <v>259</v>
      </c>
      <c r="B101" s="207" t="s">
        <v>260</v>
      </c>
      <c r="C101" s="207"/>
      <c r="D101" s="207" t="s">
        <v>261</v>
      </c>
      <c r="E101" s="210"/>
      <c r="F101" s="19"/>
      <c r="G101" s="209" t="s">
        <v>259</v>
      </c>
      <c r="H101" s="207" t="s">
        <v>260</v>
      </c>
      <c r="I101" s="207"/>
      <c r="J101" s="207" t="s">
        <v>261</v>
      </c>
      <c r="K101" s="210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 t="s">
        <v>100</v>
      </c>
      <c r="AA101" s="19"/>
    </row>
    <row r="102" customFormat="false" ht="18.75" hidden="false" customHeight="true" outlineLevel="0" collapsed="false">
      <c r="A102" s="288" t="n">
        <v>199.99</v>
      </c>
      <c r="B102" s="72" t="n">
        <v>400</v>
      </c>
      <c r="C102" s="72"/>
      <c r="D102" s="72" t="n">
        <v>200</v>
      </c>
      <c r="E102" s="72"/>
      <c r="F102" s="19"/>
      <c r="G102" s="288" t="n">
        <f aca="false">199.99*1.2</f>
        <v>239.988</v>
      </c>
      <c r="H102" s="72" t="n">
        <v>1200</v>
      </c>
      <c r="I102" s="72"/>
      <c r="J102" s="72" t="n">
        <v>0</v>
      </c>
      <c r="K102" s="72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 t="s">
        <v>253</v>
      </c>
      <c r="AA102" s="19"/>
    </row>
    <row r="103" customFormat="false" ht="18.75" hidden="false" customHeight="true" outlineLevel="0" collapsed="false">
      <c r="A103" s="209"/>
      <c r="B103" s="207"/>
      <c r="C103" s="207"/>
      <c r="D103" s="207"/>
      <c r="E103" s="210"/>
      <c r="F103" s="19"/>
      <c r="G103" s="209"/>
      <c r="H103" s="207"/>
      <c r="I103" s="207"/>
      <c r="J103" s="207"/>
      <c r="K103" s="210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Z103" s="19" t="s">
        <v>257</v>
      </c>
      <c r="AA103" s="19"/>
    </row>
    <row r="104" customFormat="false" ht="18.75" hidden="false" customHeight="true" outlineLevel="0" collapsed="false">
      <c r="A104" s="214" t="s">
        <v>22</v>
      </c>
      <c r="B104" s="19" t="s">
        <v>101</v>
      </c>
      <c r="C104" s="207"/>
      <c r="D104" s="207" t="s">
        <v>112</v>
      </c>
      <c r="E104" s="210"/>
      <c r="F104" s="19"/>
      <c r="G104" s="214" t="s">
        <v>22</v>
      </c>
      <c r="H104" s="19" t="s">
        <v>101</v>
      </c>
      <c r="I104" s="207"/>
      <c r="J104" s="207" t="s">
        <v>112</v>
      </c>
      <c r="K104" s="210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Z104" s="19" t="s">
        <v>258</v>
      </c>
      <c r="AA104" s="19"/>
    </row>
    <row r="105" customFormat="false" ht="18.75" hidden="false" customHeight="true" outlineLevel="0" collapsed="false">
      <c r="A105" s="216" t="s">
        <v>10</v>
      </c>
      <c r="B105" s="286" t="n">
        <v>0</v>
      </c>
      <c r="C105" s="286"/>
      <c r="D105" s="72" t="s">
        <v>264</v>
      </c>
      <c r="E105" s="72"/>
      <c r="F105" s="19"/>
      <c r="G105" s="216" t="s">
        <v>9</v>
      </c>
      <c r="H105" s="289" t="n">
        <v>0.2</v>
      </c>
      <c r="I105" s="289"/>
      <c r="J105" s="72" t="n">
        <v>0</v>
      </c>
      <c r="K105" s="72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Z105" s="19" t="s">
        <v>262</v>
      </c>
      <c r="AA105" s="19"/>
    </row>
    <row r="106" customFormat="false" ht="18.75" hidden="false" customHeight="true" outlineLevel="0" collapsed="false">
      <c r="A106" s="209"/>
      <c r="B106" s="207"/>
      <c r="C106" s="207"/>
      <c r="D106" s="207"/>
      <c r="E106" s="210"/>
      <c r="F106" s="19"/>
      <c r="G106" s="209"/>
      <c r="H106" s="207"/>
      <c r="I106" s="207"/>
      <c r="J106" s="207"/>
      <c r="K106" s="210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Z106" s="19" t="s">
        <v>256</v>
      </c>
      <c r="AA106" s="19"/>
    </row>
    <row r="107" customFormat="false" ht="18.75" hidden="false" customHeight="true" outlineLevel="0" collapsed="false">
      <c r="A107" s="209"/>
      <c r="B107" s="207"/>
      <c r="C107" s="207"/>
      <c r="D107" s="207"/>
      <c r="E107" s="210"/>
      <c r="F107" s="19"/>
      <c r="G107" s="209"/>
      <c r="H107" s="207"/>
      <c r="I107" s="207"/>
      <c r="J107" s="207"/>
      <c r="K107" s="210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Z107" s="19" t="s">
        <v>255</v>
      </c>
      <c r="AA107" s="19"/>
    </row>
    <row r="108" customFormat="false" ht="18.75" hidden="false" customHeight="true" outlineLevel="0" collapsed="false">
      <c r="A108" s="211" t="s">
        <v>267</v>
      </c>
      <c r="B108" s="211"/>
      <c r="C108" s="211"/>
      <c r="D108" s="211"/>
      <c r="E108" s="211"/>
      <c r="F108" s="19"/>
      <c r="G108" s="211" t="s">
        <v>267</v>
      </c>
      <c r="H108" s="211"/>
      <c r="I108" s="211"/>
      <c r="J108" s="211"/>
      <c r="K108" s="2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Z108" s="19" t="s">
        <v>263</v>
      </c>
      <c r="AA108" s="19"/>
    </row>
    <row r="109" customFormat="false" ht="18.75" hidden="false" customHeight="true" outlineLevel="0" collapsed="false">
      <c r="A109" s="209"/>
      <c r="B109" s="207"/>
      <c r="C109" s="207"/>
      <c r="D109" s="207"/>
      <c r="E109" s="210"/>
      <c r="F109" s="19"/>
      <c r="G109" s="209"/>
      <c r="H109" s="207"/>
      <c r="I109" s="207"/>
      <c r="J109" s="207"/>
      <c r="K109" s="210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Z109" s="19" t="s">
        <v>265</v>
      </c>
    </row>
    <row r="110" customFormat="false" ht="18.75" hidden="false" customHeight="true" outlineLevel="0" collapsed="false">
      <c r="A110" s="209" t="s">
        <v>268</v>
      </c>
      <c r="B110" s="216" t="s">
        <v>9</v>
      </c>
      <c r="C110" s="207"/>
      <c r="D110" s="207"/>
      <c r="E110" s="210"/>
      <c r="F110" s="19"/>
      <c r="G110" s="209" t="s">
        <v>268</v>
      </c>
      <c r="H110" s="216" t="s">
        <v>10</v>
      </c>
      <c r="I110" s="207"/>
      <c r="J110" s="207"/>
      <c r="K110" s="210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Z110" s="19"/>
    </row>
    <row r="111" customFormat="false" ht="18.75" hidden="false" customHeight="true" outlineLevel="0" collapsed="false">
      <c r="A111" s="209"/>
      <c r="B111" s="207"/>
      <c r="C111" s="207"/>
      <c r="D111" s="207"/>
      <c r="E111" s="210"/>
      <c r="F111" s="19"/>
      <c r="G111" s="209"/>
      <c r="H111" s="207"/>
      <c r="I111" s="207"/>
      <c r="J111" s="207"/>
      <c r="K111" s="210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Z111" s="19"/>
    </row>
    <row r="112" customFormat="false" ht="18.75" hidden="false" customHeight="true" outlineLevel="0" collapsed="false">
      <c r="A112" s="209" t="s">
        <v>146</v>
      </c>
      <c r="B112" s="207"/>
      <c r="C112" s="207"/>
      <c r="D112" s="288" t="n">
        <v>10000</v>
      </c>
      <c r="E112" s="72" t="n">
        <v>6000</v>
      </c>
      <c r="F112" s="19"/>
      <c r="G112" s="209" t="s">
        <v>146</v>
      </c>
      <c r="H112" s="207"/>
      <c r="I112" s="207"/>
      <c r="J112" s="288" t="n">
        <v>10000</v>
      </c>
      <c r="K112" s="72" t="n">
        <v>5000</v>
      </c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8.75" hidden="false" customHeight="true" outlineLevel="0" collapsed="false">
      <c r="A113" s="209" t="s">
        <v>147</v>
      </c>
      <c r="B113" s="207"/>
      <c r="C113" s="207"/>
      <c r="D113" s="38" t="n">
        <f aca="false">E113</f>
        <v>2000</v>
      </c>
      <c r="E113" s="72" t="n">
        <v>2000</v>
      </c>
      <c r="F113" s="19"/>
      <c r="G113" s="209" t="s">
        <v>147</v>
      </c>
      <c r="H113" s="207"/>
      <c r="I113" s="207"/>
      <c r="J113" s="38" t="n">
        <f aca="false">K113</f>
        <v>7000</v>
      </c>
      <c r="K113" s="72" t="n">
        <v>7000</v>
      </c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8.75" hidden="false" customHeight="true" outlineLevel="0" collapsed="false">
      <c r="A114" s="209" t="s">
        <v>148</v>
      </c>
      <c r="B114" s="207"/>
      <c r="C114" s="207"/>
      <c r="D114" s="38" t="n">
        <f aca="false">D112-D113</f>
        <v>8000</v>
      </c>
      <c r="E114" s="163" t="n">
        <f aca="false">E112-E113</f>
        <v>4000</v>
      </c>
      <c r="F114" s="19"/>
      <c r="G114" s="209" t="s">
        <v>148</v>
      </c>
      <c r="H114" s="207"/>
      <c r="I114" s="207"/>
      <c r="J114" s="38" t="n">
        <f aca="false">J112-J113</f>
        <v>3000</v>
      </c>
      <c r="K114" s="163" t="n">
        <f aca="false">K112-K113</f>
        <v>-2000</v>
      </c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8.75" hidden="false" customHeight="true" outlineLevel="0" collapsed="false">
      <c r="A115" s="209" t="s">
        <v>149</v>
      </c>
      <c r="B115" s="207"/>
      <c r="C115" s="207"/>
      <c r="D115" s="38" t="n">
        <f aca="false">D114-E114</f>
        <v>4000</v>
      </c>
      <c r="E115" s="210"/>
      <c r="F115" s="19"/>
      <c r="G115" s="209" t="s">
        <v>149</v>
      </c>
      <c r="H115" s="207"/>
      <c r="I115" s="207"/>
      <c r="J115" s="38" t="n">
        <f aca="false">J114-K114</f>
        <v>5000</v>
      </c>
      <c r="K115" s="210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8.75" hidden="false" customHeight="true" outlineLevel="0" collapsed="false">
      <c r="A116" s="209"/>
      <c r="B116" s="207"/>
      <c r="C116" s="207"/>
      <c r="D116" s="207"/>
      <c r="E116" s="210"/>
      <c r="F116" s="19"/>
      <c r="G116" s="209"/>
      <c r="H116" s="207"/>
      <c r="I116" s="207"/>
      <c r="J116" s="207"/>
      <c r="K116" s="210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8.75" hidden="false" customHeight="true" outlineLevel="0" collapsed="false">
      <c r="A117" s="255" t="s">
        <v>108</v>
      </c>
      <c r="B117" s="256"/>
      <c r="C117" s="256"/>
      <c r="D117" s="256"/>
      <c r="E117" s="137" t="n">
        <f aca="false">D99</f>
        <v>1000</v>
      </c>
      <c r="F117" s="19"/>
      <c r="G117" s="255" t="s">
        <v>108</v>
      </c>
      <c r="H117" s="256"/>
      <c r="I117" s="256"/>
      <c r="J117" s="256"/>
      <c r="K117" s="137" t="n">
        <f aca="false">J99</f>
        <v>0</v>
      </c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8.75" hidden="false" customHeight="true" outlineLevel="0" collapsed="false">
      <c r="A118" s="209" t="s">
        <v>152</v>
      </c>
      <c r="B118" s="207"/>
      <c r="C118" s="207"/>
      <c r="D118" s="207"/>
      <c r="E118" s="273" t="n">
        <f aca="false">A102</f>
        <v>199.99</v>
      </c>
      <c r="F118" s="19"/>
      <c r="G118" s="209" t="s">
        <v>152</v>
      </c>
      <c r="H118" s="207"/>
      <c r="I118" s="207"/>
      <c r="J118" s="207"/>
      <c r="K118" s="273" t="n">
        <f aca="false">G102</f>
        <v>239.988</v>
      </c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8.75" hidden="false" customHeight="true" outlineLevel="0" collapsed="false">
      <c r="A119" s="290" t="s">
        <v>269</v>
      </c>
      <c r="B119" s="253"/>
      <c r="C119" s="253"/>
      <c r="D119" s="253"/>
      <c r="E119" s="139" t="n">
        <f aca="false">(E118+E117)-D115</f>
        <v>-2800.01</v>
      </c>
      <c r="F119" s="19"/>
      <c r="G119" s="290" t="s">
        <v>269</v>
      </c>
      <c r="H119" s="253"/>
      <c r="I119" s="253"/>
      <c r="J119" s="253"/>
      <c r="K119" s="139" t="n">
        <f aca="false">(K118+K117)-J115</f>
        <v>-4760.012</v>
      </c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8.75" hidden="false" customHeight="true" outlineLevel="0" collapsed="false">
      <c r="A120" s="209"/>
      <c r="B120" s="207"/>
      <c r="C120" s="207"/>
      <c r="D120" s="207"/>
      <c r="E120" s="210"/>
      <c r="F120" s="19"/>
      <c r="G120" s="209"/>
      <c r="H120" s="207"/>
      <c r="I120" s="207"/>
      <c r="J120" s="207"/>
      <c r="K120" s="210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8.75" hidden="false" customHeight="true" outlineLevel="0" collapsed="false">
      <c r="A121" s="209"/>
      <c r="B121" s="207"/>
      <c r="C121" s="207"/>
      <c r="D121" s="207"/>
      <c r="E121" s="210"/>
      <c r="F121" s="19"/>
      <c r="G121" s="209"/>
      <c r="H121" s="207"/>
      <c r="I121" s="207"/>
      <c r="J121" s="207"/>
      <c r="K121" s="210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8.75" hidden="false" customHeight="true" outlineLevel="0" collapsed="false">
      <c r="A122" s="211" t="s">
        <v>270</v>
      </c>
      <c r="B122" s="211"/>
      <c r="C122" s="211"/>
      <c r="D122" s="211"/>
      <c r="E122" s="211"/>
      <c r="F122" s="19"/>
      <c r="G122" s="211" t="s">
        <v>270</v>
      </c>
      <c r="H122" s="211"/>
      <c r="I122" s="211"/>
      <c r="J122" s="211"/>
      <c r="K122" s="211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8.75" hidden="false" customHeight="true" outlineLevel="0" collapsed="false">
      <c r="A123" s="291"/>
      <c r="B123" s="292"/>
      <c r="C123" s="292"/>
      <c r="D123" s="292"/>
      <c r="E123" s="293"/>
      <c r="F123" s="19"/>
      <c r="G123" s="209"/>
      <c r="H123" s="207"/>
      <c r="I123" s="207"/>
      <c r="J123" s="207"/>
      <c r="K123" s="210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8.75" hidden="false" customHeight="true" outlineLevel="0" collapsed="false">
      <c r="A124" s="294" t="s">
        <v>98</v>
      </c>
      <c r="B124" s="295" t="n">
        <v>0</v>
      </c>
      <c r="C124" s="296"/>
      <c r="D124" s="295" t="s">
        <v>33</v>
      </c>
      <c r="E124" s="297"/>
      <c r="F124" s="19"/>
      <c r="G124" s="209" t="s">
        <v>29</v>
      </c>
      <c r="H124" s="168" t="n">
        <v>0</v>
      </c>
      <c r="I124" s="168"/>
      <c r="J124" s="207"/>
      <c r="K124" s="210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8.75" hidden="false" customHeight="true" outlineLevel="0" collapsed="false">
      <c r="A125" s="298" t="s">
        <v>254</v>
      </c>
      <c r="B125" s="299" t="n">
        <f aca="false">A161</f>
        <v>12</v>
      </c>
      <c r="C125" s="300"/>
      <c r="D125" s="299" t="n">
        <f aca="false">B160</f>
        <v>5000</v>
      </c>
      <c r="E125" s="297"/>
      <c r="F125" s="19"/>
      <c r="G125" s="209"/>
      <c r="H125" s="207"/>
      <c r="I125" s="207"/>
      <c r="J125" s="207"/>
      <c r="K125" s="210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8.75" hidden="false" customHeight="true" outlineLevel="0" collapsed="false">
      <c r="A126" s="294"/>
      <c r="B126" s="295"/>
      <c r="C126" s="295"/>
      <c r="D126" s="295"/>
      <c r="E126" s="297"/>
      <c r="F126" s="19"/>
      <c r="G126" s="209" t="s">
        <v>28</v>
      </c>
      <c r="H126" s="207" t="s">
        <v>33</v>
      </c>
      <c r="I126" s="207"/>
      <c r="J126" s="207" t="s">
        <v>60</v>
      </c>
      <c r="K126" s="210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8.75" hidden="false" customHeight="true" outlineLevel="0" collapsed="false">
      <c r="A127" s="294" t="s">
        <v>92</v>
      </c>
      <c r="B127" s="295" t="s">
        <v>271</v>
      </c>
      <c r="C127" s="296"/>
      <c r="D127" s="295" t="s">
        <v>272</v>
      </c>
      <c r="E127" s="297"/>
      <c r="F127" s="19"/>
      <c r="G127" s="222" t="n">
        <f aca="false">G152</f>
        <v>12</v>
      </c>
      <c r="H127" s="174" t="n">
        <f aca="false">A152</f>
        <v>0</v>
      </c>
      <c r="I127" s="223"/>
      <c r="J127" s="174" t="n">
        <f aca="false">B151</f>
        <v>0</v>
      </c>
      <c r="K127" s="210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8.75" hidden="false" customHeight="true" outlineLevel="0" collapsed="false">
      <c r="A128" s="298" t="n">
        <f aca="false">B90</f>
        <v>623.925698086146</v>
      </c>
      <c r="B128" s="296" t="n">
        <f aca="false">IF(A105="YES", B89, 0)</f>
        <v>0</v>
      </c>
      <c r="C128" s="301"/>
      <c r="D128" s="296" t="n">
        <f aca="false">B91</f>
        <v>623.925698086146</v>
      </c>
      <c r="E128" s="297"/>
      <c r="F128" s="19"/>
      <c r="G128" s="209"/>
      <c r="H128" s="207"/>
      <c r="I128" s="207"/>
      <c r="J128" s="207"/>
      <c r="K128" s="210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8.75" hidden="false" customHeight="true" outlineLevel="0" collapsed="false">
      <c r="A129" s="291"/>
      <c r="B129" s="292"/>
      <c r="C129" s="292"/>
      <c r="D129" s="292"/>
      <c r="E129" s="293"/>
      <c r="F129" s="19"/>
      <c r="G129" s="302" t="s">
        <v>273</v>
      </c>
      <c r="H129" s="303" t="s">
        <v>274</v>
      </c>
      <c r="I129" s="303"/>
      <c r="J129" s="303" t="s">
        <v>275</v>
      </c>
      <c r="K129" s="210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366"/>
    </row>
    <row r="130" customFormat="false" ht="18.75" hidden="false" customHeight="true" outlineLevel="0" collapsed="false">
      <c r="A130" s="304" t="s">
        <v>23</v>
      </c>
      <c r="B130" s="305" t="s">
        <v>277</v>
      </c>
      <c r="C130" s="306"/>
      <c r="D130" s="305" t="s">
        <v>278</v>
      </c>
      <c r="E130" s="293"/>
      <c r="F130" s="19"/>
      <c r="G130" s="307" t="n">
        <f aca="false">H90</f>
        <v>1171.69258941778</v>
      </c>
      <c r="H130" s="172" t="n">
        <f aca="false">IF(G105="YES", H89*H57, 0)</f>
        <v>0</v>
      </c>
      <c r="I130" s="172"/>
      <c r="J130" s="308" t="n">
        <f aca="false">H91</f>
        <v>1171.69258941778</v>
      </c>
      <c r="K130" s="177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366"/>
    </row>
    <row r="131" customFormat="false" ht="18.75" hidden="false" customHeight="true" outlineLevel="0" collapsed="false">
      <c r="A131" s="309" t="str">
        <f aca="false">B99</f>
        <v>Terminal pause with 9 down</v>
      </c>
      <c r="B131" s="201" t="n">
        <f aca="false">B90*B57</f>
        <v>5615.33128277531</v>
      </c>
      <c r="C131" s="292"/>
      <c r="D131" s="201" t="n">
        <f aca="false">IF(A105="YES", B89*B57, 0)</f>
        <v>0</v>
      </c>
      <c r="E131" s="293"/>
      <c r="F131" s="19"/>
      <c r="G131" s="209"/>
      <c r="H131" s="207"/>
      <c r="I131" s="207"/>
      <c r="J131" s="207"/>
      <c r="K131" s="210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366"/>
    </row>
    <row r="132" customFormat="false" ht="18.75" hidden="false" customHeight="true" outlineLevel="0" collapsed="false">
      <c r="A132" s="291"/>
      <c r="B132" s="292"/>
      <c r="C132" s="292"/>
      <c r="D132" s="292"/>
      <c r="E132" s="293"/>
      <c r="F132" s="19"/>
      <c r="G132" s="209" t="s">
        <v>279</v>
      </c>
      <c r="H132" s="207" t="s">
        <v>280</v>
      </c>
      <c r="I132" s="207"/>
      <c r="J132" s="207" t="s">
        <v>281</v>
      </c>
      <c r="K132" s="210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8.75" hidden="false" customHeight="true" outlineLevel="0" collapsed="false">
      <c r="A133" s="123" t="s">
        <v>283</v>
      </c>
      <c r="B133" s="200" t="s">
        <v>284</v>
      </c>
      <c r="C133" s="310"/>
      <c r="D133" s="240" t="s">
        <v>177</v>
      </c>
      <c r="E133" s="293"/>
      <c r="F133" s="19"/>
      <c r="G133" s="69" t="n">
        <f aca="false">H90*H57</f>
        <v>1171.69258941778</v>
      </c>
      <c r="H133" s="37" t="n">
        <f aca="false">IF(G105="YES", H89*H57, 0)</f>
        <v>0</v>
      </c>
      <c r="I133" s="215"/>
      <c r="J133" s="232" t="n">
        <f aca="false">H91*H57</f>
        <v>1171.69258941778</v>
      </c>
      <c r="K133" s="210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8.75" hidden="false" customHeight="true" outlineLevel="0" collapsed="false">
      <c r="A134" s="70" t="n">
        <f aca="false">B91*B57</f>
        <v>5615.33128277531</v>
      </c>
      <c r="B134" s="201" t="n">
        <f aca="false">E114</f>
        <v>4000</v>
      </c>
      <c r="C134" s="292"/>
      <c r="D134" s="311" t="n">
        <f aca="false">B58</f>
        <v>3</v>
      </c>
      <c r="E134" s="293"/>
      <c r="F134" s="19"/>
      <c r="G134" s="209"/>
      <c r="H134" s="207"/>
      <c r="I134" s="207"/>
      <c r="J134" s="207"/>
      <c r="K134" s="210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8.75" hidden="false" customHeight="true" outlineLevel="0" collapsed="false">
      <c r="A135" s="70"/>
      <c r="B135" s="312"/>
      <c r="C135" s="292"/>
      <c r="D135" s="292"/>
      <c r="E135" s="293"/>
      <c r="F135" s="19"/>
      <c r="G135" s="209" t="s">
        <v>285</v>
      </c>
      <c r="H135" s="207" t="s">
        <v>286</v>
      </c>
      <c r="I135" s="207"/>
      <c r="J135" s="207" t="s">
        <v>287</v>
      </c>
      <c r="K135" s="210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8.75" hidden="false" customHeight="true" outlineLevel="0" collapsed="false">
      <c r="A136" s="78" t="s">
        <v>92</v>
      </c>
      <c r="B136" s="313" t="s">
        <v>271</v>
      </c>
      <c r="C136" s="292"/>
      <c r="D136" s="292" t="s">
        <v>272</v>
      </c>
      <c r="E136" s="293"/>
      <c r="F136" s="19"/>
      <c r="G136" s="70" t="n">
        <f aca="false">E15*0.000006</f>
        <v>0.35115</v>
      </c>
      <c r="H136" s="37" t="n">
        <f aca="false">IF(G105="YES", E15*0.000002, 0)</f>
        <v>0.11705</v>
      </c>
      <c r="I136" s="37"/>
      <c r="J136" s="37" t="n">
        <f aca="false">G136+H136</f>
        <v>0.4682</v>
      </c>
      <c r="K136" s="177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8.75" hidden="false" customHeight="true" outlineLevel="0" collapsed="false">
      <c r="A137" s="70" t="n">
        <f aca="false">B90</f>
        <v>623.925698086146</v>
      </c>
      <c r="B137" s="201" t="n">
        <f aca="false">IF(A105="YES", B89, 0)</f>
        <v>0</v>
      </c>
      <c r="C137" s="292"/>
      <c r="D137" s="201" t="n">
        <f aca="false">B91</f>
        <v>623.925698086146</v>
      </c>
      <c r="E137" s="293"/>
      <c r="F137" s="19"/>
      <c r="G137" s="209"/>
      <c r="H137" s="207"/>
      <c r="I137" s="207"/>
      <c r="J137" s="207"/>
      <c r="K137" s="210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8.75" hidden="false" customHeight="true" outlineLevel="0" collapsed="false">
      <c r="A138" s="291"/>
      <c r="B138" s="292"/>
      <c r="C138" s="292"/>
      <c r="D138" s="292"/>
      <c r="E138" s="293"/>
      <c r="F138" s="19"/>
      <c r="G138" s="209" t="s">
        <v>288</v>
      </c>
      <c r="H138" s="207" t="s">
        <v>289</v>
      </c>
      <c r="I138" s="207"/>
      <c r="J138" s="207" t="s">
        <v>290</v>
      </c>
      <c r="K138" s="210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8.75" hidden="false" customHeight="true" outlineLevel="0" collapsed="false">
      <c r="A139" s="314" t="s">
        <v>180</v>
      </c>
      <c r="B139" s="315" t="s">
        <v>291</v>
      </c>
      <c r="C139" s="201"/>
      <c r="D139" s="315" t="s">
        <v>182</v>
      </c>
      <c r="E139" s="177"/>
      <c r="F139" s="19"/>
      <c r="G139" s="70" t="n">
        <f aca="false">G102</f>
        <v>239.988</v>
      </c>
      <c r="H139" s="37" t="n">
        <f aca="false">H67</f>
        <v>289.425</v>
      </c>
      <c r="I139" s="37"/>
      <c r="J139" s="37" t="n">
        <f aca="false">H102*0.9</f>
        <v>1080</v>
      </c>
      <c r="K139" s="177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8.75" hidden="false" customHeight="true" outlineLevel="0" collapsed="false">
      <c r="A140" s="316" t="n">
        <f aca="false">(G18*0.000006)*1.2*100</f>
        <v>41.6772</v>
      </c>
      <c r="B140" s="317" t="n">
        <f aca="false">G18*0.000002 *1.2*100</f>
        <v>13.8924</v>
      </c>
      <c r="C140" s="292"/>
      <c r="D140" s="317" t="n">
        <f aca="false">A140+B140</f>
        <v>55.5696</v>
      </c>
      <c r="E140" s="293"/>
      <c r="F140" s="19"/>
      <c r="G140" s="209"/>
      <c r="H140" s="207"/>
      <c r="I140" s="207"/>
      <c r="J140" s="207"/>
      <c r="K140" s="210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8.75" hidden="false" customHeight="true" outlineLevel="0" collapsed="false">
      <c r="A141" s="316"/>
      <c r="B141" s="317"/>
      <c r="C141" s="292"/>
      <c r="D141" s="317"/>
      <c r="E141" s="293"/>
      <c r="F141" s="19"/>
      <c r="G141" s="209" t="s">
        <v>292</v>
      </c>
      <c r="H141" s="207" t="s">
        <v>293</v>
      </c>
      <c r="I141" s="207"/>
      <c r="J141" s="207" t="s">
        <v>294</v>
      </c>
      <c r="K141" s="210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8.75" hidden="false" customHeight="true" outlineLevel="0" collapsed="false">
      <c r="A142" s="314" t="s">
        <v>295</v>
      </c>
      <c r="B142" s="315" t="s">
        <v>152</v>
      </c>
      <c r="C142" s="201"/>
      <c r="D142" s="315" t="s">
        <v>246</v>
      </c>
      <c r="E142" s="293"/>
      <c r="F142" s="19"/>
      <c r="G142" s="70" t="n">
        <f aca="false">IF(G105="YES", H89*0.1, 0)</f>
        <v>0</v>
      </c>
      <c r="H142" s="37" t="n">
        <f aca="false">G102-100</f>
        <v>139.988</v>
      </c>
      <c r="I142" s="37"/>
      <c r="J142" s="37" t="n">
        <f aca="false">(H139+J139+G142+H142)-H145</f>
        <v>1509.413</v>
      </c>
      <c r="K142" s="177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8.75" hidden="false" customHeight="true" outlineLevel="0" collapsed="false">
      <c r="A143" s="70" t="n">
        <v>0</v>
      </c>
      <c r="B143" s="201" t="n">
        <f aca="false">E118</f>
        <v>199.99</v>
      </c>
      <c r="C143" s="292"/>
      <c r="D143" s="152" t="n">
        <f aca="false">B102</f>
        <v>400</v>
      </c>
      <c r="E143" s="293"/>
      <c r="F143" s="19"/>
      <c r="G143" s="209"/>
      <c r="H143" s="207"/>
      <c r="I143" s="207"/>
      <c r="J143" s="207"/>
      <c r="K143" s="210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8.75" hidden="false" customHeight="true" outlineLevel="0" collapsed="false">
      <c r="A144" s="70"/>
      <c r="B144" s="201"/>
      <c r="C144" s="292"/>
      <c r="D144" s="201"/>
      <c r="E144" s="293"/>
      <c r="F144" s="19"/>
      <c r="G144" s="209" t="s">
        <v>296</v>
      </c>
      <c r="H144" s="207" t="s">
        <v>297</v>
      </c>
      <c r="I144" s="207"/>
      <c r="J144" s="207"/>
      <c r="K144" s="210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8.75" hidden="false" customHeight="true" outlineLevel="0" collapsed="false">
      <c r="A145" s="318" t="s">
        <v>298</v>
      </c>
      <c r="B145" s="319"/>
      <c r="C145" s="320"/>
      <c r="D145" s="319"/>
      <c r="E145" s="321"/>
      <c r="F145" s="19"/>
      <c r="G145" s="70" t="n">
        <f aca="false">IF((1200-H102) &lt;= 0, 0, (1200-H102))</f>
        <v>0</v>
      </c>
      <c r="H145" s="37" t="n">
        <f aca="false">(H139+J139+G142+H142)*(G145/H64)</f>
        <v>0</v>
      </c>
      <c r="I145" s="207"/>
      <c r="J145" s="207"/>
      <c r="K145" s="210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8.75" hidden="false" customHeight="true" outlineLevel="0" collapsed="false">
      <c r="A146" s="316"/>
      <c r="B146" s="317"/>
      <c r="C146" s="292"/>
      <c r="D146" s="317"/>
      <c r="E146" s="293"/>
      <c r="F146" s="19"/>
      <c r="G146" s="209"/>
      <c r="H146" s="207"/>
      <c r="I146" s="207"/>
      <c r="J146" s="207"/>
      <c r="K146" s="210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8.75" hidden="false" customHeight="true" outlineLevel="0" collapsed="false">
      <c r="A147" s="291" t="s">
        <v>299</v>
      </c>
      <c r="B147" s="292" t="s">
        <v>300</v>
      </c>
      <c r="C147" s="292"/>
      <c r="D147" s="292" t="s">
        <v>301</v>
      </c>
      <c r="E147" s="293"/>
      <c r="F147" s="19"/>
      <c r="G147" s="209"/>
      <c r="H147" s="207"/>
      <c r="I147" s="207"/>
      <c r="J147" s="207"/>
      <c r="K147" s="210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8.75" hidden="false" customHeight="true" outlineLevel="0" collapsed="false">
      <c r="A148" s="70" t="n">
        <f aca="false">B67</f>
        <v>578.85</v>
      </c>
      <c r="B148" s="201" t="n">
        <f aca="false">B102</f>
        <v>400</v>
      </c>
      <c r="C148" s="201"/>
      <c r="D148" s="201" t="n">
        <f aca="false">IF(A105="YES", (A38/100*B105)*B125, 0)*0.001</f>
        <v>0</v>
      </c>
      <c r="E148" s="177"/>
      <c r="F148" s="19"/>
      <c r="G148" s="243" t="s">
        <v>304</v>
      </c>
      <c r="H148" s="207"/>
      <c r="I148" s="207"/>
      <c r="J148" s="244"/>
      <c r="K148" s="245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8.75" hidden="false" customHeight="true" outlineLevel="0" collapsed="false">
      <c r="A149" s="291"/>
      <c r="B149" s="292"/>
      <c r="C149" s="292"/>
      <c r="D149" s="292"/>
      <c r="E149" s="293"/>
      <c r="F149" s="19"/>
      <c r="G149" s="209"/>
      <c r="H149" s="246"/>
      <c r="I149" s="246"/>
      <c r="J149" s="207"/>
      <c r="K149" s="210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8.75" hidden="false" customHeight="true" outlineLevel="0" collapsed="false">
      <c r="A150" s="291" t="s">
        <v>305</v>
      </c>
      <c r="B150" s="292" t="s">
        <v>297</v>
      </c>
      <c r="C150" s="292"/>
      <c r="D150" s="292" t="s">
        <v>294</v>
      </c>
      <c r="E150" s="293"/>
      <c r="F150" s="19"/>
      <c r="G150" s="248" t="s">
        <v>28</v>
      </c>
      <c r="H150" s="249" t="s">
        <v>33</v>
      </c>
      <c r="I150" s="249"/>
      <c r="J150" s="207"/>
      <c r="K150" s="210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8.75" hidden="false" customHeight="true" outlineLevel="0" collapsed="false">
      <c r="A151" s="70" t="n">
        <f aca="false">E118-100</f>
        <v>99.99</v>
      </c>
      <c r="B151" s="201" t="n">
        <f aca="false">(A148+B148+D148+A151)*(A143/B64)</f>
        <v>0</v>
      </c>
      <c r="C151" s="201"/>
      <c r="D151" s="201" t="n">
        <f aca="false">(A148+B148+D148+A151)-B151</f>
        <v>1078.84</v>
      </c>
      <c r="E151" s="177"/>
      <c r="F151" s="19"/>
      <c r="G151" s="248"/>
      <c r="H151" s="250" t="n">
        <f aca="false">B51</f>
        <v>5000</v>
      </c>
      <c r="I151" s="250"/>
      <c r="J151" s="207"/>
      <c r="K151" s="210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8.75" hidden="false" customHeight="true" outlineLevel="0" collapsed="false">
      <c r="A152" s="291"/>
      <c r="B152" s="292"/>
      <c r="C152" s="292"/>
      <c r="D152" s="292"/>
      <c r="E152" s="293"/>
      <c r="F152" s="19"/>
      <c r="G152" s="251" t="n">
        <f aca="false">A52</f>
        <v>12</v>
      </c>
      <c r="H152" s="92" t="n">
        <f aca="false">H91</f>
        <v>1171.69258941778</v>
      </c>
      <c r="I152" s="92"/>
      <c r="J152" s="207"/>
      <c r="K152" s="210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8.75" hidden="false" customHeight="true" outlineLevel="0" collapsed="false">
      <c r="A153" s="291" t="s">
        <v>306</v>
      </c>
      <c r="B153" s="292"/>
      <c r="C153" s="292"/>
      <c r="D153" s="292"/>
      <c r="E153" s="293"/>
      <c r="F153" s="19"/>
      <c r="G153" s="209"/>
      <c r="H153" s="207"/>
      <c r="I153" s="207"/>
      <c r="J153" s="207"/>
      <c r="K153" s="210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9.5" hidden="false" customHeight="true" outlineLevel="0" collapsed="false">
      <c r="A154" s="70" t="n">
        <f aca="false">D102</f>
        <v>200</v>
      </c>
      <c r="B154" s="201"/>
      <c r="C154" s="292"/>
      <c r="D154" s="292"/>
      <c r="E154" s="293"/>
      <c r="F154" s="19"/>
      <c r="G154" s="209"/>
      <c r="H154" s="207"/>
      <c r="I154" s="207"/>
      <c r="J154" s="207"/>
      <c r="K154" s="210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8.75" hidden="false" customHeight="true" outlineLevel="0" collapsed="false">
      <c r="A155" s="291"/>
      <c r="B155" s="292"/>
      <c r="C155" s="292"/>
      <c r="D155" s="292"/>
      <c r="E155" s="293"/>
      <c r="F155" s="19"/>
      <c r="G155" s="209"/>
      <c r="H155" s="207"/>
      <c r="I155" s="207"/>
      <c r="J155" s="207"/>
      <c r="K155" s="210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8.75" hidden="false" customHeight="true" outlineLevel="0" collapsed="false">
      <c r="A156" s="291"/>
      <c r="B156" s="292"/>
      <c r="C156" s="292"/>
      <c r="D156" s="292"/>
      <c r="E156" s="293"/>
      <c r="F156" s="19"/>
      <c r="G156" s="209"/>
      <c r="H156" s="207"/>
      <c r="I156" s="207"/>
      <c r="J156" s="207"/>
      <c r="K156" s="210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8.75" hidden="false" customHeight="true" outlineLevel="0" collapsed="false">
      <c r="A157" s="324" t="s">
        <v>304</v>
      </c>
      <c r="B157" s="292"/>
      <c r="C157" s="292"/>
      <c r="D157" s="325"/>
      <c r="E157" s="326"/>
      <c r="F157" s="19"/>
      <c r="G157" s="252"/>
      <c r="H157" s="253"/>
      <c r="I157" s="253"/>
      <c r="J157" s="253"/>
      <c r="K157" s="254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8.75" hidden="false" customHeight="true" outlineLevel="0" collapsed="false">
      <c r="A158" s="291"/>
      <c r="B158" s="327"/>
      <c r="C158" s="327"/>
      <c r="D158" s="292"/>
      <c r="E158" s="293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8.75" hidden="false" customHeight="true" outlineLevel="0" collapsed="false">
      <c r="A159" s="248" t="s">
        <v>28</v>
      </c>
      <c r="B159" s="249" t="s">
        <v>33</v>
      </c>
      <c r="C159" s="249"/>
      <c r="D159" s="292"/>
      <c r="E159" s="293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8.75" hidden="false" customHeight="true" outlineLevel="0" collapsed="false">
      <c r="A160" s="248"/>
      <c r="B160" s="250" t="n">
        <f aca="false">B51</f>
        <v>5000</v>
      </c>
      <c r="C160" s="250"/>
      <c r="D160" s="292"/>
      <c r="E160" s="293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8.75" hidden="false" customHeight="true" outlineLevel="0" collapsed="false">
      <c r="A161" s="251" t="n">
        <f aca="false">A52</f>
        <v>12</v>
      </c>
      <c r="B161" s="92" t="n">
        <f aca="false">B91</f>
        <v>623.925698086146</v>
      </c>
      <c r="C161" s="92"/>
      <c r="D161" s="292"/>
      <c r="E161" s="293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8.75" hidden="false" customHeight="true" outlineLevel="0" collapsed="false">
      <c r="A162" s="291"/>
      <c r="B162" s="292"/>
      <c r="C162" s="292"/>
      <c r="D162" s="292"/>
      <c r="E162" s="293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8.75" hidden="false" customHeight="true" outlineLevel="0" collapsed="false">
      <c r="A163" s="291"/>
      <c r="B163" s="292"/>
      <c r="C163" s="292"/>
      <c r="D163" s="292"/>
      <c r="E163" s="293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8.75" hidden="false" customHeight="true" outlineLevel="0" collapsed="false">
      <c r="A164" s="291"/>
      <c r="B164" s="292"/>
      <c r="C164" s="292"/>
      <c r="D164" s="292"/>
      <c r="E164" s="293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8.75" hidden="false" customHeight="true" outlineLevel="0" collapsed="false">
      <c r="A165" s="328" t="s">
        <v>270</v>
      </c>
      <c r="B165" s="328"/>
      <c r="C165" s="328"/>
      <c r="D165" s="328"/>
      <c r="E165" s="328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8.75" hidden="false" customHeight="true" outlineLevel="0" collapsed="false">
      <c r="A166" s="291"/>
      <c r="B166" s="329"/>
      <c r="C166" s="329"/>
      <c r="D166" s="329"/>
      <c r="E166" s="293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8.75" hidden="false" customHeight="true" outlineLevel="0" collapsed="false">
      <c r="A167" s="294" t="s">
        <v>98</v>
      </c>
      <c r="B167" s="330" t="s">
        <v>174</v>
      </c>
      <c r="C167" s="331"/>
      <c r="D167" s="330" t="s">
        <v>33</v>
      </c>
      <c r="E167" s="297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8.75" hidden="false" customHeight="true" outlineLevel="0" collapsed="false">
      <c r="A168" s="298" t="s">
        <v>254</v>
      </c>
      <c r="B168" s="332" t="n">
        <f aca="false">A161</f>
        <v>12</v>
      </c>
      <c r="C168" s="333"/>
      <c r="D168" s="331" t="n">
        <f aca="false">B160</f>
        <v>5000</v>
      </c>
      <c r="E168" s="297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8.75" hidden="false" customHeight="true" outlineLevel="0" collapsed="false">
      <c r="A169" s="294"/>
      <c r="B169" s="330"/>
      <c r="C169" s="330"/>
      <c r="D169" s="330"/>
      <c r="E169" s="297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8.75" hidden="false" customHeight="true" outlineLevel="0" collapsed="false">
      <c r="A170" s="294" t="s">
        <v>92</v>
      </c>
      <c r="B170" s="330" t="s">
        <v>271</v>
      </c>
      <c r="C170" s="331"/>
      <c r="D170" s="330" t="s">
        <v>272</v>
      </c>
      <c r="E170" s="297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8.75" hidden="false" customHeight="true" outlineLevel="0" collapsed="false">
      <c r="A171" s="298" t="n">
        <f aca="false">B90</f>
        <v>623.925698086146</v>
      </c>
      <c r="B171" s="331" t="n">
        <f aca="false">IF(A105="YES", B89, 0)</f>
        <v>0</v>
      </c>
      <c r="C171" s="334"/>
      <c r="D171" s="331" t="n">
        <f aca="false">B91</f>
        <v>623.925698086146</v>
      </c>
      <c r="E171" s="297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8.75" hidden="false" customHeight="true" outlineLevel="0" collapsed="false">
      <c r="A172" s="291"/>
      <c r="B172" s="329"/>
      <c r="C172" s="329"/>
      <c r="D172" s="329"/>
      <c r="E172" s="293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8.75" hidden="false" customHeight="true" outlineLevel="0" collapsed="false">
      <c r="A173" s="304" t="s">
        <v>23</v>
      </c>
      <c r="B173" s="335" t="s">
        <v>277</v>
      </c>
      <c r="C173" s="223"/>
      <c r="D173" s="335" t="s">
        <v>278</v>
      </c>
      <c r="E173" s="293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8.75" hidden="false" customHeight="true" outlineLevel="0" collapsed="false">
      <c r="A174" s="309" t="str">
        <f aca="false">B99</f>
        <v>Terminal pause with 9 down</v>
      </c>
      <c r="B174" s="37" t="n">
        <f aca="false">B90*B57</f>
        <v>5615.33128277531</v>
      </c>
      <c r="C174" s="329"/>
      <c r="D174" s="37" t="n">
        <f aca="false">IF(A105="YES", B89*B57, 0)</f>
        <v>0</v>
      </c>
      <c r="E174" s="293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8.75" hidden="false" customHeight="true" outlineLevel="0" collapsed="false">
      <c r="A175" s="291"/>
      <c r="B175" s="329"/>
      <c r="C175" s="329"/>
      <c r="D175" s="329"/>
      <c r="E175" s="293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8.75" hidden="false" customHeight="true" outlineLevel="0" collapsed="false">
      <c r="A176" s="123" t="s">
        <v>283</v>
      </c>
      <c r="B176" s="38" t="s">
        <v>284</v>
      </c>
      <c r="C176" s="336"/>
      <c r="D176" s="233" t="s">
        <v>177</v>
      </c>
      <c r="E176" s="293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8.75" hidden="false" customHeight="true" outlineLevel="0" collapsed="false">
      <c r="A177" s="70" t="n">
        <f aca="false">B91*B57</f>
        <v>5615.33128277531</v>
      </c>
      <c r="B177" s="37" t="n">
        <f aca="false">E114</f>
        <v>4000</v>
      </c>
      <c r="C177" s="329"/>
      <c r="D177" s="337" t="n">
        <f aca="false">B58</f>
        <v>3</v>
      </c>
      <c r="E177" s="293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8.75" hidden="false" customHeight="true" outlineLevel="0" collapsed="false">
      <c r="A178" s="70"/>
      <c r="B178" s="338"/>
      <c r="C178" s="329"/>
      <c r="D178" s="329"/>
      <c r="E178" s="293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8.75" hidden="false" customHeight="true" outlineLevel="0" collapsed="false">
      <c r="A179" s="78" t="s">
        <v>92</v>
      </c>
      <c r="B179" s="339" t="s">
        <v>271</v>
      </c>
      <c r="C179" s="329"/>
      <c r="D179" s="329" t="s">
        <v>272</v>
      </c>
      <c r="E179" s="293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8.75" hidden="false" customHeight="true" outlineLevel="0" collapsed="false">
      <c r="A180" s="70" t="n">
        <f aca="false">B90</f>
        <v>623.925698086146</v>
      </c>
      <c r="B180" s="37" t="n">
        <f aca="false">IF(A105="YES", B89, 0)</f>
        <v>0</v>
      </c>
      <c r="C180" s="329"/>
      <c r="D180" s="37" t="n">
        <f aca="false">B91</f>
        <v>623.925698086146</v>
      </c>
      <c r="E180" s="293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8.75" hidden="false" customHeight="true" outlineLevel="0" collapsed="false">
      <c r="A181" s="291"/>
      <c r="B181" s="329"/>
      <c r="C181" s="329"/>
      <c r="D181" s="329"/>
      <c r="E181" s="293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8.75" hidden="false" customHeight="true" outlineLevel="0" collapsed="false">
      <c r="A182" s="314" t="s">
        <v>180</v>
      </c>
      <c r="B182" s="340" t="s">
        <v>291</v>
      </c>
      <c r="C182" s="37"/>
      <c r="D182" s="340" t="s">
        <v>182</v>
      </c>
      <c r="E182" s="177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8.75" hidden="false" customHeight="true" outlineLevel="0" collapsed="false">
      <c r="A183" s="316" t="n">
        <f aca="false">(G18*0.000006)*1.2*100</f>
        <v>41.6772</v>
      </c>
      <c r="B183" s="341" t="n">
        <f aca="false">G18*0.000002 *1.2*100</f>
        <v>13.8924</v>
      </c>
      <c r="C183" s="329"/>
      <c r="D183" s="341" t="n">
        <f aca="false">A183+B183</f>
        <v>55.5696</v>
      </c>
      <c r="E183" s="293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8.75" hidden="false" customHeight="true" outlineLevel="0" collapsed="false">
      <c r="A184" s="316"/>
      <c r="B184" s="341"/>
      <c r="C184" s="329"/>
      <c r="D184" s="341"/>
      <c r="E184" s="293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8.75" hidden="false" customHeight="true" outlineLevel="0" collapsed="false">
      <c r="A185" s="314" t="s">
        <v>295</v>
      </c>
      <c r="B185" s="340" t="s">
        <v>152</v>
      </c>
      <c r="C185" s="37"/>
      <c r="D185" s="340" t="s">
        <v>246</v>
      </c>
      <c r="E185" s="293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8.75" hidden="false" customHeight="true" outlineLevel="0" collapsed="false">
      <c r="A186" s="70" t="n">
        <v>0</v>
      </c>
      <c r="B186" s="37" t="n">
        <f aca="false">E118</f>
        <v>199.99</v>
      </c>
      <c r="C186" s="329"/>
      <c r="D186" s="152" t="n">
        <f aca="false">B102</f>
        <v>400</v>
      </c>
      <c r="E186" s="293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8.75" hidden="false" customHeight="true" outlineLevel="0" collapsed="false">
      <c r="A187" s="70"/>
      <c r="B187" s="37"/>
      <c r="C187" s="329"/>
      <c r="D187" s="37"/>
      <c r="E187" s="293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8.75" hidden="false" customHeight="true" outlineLevel="0" collapsed="false">
      <c r="A188" s="318" t="s">
        <v>298</v>
      </c>
      <c r="B188" s="319"/>
      <c r="C188" s="320"/>
      <c r="D188" s="319"/>
      <c r="E188" s="321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8.75" hidden="false" customHeight="true" outlineLevel="0" collapsed="false">
      <c r="A189" s="316"/>
      <c r="B189" s="341"/>
      <c r="C189" s="329"/>
      <c r="D189" s="341"/>
      <c r="E189" s="293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8.75" hidden="false" customHeight="true" outlineLevel="0" collapsed="false">
      <c r="A190" s="291" t="s">
        <v>299</v>
      </c>
      <c r="B190" s="329" t="s">
        <v>300</v>
      </c>
      <c r="C190" s="329"/>
      <c r="D190" s="329" t="s">
        <v>301</v>
      </c>
      <c r="E190" s="293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8.75" hidden="false" customHeight="true" outlineLevel="0" collapsed="false">
      <c r="A191" s="70" t="n">
        <f aca="false">B67</f>
        <v>578.85</v>
      </c>
      <c r="B191" s="37" t="n">
        <f aca="false">B102</f>
        <v>400</v>
      </c>
      <c r="C191" s="37"/>
      <c r="D191" s="37" t="n">
        <f aca="false">IF(A105="YES", (A38/100*B105)*B125, 0)*0.001</f>
        <v>0</v>
      </c>
      <c r="E191" s="177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8.75" hidden="false" customHeight="true" outlineLevel="0" collapsed="false">
      <c r="A192" s="291"/>
      <c r="B192" s="329"/>
      <c r="C192" s="329"/>
      <c r="D192" s="329"/>
      <c r="E192" s="293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8.75" hidden="false" customHeight="true" outlineLevel="0" collapsed="false">
      <c r="A193" s="291" t="s">
        <v>305</v>
      </c>
      <c r="B193" s="329" t="s">
        <v>297</v>
      </c>
      <c r="C193" s="329"/>
      <c r="D193" s="329" t="s">
        <v>294</v>
      </c>
      <c r="E193" s="293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8.75" hidden="false" customHeight="true" outlineLevel="0" collapsed="false">
      <c r="A194" s="70" t="n">
        <f aca="false">E118-100</f>
        <v>99.99</v>
      </c>
      <c r="B194" s="37" t="n">
        <f aca="false">(A148+B148+D148+A151)*(A143/B64)</f>
        <v>0</v>
      </c>
      <c r="C194" s="37"/>
      <c r="D194" s="37" t="n">
        <f aca="false">(A148+B148+D148+A151)-B151</f>
        <v>1078.84</v>
      </c>
      <c r="E194" s="177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8.75" hidden="false" customHeight="true" outlineLevel="0" collapsed="false">
      <c r="A195" s="291"/>
      <c r="B195" s="329"/>
      <c r="C195" s="329"/>
      <c r="D195" s="329"/>
      <c r="E195" s="293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8.75" hidden="false" customHeight="true" outlineLevel="0" collapsed="false">
      <c r="A196" s="291" t="s">
        <v>306</v>
      </c>
      <c r="B196" s="329"/>
      <c r="C196" s="329"/>
      <c r="D196" s="329"/>
      <c r="E196" s="293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8.75" hidden="false" customHeight="true" outlineLevel="0" collapsed="false">
      <c r="A197" s="70" t="n">
        <f aca="false">D102</f>
        <v>200</v>
      </c>
      <c r="B197" s="37"/>
      <c r="C197" s="329"/>
      <c r="D197" s="329"/>
      <c r="E197" s="293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8.75" hidden="false" customHeight="true" outlineLevel="0" collapsed="false">
      <c r="A198" s="342"/>
      <c r="B198" s="343"/>
      <c r="C198" s="343"/>
      <c r="D198" s="343"/>
      <c r="E198" s="344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8.75" hidden="false" customHeight="true" outlineLevel="0" collapsed="false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8.75" hidden="false" customHeight="true" outlineLevel="0" collapsed="false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8.75" hidden="false" customHeight="true" outlineLevel="0" collapsed="false">
      <c r="A201" s="328" t="s">
        <v>185</v>
      </c>
      <c r="B201" s="328"/>
      <c r="C201" s="328"/>
      <c r="D201" s="328"/>
      <c r="E201" s="328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8.75" hidden="false" customHeight="true" outlineLevel="0" collapsed="false">
      <c r="A202" s="291"/>
      <c r="B202" s="292"/>
      <c r="C202" s="292"/>
      <c r="D202" s="292"/>
      <c r="E202" s="293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8.75" hidden="false" customHeight="true" outlineLevel="0" collapsed="false">
      <c r="A203" s="294" t="s">
        <v>186</v>
      </c>
      <c r="B203" s="345" t="n">
        <f aca="false">H29</f>
        <v>12</v>
      </c>
      <c r="C203" s="296" t="s">
        <v>188</v>
      </c>
      <c r="D203" s="346" t="n">
        <f aca="false">D64</f>
        <v>4051.95</v>
      </c>
      <c r="E203" s="297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8.75" hidden="false" customHeight="true" outlineLevel="0" collapsed="false">
      <c r="A204" s="298"/>
      <c r="B204" s="299"/>
      <c r="C204" s="300"/>
      <c r="D204" s="299"/>
      <c r="E204" s="297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8.75" hidden="false" customHeight="true" outlineLevel="0" collapsed="false">
      <c r="A205" s="294" t="s">
        <v>189</v>
      </c>
      <c r="B205" s="296" t="n">
        <f aca="false">B213</f>
        <v>578.85</v>
      </c>
      <c r="C205" s="295" t="s">
        <v>190</v>
      </c>
      <c r="D205" s="346" t="n">
        <f aca="false">B219+E215+B215+B217</f>
        <v>339.99</v>
      </c>
      <c r="E205" s="297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8.75" hidden="false" customHeight="true" outlineLevel="0" collapsed="false">
      <c r="A206" s="294"/>
      <c r="B206" s="347"/>
      <c r="C206" s="296"/>
      <c r="D206" s="295"/>
      <c r="E206" s="297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8.75" hidden="false" customHeight="true" outlineLevel="0" collapsed="false">
      <c r="A207" s="298" t="s">
        <v>191</v>
      </c>
      <c r="B207" s="296" t="n">
        <f aca="false">E217</f>
        <v>3813.09</v>
      </c>
      <c r="C207" s="300"/>
      <c r="D207" s="296"/>
      <c r="E207" s="297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8.75" hidden="false" customHeight="true" outlineLevel="0" collapsed="false">
      <c r="A208" s="291"/>
      <c r="B208" s="313"/>
      <c r="C208" s="292"/>
      <c r="D208" s="292"/>
      <c r="E208" s="293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8.75" hidden="false" customHeight="true" outlineLevel="0" collapsed="false">
      <c r="A209" s="222" t="s">
        <v>186</v>
      </c>
      <c r="B209" s="348" t="n">
        <v>0.065</v>
      </c>
      <c r="C209" s="306"/>
      <c r="D209" s="305"/>
      <c r="E209" s="293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8.75" hidden="false" customHeight="true" outlineLevel="0" collapsed="false">
      <c r="A210" s="349"/>
      <c r="B210" s="200"/>
      <c r="C210" s="292"/>
      <c r="D210" s="201"/>
      <c r="E210" s="293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8.75" hidden="false" customHeight="true" outlineLevel="0" collapsed="false">
      <c r="A211" s="350" t="s">
        <v>188</v>
      </c>
      <c r="B211" s="60" t="n">
        <f aca="false">D64</f>
        <v>4051.95</v>
      </c>
      <c r="C211" s="351" t="s">
        <v>194</v>
      </c>
      <c r="D211" s="292"/>
      <c r="E211" s="352" t="n">
        <f aca="false">B66</f>
        <v>0.01</v>
      </c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8.75" hidden="false" customHeight="true" outlineLevel="0" collapsed="false">
      <c r="A212" s="69"/>
      <c r="B212" s="200"/>
      <c r="C212" s="310"/>
      <c r="D212" s="240"/>
      <c r="E212" s="293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8.75" hidden="false" customHeight="true" outlineLevel="0" collapsed="false">
      <c r="A213" s="70" t="s">
        <v>194</v>
      </c>
      <c r="B213" s="60" t="n">
        <f aca="false">B67</f>
        <v>578.85</v>
      </c>
      <c r="C213" s="310" t="s">
        <v>307</v>
      </c>
      <c r="D213" s="353"/>
      <c r="E213" s="103" t="n">
        <v>0.001</v>
      </c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8.75" hidden="false" customHeight="true" outlineLevel="0" collapsed="false">
      <c r="A214" s="70"/>
      <c r="B214" s="313"/>
      <c r="C214" s="310"/>
      <c r="D214" s="292"/>
      <c r="E214" s="293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8.75" hidden="false" customHeight="true" outlineLevel="0" collapsed="false">
      <c r="A215" s="70" t="s">
        <v>307</v>
      </c>
      <c r="B215" s="233" t="n">
        <f aca="false">B191*E213*100</f>
        <v>40</v>
      </c>
      <c r="C215" s="310" t="s">
        <v>196</v>
      </c>
      <c r="D215" s="292"/>
      <c r="E215" s="20" t="n">
        <f aca="false">A194</f>
        <v>99.99</v>
      </c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8.75" hidden="false" customHeight="true" outlineLevel="0" collapsed="false">
      <c r="A216" s="70"/>
      <c r="B216" s="200"/>
      <c r="C216" s="310"/>
      <c r="D216" s="201"/>
      <c r="E216" s="293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8.75" hidden="false" customHeight="true" outlineLevel="0" collapsed="false">
      <c r="A217" s="350" t="s">
        <v>308</v>
      </c>
      <c r="B217" s="233" t="n">
        <f aca="false">B78-(B78*(E213*100))</f>
        <v>200</v>
      </c>
      <c r="C217" s="310" t="s">
        <v>191</v>
      </c>
      <c r="D217" s="292"/>
      <c r="E217" s="20" t="n">
        <f aca="false">(B211-B205+D205)</f>
        <v>3813.09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8.75" hidden="false" customHeight="true" outlineLevel="0" collapsed="false">
      <c r="A218" s="354"/>
      <c r="B218" s="315"/>
      <c r="C218" s="201"/>
      <c r="D218" s="315"/>
      <c r="E218" s="163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8.75" hidden="false" customHeight="true" outlineLevel="0" collapsed="false">
      <c r="A219" s="354" t="s">
        <v>309</v>
      </c>
      <c r="B219" s="315" t="n">
        <f aca="false">D191/0.1</f>
        <v>0</v>
      </c>
      <c r="C219" s="201"/>
      <c r="D219" s="315"/>
      <c r="E219" s="163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8.75" hidden="false" customHeight="true" outlineLevel="0" collapsed="false">
      <c r="A220" s="354"/>
      <c r="B220" s="315"/>
      <c r="C220" s="201"/>
      <c r="D220" s="315"/>
      <c r="E220" s="163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8.75" hidden="false" customHeight="true" outlineLevel="0" collapsed="false">
      <c r="A221" s="318" t="s">
        <v>310</v>
      </c>
      <c r="B221" s="355"/>
      <c r="C221" s="320"/>
      <c r="D221" s="319"/>
      <c r="E221" s="321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18.75" hidden="false" customHeight="true" outlineLevel="0" collapsed="false">
      <c r="A222" s="316"/>
      <c r="B222" s="356"/>
      <c r="C222" s="292"/>
      <c r="D222" s="317"/>
      <c r="E222" s="293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18.75" hidden="false" customHeight="true" outlineLevel="0" collapsed="false">
      <c r="A223" s="316" t="s">
        <v>198</v>
      </c>
      <c r="B223" s="60" t="n">
        <f aca="false">B71</f>
        <v>200</v>
      </c>
      <c r="C223" s="310" t="s">
        <v>199</v>
      </c>
      <c r="D223" s="317"/>
      <c r="E223" s="150" t="n">
        <f aca="false">B72</f>
        <v>5</v>
      </c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18.75" hidden="false" customHeight="true" outlineLevel="0" collapsed="false">
      <c r="A224" s="316"/>
      <c r="B224" s="356"/>
      <c r="C224" s="310" t="s">
        <v>200</v>
      </c>
      <c r="D224" s="317"/>
      <c r="E224" s="20" t="n">
        <f aca="false">D73</f>
        <v>260</v>
      </c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18.75" hidden="false" customHeight="true" outlineLevel="0" collapsed="false">
      <c r="A225" s="316" t="s">
        <v>201</v>
      </c>
      <c r="B225" s="357" t="n">
        <f aca="false">B68</f>
        <v>0.0075</v>
      </c>
      <c r="C225" s="310" t="s">
        <v>202</v>
      </c>
      <c r="D225" s="317"/>
      <c r="E225" s="352" t="n">
        <f aca="false">B69</f>
        <v>0.12</v>
      </c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18.75" hidden="false" customHeight="true" outlineLevel="0" collapsed="false">
      <c r="A226" s="316"/>
      <c r="B226" s="356"/>
      <c r="C226" s="310" t="s">
        <v>203</v>
      </c>
      <c r="D226" s="317"/>
      <c r="E226" s="20" t="n">
        <f aca="false">B86</f>
        <v>96.4917103670835</v>
      </c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customFormat="false" ht="18.75" hidden="false" customHeight="true" outlineLevel="0" collapsed="false">
      <c r="A227" s="316" t="s">
        <v>204</v>
      </c>
      <c r="B227" s="60" t="n">
        <f aca="false">B79</f>
        <v>200</v>
      </c>
      <c r="C227" s="358" t="s">
        <v>311</v>
      </c>
      <c r="D227" s="359"/>
      <c r="E227" s="150" t="n">
        <f aca="false">B74</f>
        <v>0</v>
      </c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18.75" hidden="false" customHeight="true" outlineLevel="0" collapsed="false">
      <c r="A228" s="350"/>
      <c r="B228" s="313"/>
      <c r="C228" s="358"/>
      <c r="D228" s="360"/>
      <c r="E228" s="361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18.75" hidden="false" customHeight="true" outlineLevel="0" collapsed="false">
      <c r="A229" s="70" t="s">
        <v>205</v>
      </c>
      <c r="B229" s="60" t="n">
        <f aca="false">B80</f>
        <v>200</v>
      </c>
      <c r="C229" s="362" t="s">
        <v>312</v>
      </c>
      <c r="D229" s="362"/>
      <c r="E229" s="150" t="n">
        <f aca="false">B75</f>
        <v>0</v>
      </c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18.75" hidden="false" customHeight="true" outlineLevel="0" collapsed="false">
      <c r="A230" s="291"/>
      <c r="B230" s="292"/>
      <c r="C230" s="292"/>
      <c r="D230" s="292"/>
      <c r="E230" s="293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18.75" hidden="false" customHeight="true" outlineLevel="0" collapsed="false">
      <c r="A231" s="291"/>
      <c r="B231" s="292"/>
      <c r="C231" s="292"/>
      <c r="D231" s="292"/>
      <c r="E231" s="293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8.75" hidden="false" customHeight="true" outlineLevel="0" collapsed="false">
      <c r="A232" s="70"/>
      <c r="B232" s="201"/>
      <c r="C232" s="201"/>
      <c r="D232" s="201"/>
      <c r="E232" s="177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18.75" hidden="false" customHeight="true" outlineLevel="0" collapsed="false">
      <c r="A233" s="291"/>
      <c r="B233" s="292"/>
      <c r="C233" s="292"/>
      <c r="D233" s="292"/>
      <c r="E233" s="293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18.75" hidden="false" customHeight="true" outlineLevel="0" collapsed="false">
      <c r="A234" s="291"/>
      <c r="B234" s="292"/>
      <c r="C234" s="292"/>
      <c r="D234" s="292"/>
      <c r="E234" s="293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18.75" hidden="false" customHeight="true" outlineLevel="0" collapsed="false">
      <c r="A235" s="70"/>
      <c r="B235" s="201"/>
      <c r="C235" s="292"/>
      <c r="D235" s="292"/>
      <c r="E235" s="293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18.75" hidden="false" customHeight="true" outlineLevel="0" collapsed="false">
      <c r="A236" s="342"/>
      <c r="B236" s="343"/>
      <c r="C236" s="343"/>
      <c r="D236" s="343"/>
      <c r="E236" s="344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18.75" hidden="false" customHeight="true" outlineLevel="0" collapsed="false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18.75" hidden="false" customHeight="true" outlineLevel="0" collapsed="false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18.75" hidden="false" customHeight="true" outlineLevel="0" collapsed="false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18.75" hidden="false" customHeight="true" outlineLevel="0" collapsed="false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18.75" hidden="false" customHeight="true" outlineLevel="0" collapsed="false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18.75" hidden="false" customHeight="true" outlineLevel="0" collapsed="false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18.75" hidden="false" customHeight="tru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18.75" hidden="false" customHeight="tru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18.75" hidden="false" customHeight="tru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18.75" hidden="false" customHeight="tru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18.75" hidden="false" customHeight="tru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18.75" hidden="false" customHeight="tru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18.75" hidden="false" customHeight="tru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18.75" hidden="false" customHeight="tru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18.75" hidden="false" customHeight="tru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18.75" hidden="false" customHeight="tru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18.75" hidden="false" customHeight="tru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18.75" hidden="false" customHeight="tru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18.75" hidden="false" customHeight="tru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18.75" hidden="false" customHeight="tru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18.75" hidden="false" customHeight="tru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18.75" hidden="false" customHeight="tru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18.75" hidden="false" customHeight="tru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18.75" hidden="false" customHeight="tru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18.75" hidden="false" customHeight="tru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18.75" hidden="false" customHeight="tru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18.75" hidden="false" customHeight="tru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18.75" hidden="false" customHeight="tru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18.75" hidden="false" customHeight="tru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18.75" hidden="false" customHeight="tru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18.75" hidden="false" customHeight="tru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18.75" hidden="false" customHeight="tru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18.75" hidden="false" customHeight="tru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18.75" hidden="false" customHeight="tru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18.75" hidden="false" customHeight="tru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18.75" hidden="false" customHeight="tru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18.75" hidden="false" customHeight="tru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18.75" hidden="false" customHeight="tru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18.75" hidden="false" customHeight="tru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18.75" hidden="false" customHeight="tru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18.75" hidden="false" customHeight="tru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18.75" hidden="false" customHeight="tru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18.75" hidden="false" customHeight="tru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18.75" hidden="false" customHeight="tru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18.75" hidden="false" customHeight="tru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18.75" hidden="false" customHeight="tru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18.75" hidden="false" customHeight="tru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18.75" hidden="false" customHeight="tru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18.75" hidden="false" customHeight="tru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18.75" hidden="false" customHeight="tru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18.75" hidden="false" customHeight="tru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18.75" hidden="false" customHeight="tru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18.75" hidden="false" customHeight="tru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18.75" hidden="false" customHeight="tru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18.75" hidden="false" customHeight="tru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18.75" hidden="false" customHeight="tru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18.75" hidden="false" customHeight="tru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18.75" hidden="false" customHeight="tru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18.75" hidden="false" customHeight="tru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18.75" hidden="false" customHeight="tru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18.75" hidden="false" customHeight="tru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18.75" hidden="false" customHeight="tru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18.75" hidden="false" customHeight="tru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18.75" hidden="false" customHeight="tru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18.75" hidden="false" customHeight="tru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18.75" hidden="false" customHeight="tru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18.75" hidden="false" customHeight="tru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18.75" hidden="false" customHeight="tru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18.75" hidden="false" customHeight="tru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18.75" hidden="false" customHeight="tru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18.75" hidden="false" customHeight="tru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18.75" hidden="false" customHeight="tru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18.75" hidden="false" customHeight="tru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18.75" hidden="false" customHeight="tru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18.75" hidden="false" customHeight="tru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18.75" hidden="false" customHeight="tru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18.75" hidden="false" customHeight="tru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18.75" hidden="false" customHeight="tru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18.75" hidden="false" customHeight="tru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18.75" hidden="false" customHeight="tru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18.75" hidden="false" customHeight="tru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18.75" hidden="false" customHeight="tru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18.75" hidden="false" customHeight="tru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18.75" hidden="false" customHeight="tru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18.75" hidden="false" customHeight="tru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18.75" hidden="false" customHeight="tru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18.75" hidden="false" customHeight="tru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18.75" hidden="false" customHeight="tru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18.75" hidden="false" customHeight="tru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18.75" hidden="false" customHeight="tru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18.75" hidden="false" customHeight="tru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18.75" hidden="false" customHeight="tru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18.75" hidden="false" customHeight="tru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18.75" hidden="false" customHeight="tru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18.75" hidden="false" customHeight="tru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18.75" hidden="false" customHeight="tru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18.75" hidden="false" customHeight="tru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18.75" hidden="false" customHeight="tru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18.75" hidden="false" customHeight="tru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18.75" hidden="false" customHeight="tru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18.75" hidden="false" customHeight="tru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18.75" hidden="false" customHeight="tru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18.75" hidden="false" customHeight="tru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18.75" hidden="false" customHeight="tru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18.75" hidden="false" customHeight="tru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18.75" hidden="false" customHeight="tru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18.75" hidden="false" customHeight="tru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18.75" hidden="false" customHeight="tru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18.75" hidden="false" customHeight="tru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18.75" hidden="false" customHeight="tru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18.75" hidden="false" customHeight="tru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18.75" hidden="false" customHeight="tru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18.75" hidden="false" customHeight="tru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18.75" hidden="false" customHeight="tru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18.75" hidden="false" customHeight="tru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18.75" hidden="false" customHeight="tru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operator="between" showDropDown="false" showErrorMessage="true" showInputMessage="false" sqref="H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A18:A20" type="list">
      <formula1>#ref!</formula1>
      <formula2>0</formula2>
    </dataValidation>
    <dataValidation allowBlank="true" operator="between" showDropDown="false" showErrorMessage="true" showInputMessage="false" sqref="N99:O99" type="list">
      <formula1>#ref!</formula1>
      <formula2>0</formula2>
    </dataValidation>
    <dataValidation allowBlank="true" operator="between" showDropDown="false" showErrorMessage="true" showInputMessage="false" sqref="B110" type="list">
      <formula1>"NO,YES"</formula1>
      <formula2>0</formula2>
    </dataValidation>
    <dataValidation allowBlank="true" operator="between" showDropDown="false" showErrorMessage="true" showInputMessage="false" sqref="A105" type="list">
      <formula1>"NO,YES"</formula1>
      <formula2>0</formula2>
    </dataValidation>
    <dataValidation allowBlank="true" operator="between" showDropDown="false" showErrorMessage="true" showInputMessage="false" sqref="B38" type="list">
      <formula1>"NO,YES"</formula1>
      <formula2>0</formula2>
    </dataValidation>
    <dataValidation allowBlank="true" operator="between" showDropDown="false" showErrorMessage="true" showInputMessage="false" sqref="B99" type="list">
      <formula1>'BCH (Formula 3) - BCH'!$Z$101:$Z$109</formula1>
      <formula2>0</formula2>
    </dataValidation>
    <dataValidation allowBlank="true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48576"/>
  <sheetViews>
    <sheetView showFormulas="false" showGridLines="true" showRowColHeaders="true" showZeros="true" rightToLeft="false" tabSelected="false" showOutlineSymbols="true" defaultGridColor="true" view="normal" topLeftCell="A213" colorId="64" zoomScale="75" zoomScaleNormal="75" zoomScalePageLayoutView="100" workbookViewId="0">
      <selection pane="topLeft" activeCell="B240" activeCellId="0" sqref="B240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4"/>
      <c r="H1" s="4"/>
      <c r="I1" s="2"/>
      <c r="J1" s="2"/>
    </row>
    <row r="2" customFormat="false" ht="19.7" hidden="false" customHeight="false" outlineLevel="0" collapsed="false">
      <c r="A2" s="5" t="s">
        <v>1</v>
      </c>
      <c r="B2" s="6" t="n">
        <f aca="false">B9+B11</f>
        <v>23958.33</v>
      </c>
      <c r="C2" s="5" t="s">
        <v>2</v>
      </c>
      <c r="D2" s="6" t="n">
        <f aca="false">C9</f>
        <v>4791.666</v>
      </c>
      <c r="E2" s="5" t="s">
        <v>3</v>
      </c>
      <c r="F2" s="7" t="n">
        <f aca="false">B13</f>
        <v>0</v>
      </c>
      <c r="G2" s="8"/>
      <c r="H2" s="9"/>
      <c r="I2" s="2"/>
      <c r="J2" s="2"/>
    </row>
    <row r="3" customFormat="false" ht="17.35" hidden="false" customHeight="false" outlineLevel="0" collapsed="false">
      <c r="A3" s="10"/>
      <c r="B3" s="11"/>
      <c r="C3" s="11"/>
      <c r="D3" s="11"/>
      <c r="E3" s="11"/>
      <c r="F3" s="12" t="s">
        <v>4</v>
      </c>
      <c r="G3" s="13"/>
      <c r="H3" s="14"/>
      <c r="I3" s="2"/>
      <c r="J3" s="2"/>
    </row>
    <row r="4" customFormat="false" ht="17.35" hidden="false" customHeight="false" outlineLevel="0" collapsed="false">
      <c r="A4" s="5" t="s">
        <v>5</v>
      </c>
      <c r="B4" s="6" t="n">
        <f aca="false">B15+C15</f>
        <v>28749.996</v>
      </c>
      <c r="C4" s="15"/>
      <c r="D4" s="15"/>
      <c r="E4" s="15"/>
      <c r="F4" s="16" t="s">
        <v>4</v>
      </c>
      <c r="G4" s="17"/>
      <c r="H4" s="18"/>
      <c r="I4" s="2"/>
      <c r="J4" s="2"/>
    </row>
    <row r="5" customFormat="false" ht="17.35" hidden="false" customHeight="false" outlineLevel="0" collapsed="false">
      <c r="A5" s="19"/>
      <c r="B5" s="19"/>
      <c r="C5" s="19"/>
      <c r="D5" s="19"/>
      <c r="E5" s="19"/>
      <c r="F5" s="19" t="s">
        <v>4</v>
      </c>
      <c r="G5" s="13"/>
      <c r="H5" s="20"/>
      <c r="I5" s="2"/>
      <c r="J5" s="2"/>
    </row>
    <row r="6" customFormat="false" ht="17.35" hidden="false" customHeight="false" outlineLevel="0" collapsed="false">
      <c r="A6" s="19"/>
      <c r="B6" s="19"/>
      <c r="C6" s="19"/>
      <c r="D6" s="19"/>
      <c r="E6" s="19"/>
      <c r="F6" s="19"/>
      <c r="G6" s="21"/>
      <c r="H6" s="20"/>
      <c r="I6" s="2"/>
      <c r="J6" s="2"/>
    </row>
    <row r="7" customFormat="false" ht="17.35" hidden="false" customHeight="false" outlineLevel="0" collapsed="false">
      <c r="A7" s="22" t="s">
        <v>6</v>
      </c>
      <c r="B7" s="22" t="s">
        <v>7</v>
      </c>
      <c r="C7" s="22" t="s">
        <v>2</v>
      </c>
      <c r="D7" s="23"/>
      <c r="E7" s="23"/>
      <c r="F7" s="19"/>
      <c r="G7" s="21"/>
      <c r="H7" s="20"/>
      <c r="I7" s="2"/>
      <c r="J7" s="2"/>
      <c r="L7" s="0"/>
      <c r="M7" s="0"/>
    </row>
    <row r="8" customFormat="false" ht="17.35" hidden="false" customHeight="false" outlineLevel="0" collapsed="false">
      <c r="A8" s="24"/>
      <c r="B8" s="19"/>
      <c r="C8" s="19"/>
      <c r="D8" s="23"/>
      <c r="E8" s="23"/>
      <c r="F8" s="19"/>
      <c r="G8" s="25"/>
      <c r="H8" s="20"/>
      <c r="I8" s="2"/>
      <c r="J8" s="2"/>
      <c r="L8" s="26" t="s">
        <v>3</v>
      </c>
      <c r="M8" s="27" t="n">
        <f aca="false">H13+H14</f>
        <v>0</v>
      </c>
    </row>
    <row r="9" customFormat="false" ht="19.7" hidden="false" customHeight="false" outlineLevel="0" collapsed="false">
      <c r="A9" s="22" t="s">
        <v>8</v>
      </c>
      <c r="B9" s="28" t="n">
        <v>23958.33</v>
      </c>
      <c r="C9" s="27" t="n">
        <f aca="false">B9*0.2</f>
        <v>4791.666</v>
      </c>
      <c r="D9" s="23"/>
      <c r="E9" s="23"/>
      <c r="F9" s="19"/>
      <c r="G9" s="29"/>
      <c r="H9" s="30"/>
      <c r="I9" s="2"/>
      <c r="J9" s="2"/>
      <c r="K9" s="1" t="s">
        <v>9</v>
      </c>
      <c r="L9" s="27"/>
      <c r="M9" s="27"/>
    </row>
    <row r="10" customFormat="false" ht="17.35" hidden="false" customHeight="false" outlineLevel="0" collapsed="false">
      <c r="A10" s="31"/>
      <c r="B10" s="19"/>
      <c r="C10" s="19"/>
      <c r="D10" s="23"/>
      <c r="E10" s="23"/>
      <c r="F10" s="19"/>
      <c r="G10" s="21"/>
      <c r="H10" s="14"/>
      <c r="I10" s="2"/>
      <c r="J10" s="2"/>
      <c r="K10" s="1" t="s">
        <v>10</v>
      </c>
      <c r="L10" s="32" t="s">
        <v>1</v>
      </c>
      <c r="M10" s="27" t="n">
        <f aca="false">H15-H11-M8</f>
        <v>0</v>
      </c>
    </row>
    <row r="11" customFormat="false" ht="17.35" hidden="false" customHeight="false" outlineLevel="0" collapsed="false">
      <c r="A11" s="22" t="s">
        <v>11</v>
      </c>
      <c r="B11" s="28" t="n">
        <v>0</v>
      </c>
      <c r="C11" s="28" t="n">
        <f aca="false">B11*0.2</f>
        <v>0</v>
      </c>
      <c r="D11" s="23"/>
      <c r="E11" s="23"/>
      <c r="F11" s="19"/>
      <c r="G11" s="21"/>
      <c r="H11" s="20"/>
      <c r="I11" s="2"/>
      <c r="J11" s="2"/>
      <c r="L11" s="27"/>
      <c r="M11" s="27"/>
    </row>
    <row r="12" customFormat="false" ht="17.35" hidden="false" customHeight="false" outlineLevel="0" collapsed="false">
      <c r="A12" s="31"/>
      <c r="B12" s="19"/>
      <c r="C12" s="19"/>
      <c r="D12" s="23"/>
      <c r="E12" s="23"/>
      <c r="F12" s="19"/>
      <c r="G12" s="21"/>
      <c r="H12" s="14"/>
      <c r="I12" s="2"/>
      <c r="J12" s="2"/>
      <c r="L12" s="0"/>
      <c r="M12" s="0"/>
    </row>
    <row r="13" customFormat="false" ht="17.35" hidden="false" customHeight="false" outlineLevel="0" collapsed="false">
      <c r="A13" s="22" t="s">
        <v>12</v>
      </c>
      <c r="B13" s="28" t="n">
        <v>0</v>
      </c>
      <c r="C13" s="27"/>
      <c r="D13" s="23"/>
      <c r="E13" s="23"/>
      <c r="F13" s="19"/>
      <c r="G13" s="21"/>
      <c r="H13" s="14"/>
      <c r="I13" s="2"/>
      <c r="J13" s="2"/>
      <c r="L13" s="0"/>
      <c r="M13" s="0"/>
    </row>
    <row r="14" customFormat="false" ht="17.35" hidden="false" customHeight="false" outlineLevel="0" collapsed="false">
      <c r="A14" s="31"/>
      <c r="B14" s="19"/>
      <c r="C14" s="19"/>
      <c r="D14" s="23"/>
      <c r="E14" s="23"/>
      <c r="F14" s="19"/>
      <c r="G14" s="21"/>
      <c r="H14" s="14"/>
      <c r="I14" s="2"/>
      <c r="J14" s="2" t="s">
        <v>13</v>
      </c>
    </row>
    <row r="15" customFormat="false" ht="17.35" hidden="false" customHeight="false" outlineLevel="0" collapsed="false">
      <c r="A15" s="22" t="s">
        <v>14</v>
      </c>
      <c r="B15" s="27" t="n">
        <f aca="false">SUM(B9:B13)</f>
        <v>23958.33</v>
      </c>
      <c r="C15" s="27" t="n">
        <f aca="false">SUM(C9:C13)</f>
        <v>4791.666</v>
      </c>
      <c r="D15" s="23"/>
      <c r="E15" s="23"/>
      <c r="F15" s="19"/>
      <c r="G15" s="21"/>
      <c r="H15" s="33"/>
      <c r="I15" s="2"/>
      <c r="J15" s="34" t="n">
        <f aca="false">H15</f>
        <v>0</v>
      </c>
    </row>
    <row r="16" customFormat="false" ht="17.35" hidden="false" customHeight="false" outlineLevel="0" collapsed="false">
      <c r="A16" s="35"/>
      <c r="B16" s="35"/>
      <c r="C16" s="35"/>
      <c r="D16" s="23"/>
      <c r="E16" s="23"/>
      <c r="F16" s="19"/>
      <c r="G16" s="21"/>
      <c r="H16" s="14"/>
      <c r="I16" s="2"/>
      <c r="J16" s="2"/>
      <c r="Y16" s="36" t="s">
        <v>15</v>
      </c>
    </row>
    <row r="17" customFormat="false" ht="17.35" hidden="false" customHeight="false" outlineLevel="0" collapsed="false">
      <c r="A17" s="35"/>
      <c r="B17" s="35"/>
      <c r="C17" s="35"/>
      <c r="D17" s="23"/>
      <c r="E17" s="23"/>
      <c r="F17" s="19"/>
      <c r="G17" s="37"/>
      <c r="H17" s="20"/>
      <c r="I17" s="2"/>
      <c r="J17" s="2" t="s">
        <v>16</v>
      </c>
      <c r="Y17" s="36" t="s">
        <v>17</v>
      </c>
    </row>
    <row r="18" customFormat="false" ht="17.35" hidden="false" customHeight="false" outlineLevel="0" collapsed="false">
      <c r="A18" s="35"/>
      <c r="B18" s="35"/>
      <c r="C18" s="35"/>
      <c r="D18" s="23"/>
      <c r="E18" s="23"/>
      <c r="F18" s="19"/>
      <c r="G18" s="38"/>
      <c r="H18" s="39"/>
      <c r="I18" s="2"/>
      <c r="J18" s="34" t="n">
        <v>37405</v>
      </c>
      <c r="Y18" s="36" t="s">
        <v>18</v>
      </c>
    </row>
    <row r="19" customFormat="false" ht="22.05" hidden="false" customHeight="true" outlineLevel="0" collapsed="false">
      <c r="A19" s="40" t="s">
        <v>19</v>
      </c>
      <c r="B19" s="40"/>
      <c r="C19" s="40"/>
      <c r="D19" s="40"/>
      <c r="E19" s="27" t="n">
        <f aca="false">B4</f>
        <v>28749.996</v>
      </c>
      <c r="F19" s="19"/>
      <c r="G19" s="38"/>
      <c r="H19" s="39"/>
      <c r="I19" s="2"/>
      <c r="J19" s="2"/>
      <c r="Z19" s="2" t="s">
        <v>9</v>
      </c>
    </row>
    <row r="20" customFormat="false" ht="17.35" hidden="false" customHeight="false" outlineLevel="0" collapsed="false">
      <c r="A20" s="41"/>
      <c r="B20" s="19"/>
      <c r="C20" s="19"/>
      <c r="D20" s="19"/>
      <c r="E20" s="42"/>
      <c r="F20" s="19"/>
      <c r="G20" s="38"/>
      <c r="H20" s="39"/>
      <c r="I20" s="2"/>
      <c r="J20" s="2"/>
      <c r="Z20" s="2" t="s">
        <v>10</v>
      </c>
    </row>
    <row r="21" customFormat="false" ht="22.05" hidden="false" customHeight="true" outlineLevel="0" collapsed="false">
      <c r="A21" s="40" t="s">
        <v>20</v>
      </c>
      <c r="B21" s="40"/>
      <c r="C21" s="40"/>
      <c r="D21" s="40"/>
      <c r="E21" s="27" t="n">
        <f aca="false">B15</f>
        <v>23958.33</v>
      </c>
      <c r="F21" s="19"/>
      <c r="G21" s="43"/>
      <c r="H21" s="44"/>
      <c r="I21" s="2"/>
      <c r="J21" s="2"/>
      <c r="K21" s="2"/>
    </row>
    <row r="22" customFormat="false" ht="17.35" hidden="false" customHeight="false" outlineLevel="0" collapsed="false">
      <c r="A22" s="45"/>
      <c r="B22" s="45"/>
      <c r="C22" s="45"/>
      <c r="D22" s="45"/>
      <c r="E22" s="45"/>
      <c r="F22" s="45"/>
      <c r="G22" s="45"/>
      <c r="H22" s="45"/>
      <c r="J22" s="2"/>
      <c r="K22" s="2"/>
      <c r="P22" s="46"/>
    </row>
    <row r="23" customFormat="false" ht="17.35" hidden="false" customHeight="false" outlineLevel="0" collapsed="false">
      <c r="A23" s="45"/>
      <c r="B23" s="45"/>
      <c r="C23" s="45"/>
      <c r="D23" s="45"/>
      <c r="E23" s="45"/>
      <c r="F23" s="45"/>
      <c r="G23" s="45"/>
      <c r="H23" s="45"/>
      <c r="J23" s="2"/>
      <c r="K23" s="2"/>
      <c r="P23" s="46"/>
    </row>
    <row r="24" customFormat="false" ht="46.5" hidden="false" customHeight="true" outlineLevel="0" collapsed="false">
      <c r="A24" s="47" t="s">
        <v>21</v>
      </c>
      <c r="B24" s="47"/>
      <c r="C24" s="47"/>
      <c r="D24" s="47"/>
      <c r="E24" s="47"/>
      <c r="F24" s="47"/>
      <c r="G24" s="47"/>
      <c r="H24" s="47"/>
      <c r="I24" s="2"/>
      <c r="J24" s="2"/>
      <c r="K24" s="2"/>
      <c r="P24" s="46"/>
    </row>
    <row r="25" customFormat="false" ht="17.35" hidden="false" customHeight="false" outlineLevel="0" collapsed="false">
      <c r="A25" s="48"/>
      <c r="B25" s="49"/>
      <c r="C25" s="49"/>
      <c r="D25" s="49"/>
      <c r="E25" s="49"/>
      <c r="F25" s="49"/>
      <c r="G25" s="49"/>
      <c r="H25" s="50"/>
      <c r="I25" s="2"/>
      <c r="J25" s="2"/>
      <c r="K25" s="2"/>
      <c r="P25" s="46"/>
    </row>
    <row r="26" customFormat="false" ht="17.9" hidden="false" customHeight="false" outlineLevel="0" collapsed="false">
      <c r="A26" s="51" t="s">
        <v>22</v>
      </c>
      <c r="B26" s="52" t="s">
        <v>9</v>
      </c>
      <c r="C26" s="25"/>
      <c r="D26" s="25"/>
      <c r="E26" s="25"/>
      <c r="F26" s="25"/>
      <c r="G26" s="25"/>
      <c r="H26" s="20"/>
      <c r="I26" s="2"/>
      <c r="J26" s="53" t="s">
        <v>23</v>
      </c>
      <c r="K26" s="54" t="s">
        <v>24</v>
      </c>
      <c r="P26" s="46"/>
    </row>
    <row r="27" customFormat="false" ht="17.9" hidden="false" customHeight="false" outlineLevel="0" collapsed="false">
      <c r="A27" s="55"/>
      <c r="B27" s="25"/>
      <c r="C27" s="25"/>
      <c r="D27" s="25"/>
      <c r="E27" s="25"/>
      <c r="F27" s="25"/>
      <c r="G27" s="25"/>
      <c r="H27" s="20"/>
      <c r="I27" s="2"/>
      <c r="J27" s="56" t="s">
        <v>25</v>
      </c>
      <c r="K27" s="57" t="n">
        <v>1</v>
      </c>
      <c r="P27" s="46"/>
    </row>
    <row r="28" customFormat="false" ht="22.05" hidden="false" customHeight="false" outlineLevel="0" collapsed="false">
      <c r="A28" s="58" t="s">
        <v>26</v>
      </c>
      <c r="B28" s="58"/>
      <c r="C28" s="58"/>
      <c r="D28" s="58"/>
      <c r="E28" s="58"/>
      <c r="F28" s="58"/>
      <c r="G28" s="58"/>
      <c r="H28" s="58"/>
      <c r="I28" s="2"/>
      <c r="J28" s="56" t="s">
        <v>27</v>
      </c>
      <c r="K28" s="57"/>
      <c r="P28" s="46"/>
    </row>
    <row r="29" customFormat="false" ht="17.9" hidden="false" customHeight="false" outlineLevel="0" collapsed="false">
      <c r="A29" s="55"/>
      <c r="B29" s="25"/>
      <c r="C29" s="25"/>
      <c r="D29" s="25"/>
      <c r="E29" s="25"/>
      <c r="F29" s="25"/>
      <c r="G29" s="25"/>
      <c r="H29" s="20" t="n">
        <v>36</v>
      </c>
      <c r="I29" s="25"/>
      <c r="J29" s="53" t="s">
        <v>28</v>
      </c>
      <c r="K29" s="59" t="n">
        <v>12</v>
      </c>
      <c r="P29" s="46"/>
    </row>
    <row r="30" customFormat="false" ht="17.9" hidden="false" customHeight="false" outlineLevel="0" collapsed="false">
      <c r="A30" s="55" t="s">
        <v>29</v>
      </c>
      <c r="B30" s="60" t="s">
        <v>30</v>
      </c>
      <c r="C30" s="60"/>
      <c r="D30" s="60"/>
      <c r="E30" s="25"/>
      <c r="F30" s="25"/>
      <c r="G30" s="25"/>
      <c r="H30" s="20" t="n">
        <v>10000</v>
      </c>
      <c r="I30" s="25"/>
      <c r="J30" s="53" t="s">
        <v>31</v>
      </c>
      <c r="K30" s="61" t="n">
        <v>10000</v>
      </c>
      <c r="P30" s="46"/>
    </row>
    <row r="31" customFormat="false" ht="17.9" hidden="false" customHeight="false" outlineLevel="0" collapsed="false">
      <c r="A31" s="55"/>
      <c r="B31" s="25"/>
      <c r="C31" s="25"/>
      <c r="D31" s="25"/>
      <c r="E31" s="25"/>
      <c r="F31" s="25"/>
      <c r="G31" s="25"/>
      <c r="H31" s="20" t="n">
        <v>27500</v>
      </c>
      <c r="I31" s="25"/>
      <c r="J31" s="53" t="s">
        <v>32</v>
      </c>
      <c r="K31" s="62" t="n">
        <v>0</v>
      </c>
      <c r="P31" s="46"/>
    </row>
    <row r="32" customFormat="false" ht="34.3" hidden="false" customHeight="false" outlineLevel="0" collapsed="false">
      <c r="A32" s="55" t="s">
        <v>28</v>
      </c>
      <c r="B32" s="25" t="s">
        <v>33</v>
      </c>
      <c r="C32" s="25"/>
      <c r="D32" s="25"/>
      <c r="E32" s="25" t="s">
        <v>34</v>
      </c>
      <c r="F32" s="25"/>
      <c r="G32" s="25"/>
      <c r="H32" s="20"/>
      <c r="I32" s="2"/>
      <c r="J32" s="53" t="s">
        <v>35</v>
      </c>
      <c r="K32" s="62" t="n">
        <v>275</v>
      </c>
      <c r="P32" s="46"/>
    </row>
    <row r="33" customFormat="false" ht="34.8" hidden="false" customHeight="false" outlineLevel="0" collapsed="false">
      <c r="A33" s="63" t="n">
        <f aca="false">A52</f>
        <v>12</v>
      </c>
      <c r="B33" s="64" t="n">
        <f aca="false">B51</f>
        <v>10000</v>
      </c>
      <c r="C33" s="25"/>
      <c r="D33" s="25"/>
      <c r="E33" s="64" t="n">
        <f aca="false">K48</f>
        <v>2090.4347020187</v>
      </c>
      <c r="F33" s="64"/>
      <c r="G33" s="64"/>
      <c r="H33" s="65"/>
      <c r="I33" s="2"/>
      <c r="J33" s="56" t="s">
        <v>36</v>
      </c>
      <c r="K33" s="66" t="n">
        <f aca="false">E21</f>
        <v>23958.33</v>
      </c>
      <c r="L33" s="1" t="n">
        <f aca="false">H21-H11+(H16*20%)</f>
        <v>0</v>
      </c>
      <c r="P33" s="46"/>
    </row>
    <row r="34" customFormat="false" ht="17.35" hidden="false" customHeight="false" outlineLevel="0" collapsed="false">
      <c r="A34" s="55"/>
      <c r="B34" s="25"/>
      <c r="C34" s="25"/>
      <c r="D34" s="25"/>
      <c r="E34" s="67"/>
      <c r="F34" s="67"/>
      <c r="G34" s="67"/>
      <c r="H34" s="65"/>
      <c r="I34" s="2"/>
      <c r="J34" s="2"/>
      <c r="K34" s="2"/>
      <c r="P34" s="46"/>
    </row>
    <row r="35" customFormat="false" ht="21.6" hidden="false" customHeight="false" outlineLevel="0" collapsed="false">
      <c r="A35" s="55" t="s">
        <v>37</v>
      </c>
      <c r="B35" s="25" t="s">
        <v>38</v>
      </c>
      <c r="C35" s="25"/>
      <c r="D35" s="46"/>
      <c r="E35" s="25" t="s">
        <v>39</v>
      </c>
      <c r="F35" s="67"/>
      <c r="G35" s="67"/>
      <c r="H35" s="65"/>
      <c r="I35" s="2"/>
      <c r="J35" s="68" t="s">
        <v>40</v>
      </c>
      <c r="K35" s="0" t="n">
        <v>0.065</v>
      </c>
      <c r="P35" s="46"/>
    </row>
    <row r="36" customFormat="false" ht="17.35" hidden="false" customHeight="false" outlineLevel="0" collapsed="false">
      <c r="A36" s="69" t="n">
        <f aca="false">K47</f>
        <v>2067.51803535204</v>
      </c>
      <c r="B36" s="64" t="n">
        <f aca="false">IF(B26="YES", K42, "0.00")</f>
        <v>22.9166666666667</v>
      </c>
      <c r="C36" s="64"/>
      <c r="D36" s="64"/>
      <c r="E36" s="64" t="n">
        <f aca="false">K31</f>
        <v>0</v>
      </c>
      <c r="F36" s="64"/>
      <c r="G36" s="64"/>
      <c r="H36" s="65"/>
      <c r="I36" s="2"/>
      <c r="J36" s="2" t="s">
        <v>41</v>
      </c>
      <c r="K36" s="2" t="n">
        <f aca="false">K29</f>
        <v>12</v>
      </c>
      <c r="P36" s="46"/>
    </row>
    <row r="37" customFormat="false" ht="17.35" hidden="false" customHeight="false" outlineLevel="0" collapsed="false">
      <c r="A37" s="70"/>
      <c r="B37" s="37"/>
      <c r="C37" s="67"/>
      <c r="D37" s="67"/>
      <c r="E37" s="67"/>
      <c r="F37" s="67"/>
      <c r="G37" s="67"/>
      <c r="H37" s="65"/>
      <c r="I37" s="2"/>
      <c r="J37" s="2"/>
      <c r="K37" s="2"/>
      <c r="P37" s="46"/>
    </row>
    <row r="38" customFormat="false" ht="17.35" hidden="false" customHeight="false" outlineLevel="0" collapsed="false">
      <c r="A38" s="55"/>
      <c r="B38" s="25"/>
      <c r="C38" s="67"/>
      <c r="D38" s="67"/>
      <c r="E38" s="67"/>
      <c r="F38" s="67"/>
      <c r="G38" s="67"/>
      <c r="H38" s="65"/>
      <c r="J38" s="71" t="s">
        <v>42</v>
      </c>
      <c r="K38" s="71"/>
      <c r="L38" s="2" t="n">
        <v>42030.76</v>
      </c>
      <c r="N38" s="1" t="n">
        <f aca="false">80.88*36</f>
        <v>2911.68</v>
      </c>
      <c r="P38" s="46"/>
    </row>
    <row r="39" customFormat="false" ht="17.35" hidden="false" customHeight="false" outlineLevel="0" collapsed="false">
      <c r="A39" s="55" t="s">
        <v>43</v>
      </c>
      <c r="B39" s="25" t="s">
        <v>44</v>
      </c>
      <c r="C39" s="25"/>
      <c r="D39" s="46"/>
      <c r="E39" s="25" t="s">
        <v>45</v>
      </c>
      <c r="F39" s="67"/>
      <c r="G39" s="67"/>
      <c r="H39" s="65"/>
      <c r="J39" s="2" t="s">
        <v>46</v>
      </c>
      <c r="K39" s="2" t="n">
        <f aca="false">K33</f>
        <v>23958.33</v>
      </c>
      <c r="L39" s="2" t="n">
        <f aca="false">(L47*K46)+K44</f>
        <v>9004.81573517688</v>
      </c>
      <c r="N39" s="1" t="n">
        <f aca="false">K39-L39</f>
        <v>14953.5142648231</v>
      </c>
      <c r="P39" s="46"/>
    </row>
    <row r="40" customFormat="false" ht="17.35" hidden="false" customHeight="false" outlineLevel="0" collapsed="false">
      <c r="A40" s="72" t="n">
        <f aca="false">E36*A45/100</f>
        <v>0</v>
      </c>
      <c r="B40" s="72" t="n">
        <f aca="false">IF(B26="YES", K42, "0.00")</f>
        <v>22.9166666666667</v>
      </c>
      <c r="C40" s="72"/>
      <c r="D40" s="72"/>
      <c r="E40" s="73" t="n">
        <f aca="false">K32</f>
        <v>275</v>
      </c>
      <c r="F40" s="67"/>
      <c r="G40" s="67"/>
      <c r="H40" s="65"/>
      <c r="J40" s="2" t="s">
        <v>47</v>
      </c>
      <c r="K40" s="2" t="n">
        <f aca="false">(A40)/1.2</f>
        <v>0</v>
      </c>
      <c r="L40" s="2" t="n">
        <f aca="false">K39-L39</f>
        <v>14953.5142648231</v>
      </c>
      <c r="N40" s="1" t="n">
        <f aca="false">N38-N39</f>
        <v>-12041.8342648231</v>
      </c>
      <c r="P40" s="46"/>
    </row>
    <row r="41" customFormat="false" ht="17.35" hidden="false" customHeight="false" outlineLevel="0" collapsed="false">
      <c r="A41" s="55"/>
      <c r="B41" s="25"/>
      <c r="C41" s="25"/>
      <c r="D41" s="25"/>
      <c r="E41" s="25"/>
      <c r="F41" s="67"/>
      <c r="G41" s="67"/>
      <c r="H41" s="65"/>
      <c r="J41" s="2" t="s">
        <v>48</v>
      </c>
      <c r="K41" s="2" t="n">
        <f aca="false">K35/12</f>
        <v>0.00541666666666667</v>
      </c>
      <c r="L41" s="2"/>
      <c r="P41" s="46"/>
    </row>
    <row r="42" customFormat="false" ht="17.35" hidden="false" customHeight="false" outlineLevel="0" collapsed="false">
      <c r="A42" s="74"/>
      <c r="B42" s="75"/>
      <c r="C42" s="75"/>
      <c r="D42" s="75"/>
      <c r="E42" s="75"/>
      <c r="F42" s="75"/>
      <c r="G42" s="76"/>
      <c r="H42" s="77"/>
      <c r="J42" s="2" t="s">
        <v>49</v>
      </c>
      <c r="K42" s="2" t="n">
        <f aca="false">(K32/K36)*C45/100</f>
        <v>22.9166666666667</v>
      </c>
      <c r="L42" s="2"/>
      <c r="P42" s="46"/>
    </row>
    <row r="43" customFormat="false" ht="17.35" hidden="false" customHeight="false" outlineLevel="0" collapsed="false">
      <c r="A43" s="48"/>
      <c r="B43" s="49"/>
      <c r="C43" s="49"/>
      <c r="D43" s="49"/>
      <c r="E43" s="49"/>
      <c r="F43" s="49"/>
      <c r="G43" s="49"/>
      <c r="H43" s="50"/>
      <c r="J43" s="2" t="s">
        <v>50</v>
      </c>
      <c r="K43" s="2"/>
      <c r="L43" s="2"/>
      <c r="P43" s="46"/>
    </row>
    <row r="44" customFormat="false" ht="17.35" hidden="false" customHeight="false" outlineLevel="0" collapsed="false">
      <c r="A44" s="78" t="s">
        <v>51</v>
      </c>
      <c r="B44" s="25"/>
      <c r="C44" s="79" t="s">
        <v>52</v>
      </c>
      <c r="D44" s="79"/>
      <c r="E44" s="25"/>
      <c r="F44" s="25"/>
      <c r="G44" s="25"/>
      <c r="H44" s="20"/>
      <c r="J44" s="2" t="s">
        <v>53</v>
      </c>
      <c r="K44" s="2" t="n">
        <f aca="false">(K40/(1+K41)^(K36+1))</f>
        <v>0</v>
      </c>
      <c r="L44" s="2"/>
      <c r="P44" s="46"/>
    </row>
    <row r="45" customFormat="false" ht="17.35" hidden="false" customHeight="false" outlineLevel="0" collapsed="false">
      <c r="A45" s="80" t="n">
        <v>100</v>
      </c>
      <c r="B45" s="25"/>
      <c r="C45" s="81" t="n">
        <v>100</v>
      </c>
      <c r="D45" s="81"/>
      <c r="E45" s="81"/>
      <c r="F45" s="25"/>
      <c r="G45" s="25"/>
      <c r="H45" s="20"/>
      <c r="J45" s="2" t="s">
        <v>54</v>
      </c>
      <c r="K45" s="2" t="n">
        <f aca="false">(K39-K44)</f>
        <v>23958.33</v>
      </c>
      <c r="L45" s="2"/>
      <c r="P45" s="46"/>
    </row>
    <row r="46" customFormat="false" ht="17.35" hidden="false" customHeight="false" outlineLevel="0" collapsed="false">
      <c r="A46" s="74"/>
      <c r="B46" s="75"/>
      <c r="C46" s="75"/>
      <c r="D46" s="75"/>
      <c r="E46" s="75"/>
      <c r="F46" s="75"/>
      <c r="G46" s="75"/>
      <c r="H46" s="82"/>
      <c r="J46" s="2" t="s">
        <v>55</v>
      </c>
      <c r="K46" s="2" t="n">
        <f aca="false">((1-(1/((1+K41)^K36)))/K41)</f>
        <v>11.5879666297182</v>
      </c>
      <c r="L46" s="2"/>
      <c r="P46" s="46"/>
    </row>
    <row r="47" customFormat="false" ht="17.35" hidden="false" customHeight="false" outlineLevel="0" collapsed="false">
      <c r="A47" s="48"/>
      <c r="B47" s="49"/>
      <c r="C47" s="49"/>
      <c r="D47" s="49"/>
      <c r="E47" s="49"/>
      <c r="F47" s="49"/>
      <c r="G47" s="49"/>
      <c r="H47" s="50"/>
      <c r="J47" s="2" t="s">
        <v>56</v>
      </c>
      <c r="K47" s="2" t="n">
        <f aca="false">K45/K46</f>
        <v>2067.51803535204</v>
      </c>
      <c r="L47" s="2" t="n">
        <f aca="false">L49-K42</f>
        <v>777.083333333333</v>
      </c>
      <c r="M47" s="1" t="n">
        <f aca="false">K47-L47</f>
        <v>1290.4347020187</v>
      </c>
      <c r="P47" s="46"/>
    </row>
    <row r="48" customFormat="false" ht="31.8" hidden="false" customHeight="false" outlineLevel="0" collapsed="false">
      <c r="A48" s="83" t="s">
        <v>57</v>
      </c>
      <c r="B48" s="25"/>
      <c r="C48" s="25"/>
      <c r="D48" s="84"/>
      <c r="E48" s="84"/>
      <c r="F48" s="84"/>
      <c r="G48" s="84"/>
      <c r="H48" s="85"/>
      <c r="J48" s="86" t="s">
        <v>58</v>
      </c>
      <c r="K48" s="2" t="n">
        <f aca="false">IF(B26="YES", K47+K42, K47)</f>
        <v>2090.4347020187</v>
      </c>
      <c r="L48" s="2"/>
      <c r="P48" s="46"/>
    </row>
    <row r="49" customFormat="false" ht="17.35" hidden="false" customHeight="false" outlineLevel="0" collapsed="false">
      <c r="A49" s="55"/>
      <c r="B49" s="87"/>
      <c r="C49" s="87"/>
      <c r="D49" s="25"/>
      <c r="E49" s="25"/>
      <c r="F49" s="25"/>
      <c r="G49" s="25"/>
      <c r="H49" s="20"/>
      <c r="J49" s="2" t="s">
        <v>59</v>
      </c>
      <c r="K49" s="2"/>
      <c r="L49" s="2" t="n">
        <v>800</v>
      </c>
      <c r="P49" s="46"/>
    </row>
    <row r="50" customFormat="false" ht="19.7" hidden="false" customHeight="false" outlineLevel="0" collapsed="false">
      <c r="A50" s="88" t="s">
        <v>28</v>
      </c>
      <c r="B50" s="89" t="s">
        <v>33</v>
      </c>
      <c r="C50" s="89"/>
      <c r="D50" s="89"/>
      <c r="E50" s="25"/>
      <c r="F50" s="25"/>
      <c r="G50" s="25"/>
      <c r="H50" s="20"/>
      <c r="I50" s="2"/>
      <c r="J50" s="2"/>
      <c r="K50" s="2"/>
      <c r="P50" s="46"/>
    </row>
    <row r="51" customFormat="false" ht="19.5" hidden="false" customHeight="true" outlineLevel="0" collapsed="false">
      <c r="A51" s="88"/>
      <c r="B51" s="90" t="n">
        <f aca="false">K30</f>
        <v>10000</v>
      </c>
      <c r="C51" s="90"/>
      <c r="D51" s="90"/>
      <c r="E51" s="25"/>
      <c r="F51" s="25"/>
      <c r="G51" s="25"/>
      <c r="H51" s="20"/>
      <c r="I51" s="2"/>
      <c r="J51" s="2"/>
      <c r="K51" s="2"/>
      <c r="P51" s="46"/>
    </row>
    <row r="52" customFormat="false" ht="17.35" hidden="false" customHeight="false" outlineLevel="0" collapsed="false">
      <c r="A52" s="91" t="n">
        <f aca="false">K29</f>
        <v>12</v>
      </c>
      <c r="B52" s="92" t="n">
        <f aca="false">K48</f>
        <v>2090.4347020187</v>
      </c>
      <c r="C52" s="92"/>
      <c r="D52" s="92"/>
      <c r="E52" s="25"/>
      <c r="F52" s="25"/>
      <c r="G52" s="25"/>
      <c r="H52" s="20"/>
      <c r="I52" s="2"/>
      <c r="J52" s="2"/>
      <c r="K52" s="2"/>
      <c r="P52" s="46"/>
    </row>
    <row r="53" customFormat="false" ht="17.35" hidden="false" customHeight="false" outlineLevel="0" collapsed="false">
      <c r="A53" s="55"/>
      <c r="B53" s="25"/>
      <c r="C53" s="25"/>
      <c r="D53" s="25"/>
      <c r="E53" s="25"/>
      <c r="F53" s="25"/>
      <c r="G53" s="25"/>
      <c r="H53" s="20"/>
      <c r="I53" s="2"/>
      <c r="J53" s="2"/>
      <c r="K53" s="2"/>
      <c r="P53" s="46"/>
    </row>
    <row r="54" customFormat="false" ht="17.35" hidden="false" customHeight="false" outlineLevel="0" collapsed="false">
      <c r="A54" s="74"/>
      <c r="B54" s="75"/>
      <c r="C54" s="75"/>
      <c r="D54" s="75"/>
      <c r="E54" s="75"/>
      <c r="F54" s="75"/>
      <c r="G54" s="75"/>
      <c r="H54" s="82"/>
      <c r="I54" s="2"/>
      <c r="J54" s="2"/>
      <c r="K54" s="2"/>
      <c r="P54" s="46"/>
    </row>
    <row r="55" customFormat="false" ht="17.35" hidden="false" customHeight="false" outlineLevel="0" collapsed="false">
      <c r="A55" s="45"/>
      <c r="B55" s="45"/>
      <c r="C55" s="45"/>
      <c r="D55" s="45"/>
      <c r="E55" s="45"/>
      <c r="F55" s="45"/>
      <c r="G55" s="45"/>
      <c r="H55" s="45"/>
      <c r="J55" s="2"/>
      <c r="K55" s="2"/>
      <c r="P55" s="46"/>
    </row>
    <row r="56" customFormat="false" ht="17.35" hidden="false" customHeight="false" outlineLevel="0" collapsed="false">
      <c r="A56" s="45"/>
      <c r="B56" s="45"/>
      <c r="C56" s="45"/>
      <c r="D56" s="45"/>
      <c r="E56" s="45"/>
      <c r="F56" s="45"/>
      <c r="G56" s="45"/>
      <c r="H56" s="45"/>
      <c r="J56" s="2"/>
      <c r="K56" s="2"/>
      <c r="P56" s="46"/>
    </row>
    <row r="57" customFormat="false" ht="17.35" hidden="false" customHeight="false" outlineLevel="0" collapsed="false">
      <c r="A57" s="48"/>
      <c r="B57" s="49"/>
      <c r="C57" s="49"/>
      <c r="D57" s="49"/>
      <c r="E57" s="93"/>
      <c r="F57" s="93"/>
      <c r="G57" s="93"/>
      <c r="H57" s="50"/>
      <c r="J57" s="48"/>
      <c r="K57" s="49"/>
      <c r="L57" s="49"/>
      <c r="M57" s="49"/>
      <c r="N57" s="93"/>
      <c r="O57" s="93"/>
      <c r="P57" s="93"/>
      <c r="Q57" s="50"/>
      <c r="S57" s="48"/>
      <c r="T57" s="49"/>
      <c r="U57" s="49"/>
      <c r="V57" s="49"/>
      <c r="W57" s="93"/>
      <c r="X57" s="93"/>
      <c r="Y57" s="93"/>
      <c r="Z57" s="50"/>
      <c r="AB57" s="48"/>
      <c r="AC57" s="49"/>
      <c r="AD57" s="49"/>
      <c r="AE57" s="49"/>
      <c r="AF57" s="93"/>
      <c r="AG57" s="93"/>
      <c r="AH57" s="93"/>
      <c r="AI57" s="50"/>
    </row>
    <row r="58" customFormat="false" ht="17.35" hidden="false" customHeight="false" outlineLevel="0" collapsed="false">
      <c r="A58" s="55" t="s">
        <v>46</v>
      </c>
      <c r="B58" s="25" t="n">
        <v>1</v>
      </c>
      <c r="C58" s="25"/>
      <c r="D58" s="25"/>
      <c r="E58" s="94"/>
      <c r="F58" s="94"/>
      <c r="G58" s="94"/>
      <c r="H58" s="20"/>
      <c r="J58" s="55" t="s">
        <v>46</v>
      </c>
      <c r="K58" s="25" t="n">
        <v>1</v>
      </c>
      <c r="L58" s="25"/>
      <c r="M58" s="25"/>
      <c r="N58" s="94"/>
      <c r="O58" s="94"/>
      <c r="P58" s="94"/>
      <c r="Q58" s="20"/>
      <c r="S58" s="55" t="s">
        <v>46</v>
      </c>
      <c r="T58" s="25" t="n">
        <v>1</v>
      </c>
      <c r="U58" s="25"/>
      <c r="V58" s="25"/>
      <c r="W58" s="94"/>
      <c r="X58" s="94"/>
      <c r="Y58" s="94"/>
      <c r="Z58" s="20"/>
      <c r="AB58" s="55" t="s">
        <v>46</v>
      </c>
      <c r="AC58" s="25" t="n">
        <v>1</v>
      </c>
      <c r="AD58" s="25"/>
      <c r="AE58" s="25"/>
      <c r="AF58" s="94"/>
      <c r="AG58" s="94"/>
      <c r="AH58" s="94"/>
      <c r="AI58" s="20"/>
    </row>
    <row r="59" customFormat="false" ht="17.35" hidden="false" customHeight="false" outlineLevel="0" collapsed="false">
      <c r="A59" s="55" t="s">
        <v>60</v>
      </c>
      <c r="B59" s="25" t="n">
        <f aca="false">K29-B58</f>
        <v>11</v>
      </c>
      <c r="C59" s="25"/>
      <c r="D59" s="25"/>
      <c r="E59" s="94"/>
      <c r="F59" s="94"/>
      <c r="G59" s="94"/>
      <c r="H59" s="20"/>
      <c r="J59" s="55" t="s">
        <v>60</v>
      </c>
      <c r="K59" s="25" t="n">
        <f aca="false">K29-K58</f>
        <v>11</v>
      </c>
      <c r="L59" s="25"/>
      <c r="M59" s="25"/>
      <c r="N59" s="94"/>
      <c r="O59" s="94"/>
      <c r="P59" s="94"/>
      <c r="Q59" s="20"/>
      <c r="S59" s="55" t="s">
        <v>60</v>
      </c>
      <c r="T59" s="25" t="n">
        <f aca="false">K29-T58</f>
        <v>11</v>
      </c>
      <c r="U59" s="25"/>
      <c r="V59" s="25"/>
      <c r="W59" s="94"/>
      <c r="X59" s="94"/>
      <c r="Y59" s="94"/>
      <c r="Z59" s="20"/>
      <c r="AB59" s="55" t="s">
        <v>60</v>
      </c>
      <c r="AC59" s="25" t="n">
        <f aca="false">K29-AC58</f>
        <v>11</v>
      </c>
      <c r="AD59" s="25"/>
      <c r="AE59" s="25"/>
      <c r="AF59" s="94"/>
      <c r="AG59" s="94"/>
      <c r="AH59" s="94"/>
      <c r="AI59" s="20"/>
    </row>
    <row r="60" customFormat="false" ht="17.35" hidden="false" customHeight="false" outlineLevel="0" collapsed="false">
      <c r="A60" s="95" t="s">
        <v>61</v>
      </c>
      <c r="B60" s="96" t="n">
        <v>10</v>
      </c>
      <c r="C60" s="25"/>
      <c r="D60" s="25"/>
      <c r="E60" s="94"/>
      <c r="F60" s="94"/>
      <c r="G60" s="94"/>
      <c r="H60" s="20"/>
      <c r="J60" s="95" t="s">
        <v>61</v>
      </c>
      <c r="K60" s="96" t="n">
        <v>20</v>
      </c>
      <c r="L60" s="25"/>
      <c r="M60" s="25"/>
      <c r="N60" s="94"/>
      <c r="O60" s="94"/>
      <c r="P60" s="94"/>
      <c r="Q60" s="20"/>
      <c r="S60" s="95" t="s">
        <v>61</v>
      </c>
      <c r="T60" s="96" t="n">
        <v>10</v>
      </c>
      <c r="U60" s="25"/>
      <c r="V60" s="25"/>
      <c r="W60" s="94"/>
      <c r="X60" s="94"/>
      <c r="Y60" s="94"/>
      <c r="Z60" s="20"/>
      <c r="AB60" s="95" t="s">
        <v>61</v>
      </c>
      <c r="AC60" s="96" t="n">
        <v>10</v>
      </c>
      <c r="AD60" s="25"/>
      <c r="AE60" s="25"/>
      <c r="AF60" s="94"/>
      <c r="AG60" s="94"/>
      <c r="AH60" s="94"/>
      <c r="AI60" s="20"/>
    </row>
    <row r="61" customFormat="false" ht="17.35" hidden="false" customHeight="false" outlineLevel="0" collapsed="false">
      <c r="A61" s="55" t="s">
        <v>16</v>
      </c>
      <c r="B61" s="25" t="n">
        <f aca="false">J18</f>
        <v>37405</v>
      </c>
      <c r="C61" s="25"/>
      <c r="D61" s="25"/>
      <c r="E61" s="94"/>
      <c r="F61" s="94"/>
      <c r="G61" s="94"/>
      <c r="H61" s="20"/>
      <c r="J61" s="55" t="s">
        <v>16</v>
      </c>
      <c r="K61" s="25" t="n">
        <f aca="false">J18</f>
        <v>37405</v>
      </c>
      <c r="L61" s="25"/>
      <c r="M61" s="25"/>
      <c r="N61" s="94"/>
      <c r="O61" s="94"/>
      <c r="P61" s="94"/>
      <c r="Q61" s="20"/>
      <c r="S61" s="55" t="s">
        <v>16</v>
      </c>
      <c r="T61" s="25" t="n">
        <f aca="false">J18</f>
        <v>37405</v>
      </c>
      <c r="U61" s="25"/>
      <c r="V61" s="25"/>
      <c r="W61" s="94"/>
      <c r="X61" s="94"/>
      <c r="Y61" s="94"/>
      <c r="Z61" s="20"/>
      <c r="AB61" s="55" t="s">
        <v>16</v>
      </c>
      <c r="AC61" s="25" t="n">
        <f aca="false">J18</f>
        <v>37405</v>
      </c>
      <c r="AD61" s="25"/>
      <c r="AE61" s="25"/>
      <c r="AF61" s="94"/>
      <c r="AG61" s="94"/>
      <c r="AH61" s="94"/>
      <c r="AI61" s="20"/>
    </row>
    <row r="62" customFormat="false" ht="17.35" hidden="false" customHeight="false" outlineLevel="0" collapsed="false">
      <c r="A62" s="97" t="s">
        <v>62</v>
      </c>
      <c r="B62" s="98" t="n">
        <v>0.0105</v>
      </c>
      <c r="C62" s="25"/>
      <c r="D62" s="25"/>
      <c r="E62" s="94"/>
      <c r="F62" s="94"/>
      <c r="G62" s="94"/>
      <c r="H62" s="20"/>
      <c r="J62" s="97" t="s">
        <v>62</v>
      </c>
      <c r="K62" s="98" t="n">
        <v>0.06</v>
      </c>
      <c r="L62" s="25"/>
      <c r="M62" s="25"/>
      <c r="N62" s="94"/>
      <c r="O62" s="94"/>
      <c r="P62" s="94"/>
      <c r="Q62" s="20"/>
      <c r="S62" s="97" t="s">
        <v>62</v>
      </c>
      <c r="T62" s="98" t="n">
        <f aca="false">IF(AND(K29&gt;= 12, K29&lt;=24), 0.0105, IF(AND(K29&gt;=48), -0.0075, 0))</f>
        <v>0.0105</v>
      </c>
      <c r="U62" s="25"/>
      <c r="V62" s="25"/>
      <c r="W62" s="94"/>
      <c r="X62" s="94"/>
      <c r="Y62" s="94"/>
      <c r="Z62" s="20"/>
      <c r="AB62" s="97" t="s">
        <v>62</v>
      </c>
      <c r="AC62" s="98" t="n">
        <f aca="false">IF(AND(K29&gt;= 12, K29&lt;=24), 0.0105, IF(AND(K29&gt;=48), -0.0075, 0))</f>
        <v>0.0105</v>
      </c>
      <c r="AD62" s="25"/>
      <c r="AE62" s="25"/>
      <c r="AF62" s="94"/>
      <c r="AG62" s="94"/>
      <c r="AH62" s="94"/>
      <c r="AI62" s="20"/>
    </row>
    <row r="63" customFormat="false" ht="17.35" hidden="false" customHeight="false" outlineLevel="0" collapsed="false">
      <c r="A63" s="99" t="s">
        <v>63</v>
      </c>
      <c r="B63" s="100" t="n">
        <v>0.065</v>
      </c>
      <c r="C63" s="25"/>
      <c r="D63" s="25"/>
      <c r="E63" s="94"/>
      <c r="F63" s="94"/>
      <c r="G63" s="94"/>
      <c r="H63" s="20"/>
      <c r="J63" s="99" t="s">
        <v>63</v>
      </c>
      <c r="K63" s="100" t="n">
        <v>0.08</v>
      </c>
      <c r="L63" s="25"/>
      <c r="M63" s="25"/>
      <c r="N63" s="94"/>
      <c r="O63" s="94"/>
      <c r="P63" s="94"/>
      <c r="Q63" s="20"/>
      <c r="S63" s="99" t="s">
        <v>63</v>
      </c>
      <c r="T63" s="100" t="n">
        <v>0.059</v>
      </c>
      <c r="U63" s="25"/>
      <c r="V63" s="25"/>
      <c r="W63" s="94"/>
      <c r="X63" s="94"/>
      <c r="Y63" s="94"/>
      <c r="Z63" s="20"/>
      <c r="AB63" s="99" t="s">
        <v>63</v>
      </c>
      <c r="AC63" s="100" t="n">
        <v>0.059</v>
      </c>
      <c r="AD63" s="25"/>
      <c r="AE63" s="25"/>
      <c r="AF63" s="94"/>
      <c r="AG63" s="94"/>
      <c r="AH63" s="94"/>
      <c r="AI63" s="20"/>
    </row>
    <row r="64" customFormat="false" ht="17.35" hidden="false" customHeight="false" outlineLevel="0" collapsed="false">
      <c r="A64" s="101" t="s">
        <v>64</v>
      </c>
      <c r="B64" s="102" t="n">
        <v>0.024</v>
      </c>
      <c r="C64" s="25"/>
      <c r="D64" s="25"/>
      <c r="E64" s="94"/>
      <c r="F64" s="94"/>
      <c r="G64" s="94"/>
      <c r="H64" s="20"/>
      <c r="J64" s="101" t="s">
        <v>64</v>
      </c>
      <c r="K64" s="102" t="n">
        <v>0.1</v>
      </c>
      <c r="L64" s="25"/>
      <c r="M64" s="25"/>
      <c r="N64" s="94"/>
      <c r="O64" s="94"/>
      <c r="P64" s="94"/>
      <c r="Q64" s="20"/>
      <c r="S64" s="101" t="s">
        <v>64</v>
      </c>
      <c r="T64" s="102" t="n">
        <f aca="false">IF(T108=AP108, 2.4%, 7.2%)</f>
        <v>0.072</v>
      </c>
      <c r="U64" s="25"/>
      <c r="V64" s="25"/>
      <c r="W64" s="94"/>
      <c r="X64" s="94"/>
      <c r="Y64" s="94"/>
      <c r="Z64" s="20"/>
      <c r="AB64" s="101" t="s">
        <v>64</v>
      </c>
      <c r="AC64" s="102" t="n">
        <f aca="false">IF(AC108=AP108, 2.4%, 7.2%)</f>
        <v>0.072</v>
      </c>
      <c r="AD64" s="25"/>
      <c r="AE64" s="25"/>
      <c r="AF64" s="94"/>
      <c r="AG64" s="94"/>
      <c r="AH64" s="94"/>
      <c r="AI64" s="20"/>
    </row>
    <row r="65" customFormat="false" ht="17.35" hidden="false" customHeight="false" outlineLevel="0" collapsed="false">
      <c r="A65" s="74" t="s">
        <v>65</v>
      </c>
      <c r="B65" s="82" t="n">
        <f aca="false">(B89*B59)-(K47*K29)</f>
        <v>2744.12058381038</v>
      </c>
      <c r="C65" s="25"/>
      <c r="D65" s="25"/>
      <c r="E65" s="94"/>
      <c r="F65" s="94"/>
      <c r="G65" s="94"/>
      <c r="H65" s="20"/>
      <c r="J65" s="74" t="s">
        <v>65</v>
      </c>
      <c r="K65" s="82" t="e">
        <f aca="false">(K89*K59)-(K47*K29)</f>
        <v>#VALUE!</v>
      </c>
      <c r="L65" s="25"/>
      <c r="M65" s="25"/>
      <c r="N65" s="94"/>
      <c r="O65" s="94"/>
      <c r="P65" s="94"/>
      <c r="Q65" s="20"/>
      <c r="S65" s="74" t="s">
        <v>65</v>
      </c>
      <c r="T65" s="82" t="e">
        <f aca="false">(T89*T59)-(K47*K29)</f>
        <v>#VALUE!</v>
      </c>
      <c r="U65" s="25"/>
      <c r="V65" s="25"/>
      <c r="W65" s="94"/>
      <c r="X65" s="94"/>
      <c r="Y65" s="94"/>
      <c r="Z65" s="20"/>
      <c r="AB65" s="74" t="s">
        <v>65</v>
      </c>
      <c r="AC65" s="82" t="e">
        <f aca="false">(AC89*AC59)-(K47*K29)</f>
        <v>#VALUE!</v>
      </c>
      <c r="AD65" s="25"/>
      <c r="AE65" s="25"/>
      <c r="AF65" s="94"/>
      <c r="AG65" s="94"/>
      <c r="AH65" s="94"/>
      <c r="AI65" s="20"/>
    </row>
    <row r="66" customFormat="false" ht="17.35" hidden="false" customHeight="false" outlineLevel="0" collapsed="false">
      <c r="A66" s="97" t="s">
        <v>66</v>
      </c>
      <c r="B66" s="98" t="n">
        <v>0.005</v>
      </c>
      <c r="C66" s="25"/>
      <c r="D66" s="25"/>
      <c r="E66" s="94"/>
      <c r="F66" s="94"/>
      <c r="G66" s="94"/>
      <c r="H66" s="20"/>
      <c r="J66" s="97" t="s">
        <v>66</v>
      </c>
      <c r="K66" s="98" t="n">
        <v>0.05</v>
      </c>
      <c r="L66" s="25"/>
      <c r="M66" s="25"/>
      <c r="N66" s="94"/>
      <c r="O66" s="94"/>
      <c r="P66" s="94"/>
      <c r="Q66" s="20"/>
      <c r="S66" s="97" t="s">
        <v>66</v>
      </c>
      <c r="T66" s="98" t="n">
        <v>0.005</v>
      </c>
      <c r="U66" s="25"/>
      <c r="V66" s="25"/>
      <c r="W66" s="94"/>
      <c r="X66" s="94"/>
      <c r="Y66" s="94"/>
      <c r="Z66" s="20"/>
      <c r="AB66" s="97" t="s">
        <v>66</v>
      </c>
      <c r="AC66" s="98" t="n">
        <v>0.005</v>
      </c>
      <c r="AD66" s="25"/>
      <c r="AE66" s="25"/>
      <c r="AF66" s="94"/>
      <c r="AG66" s="94"/>
      <c r="AH66" s="94"/>
      <c r="AI66" s="20"/>
    </row>
    <row r="67" customFormat="false" ht="17.35" hidden="false" customHeight="false" outlineLevel="0" collapsed="false">
      <c r="A67" s="55" t="s">
        <v>67</v>
      </c>
      <c r="B67" s="103" t="n">
        <f aca="false">B66+(B66*0.5*(K29/12-1))</f>
        <v>0.005</v>
      </c>
      <c r="C67" s="25"/>
      <c r="D67" s="25"/>
      <c r="E67" s="94"/>
      <c r="F67" s="94"/>
      <c r="G67" s="94"/>
      <c r="H67" s="20"/>
      <c r="J67" s="55" t="s">
        <v>67</v>
      </c>
      <c r="K67" s="103" t="n">
        <f aca="false">K66+(K66*0.25*(K29/12-1))</f>
        <v>0.05</v>
      </c>
      <c r="L67" s="25"/>
      <c r="M67" s="25"/>
      <c r="N67" s="94"/>
      <c r="O67" s="94"/>
      <c r="P67" s="94"/>
      <c r="Q67" s="20"/>
      <c r="S67" s="55" t="s">
        <v>67</v>
      </c>
      <c r="T67" s="103" t="n">
        <f aca="false">T66+(T66*0.5*(K29/12-1))</f>
        <v>0.005</v>
      </c>
      <c r="U67" s="25"/>
      <c r="V67" s="25"/>
      <c r="W67" s="94"/>
      <c r="X67" s="94"/>
      <c r="Y67" s="94"/>
      <c r="Z67" s="20"/>
      <c r="AB67" s="55" t="s">
        <v>67</v>
      </c>
      <c r="AC67" s="103" t="n">
        <f aca="false">AC66+(AC66*0.5*(K29/12-1))</f>
        <v>0.005</v>
      </c>
      <c r="AD67" s="25"/>
      <c r="AE67" s="25"/>
      <c r="AF67" s="94"/>
      <c r="AG67" s="94"/>
      <c r="AH67" s="94"/>
      <c r="AI67" s="20"/>
    </row>
    <row r="68" customFormat="false" ht="17.35" hidden="false" customHeight="false" outlineLevel="0" collapsed="false">
      <c r="A68" s="74" t="s">
        <v>68</v>
      </c>
      <c r="B68" s="82" t="n">
        <f aca="false">(G158*B67)/1.2</f>
        <v>118.749983333333</v>
      </c>
      <c r="C68" s="25"/>
      <c r="D68" s="25"/>
      <c r="E68" s="94"/>
      <c r="F68" s="94"/>
      <c r="G68" s="94"/>
      <c r="H68" s="20"/>
      <c r="J68" s="74" t="s">
        <v>68</v>
      </c>
      <c r="K68" s="82" t="n">
        <f aca="false">K61*K67</f>
        <v>1870.25</v>
      </c>
      <c r="L68" s="25"/>
      <c r="M68" s="25"/>
      <c r="N68" s="94"/>
      <c r="O68" s="94"/>
      <c r="P68" s="94"/>
      <c r="Q68" s="20"/>
      <c r="S68" s="74" t="s">
        <v>68</v>
      </c>
      <c r="T68" s="82" t="n">
        <f aca="false">T61*T67</f>
        <v>187.025</v>
      </c>
      <c r="U68" s="25"/>
      <c r="V68" s="25"/>
      <c r="W68" s="94"/>
      <c r="X68" s="94"/>
      <c r="Y68" s="94"/>
      <c r="Z68" s="20"/>
      <c r="AB68" s="74" t="s">
        <v>68</v>
      </c>
      <c r="AC68" s="82" t="e">
        <f aca="false">AH158*AC67</f>
        <v>#VALUE!</v>
      </c>
      <c r="AD68" s="25"/>
      <c r="AE68" s="25"/>
      <c r="AF68" s="94"/>
      <c r="AG68" s="94"/>
      <c r="AH68" s="94"/>
      <c r="AI68" s="20"/>
    </row>
    <row r="69" customFormat="false" ht="17.35" hidden="false" customHeight="false" outlineLevel="0" collapsed="false">
      <c r="A69" s="97" t="s">
        <v>69</v>
      </c>
      <c r="B69" s="98" t="n">
        <v>0</v>
      </c>
      <c r="C69" s="25"/>
      <c r="D69" s="25"/>
      <c r="E69" s="94"/>
      <c r="F69" s="94"/>
      <c r="G69" s="94"/>
      <c r="H69" s="20"/>
      <c r="J69" s="97" t="s">
        <v>69</v>
      </c>
      <c r="K69" s="98" t="n">
        <v>0</v>
      </c>
      <c r="L69" s="25"/>
      <c r="M69" s="25"/>
      <c r="N69" s="94"/>
      <c r="O69" s="94"/>
      <c r="P69" s="94"/>
      <c r="Q69" s="20"/>
      <c r="S69" s="97" t="s">
        <v>69</v>
      </c>
      <c r="T69" s="98" t="n">
        <v>0</v>
      </c>
      <c r="U69" s="25"/>
      <c r="V69" s="25"/>
      <c r="W69" s="94"/>
      <c r="X69" s="94"/>
      <c r="Y69" s="94"/>
      <c r="Z69" s="20"/>
      <c r="AB69" s="97" t="s">
        <v>69</v>
      </c>
      <c r="AC69" s="98" t="n">
        <v>0</v>
      </c>
      <c r="AD69" s="25"/>
      <c r="AE69" s="25"/>
      <c r="AF69" s="94"/>
      <c r="AG69" s="94"/>
      <c r="AH69" s="94"/>
      <c r="AI69" s="20"/>
    </row>
    <row r="70" customFormat="false" ht="17.35" hidden="false" customHeight="false" outlineLevel="0" collapsed="false">
      <c r="A70" s="99" t="s">
        <v>70</v>
      </c>
      <c r="B70" s="100" t="n">
        <v>0</v>
      </c>
      <c r="C70" s="25"/>
      <c r="D70" s="25"/>
      <c r="E70" s="94"/>
      <c r="F70" s="94"/>
      <c r="G70" s="94"/>
      <c r="H70" s="20"/>
      <c r="J70" s="99" t="s">
        <v>70</v>
      </c>
      <c r="K70" s="100" t="n">
        <v>0</v>
      </c>
      <c r="L70" s="25"/>
      <c r="M70" s="25"/>
      <c r="N70" s="94"/>
      <c r="O70" s="94"/>
      <c r="P70" s="94"/>
      <c r="Q70" s="20"/>
      <c r="S70" s="99" t="s">
        <v>70</v>
      </c>
      <c r="T70" s="100" t="n">
        <v>0</v>
      </c>
      <c r="U70" s="25"/>
      <c r="V70" s="25"/>
      <c r="W70" s="94"/>
      <c r="X70" s="94"/>
      <c r="Y70" s="94"/>
      <c r="Z70" s="20"/>
      <c r="AB70" s="99" t="s">
        <v>70</v>
      </c>
      <c r="AC70" s="100" t="n">
        <v>0</v>
      </c>
      <c r="AD70" s="25"/>
      <c r="AE70" s="25"/>
      <c r="AF70" s="94"/>
      <c r="AG70" s="94"/>
      <c r="AH70" s="94"/>
      <c r="AI70" s="20"/>
    </row>
    <row r="71" customFormat="false" ht="17.35" hidden="false" customHeight="false" outlineLevel="0" collapsed="false">
      <c r="A71" s="74" t="s">
        <v>71</v>
      </c>
      <c r="B71" s="104" t="n">
        <f aca="false">B69*(1+B70)</f>
        <v>0</v>
      </c>
      <c r="C71" s="25"/>
      <c r="D71" s="25"/>
      <c r="E71" s="94"/>
      <c r="F71" s="94"/>
      <c r="G71" s="94"/>
      <c r="H71" s="20"/>
      <c r="J71" s="74" t="s">
        <v>71</v>
      </c>
      <c r="K71" s="104" t="n">
        <f aca="false">K69*(1+K70)</f>
        <v>0</v>
      </c>
      <c r="L71" s="25"/>
      <c r="M71" s="25"/>
      <c r="N71" s="94"/>
      <c r="O71" s="94"/>
      <c r="P71" s="94"/>
      <c r="Q71" s="20"/>
      <c r="S71" s="74" t="s">
        <v>71</v>
      </c>
      <c r="T71" s="104" t="n">
        <f aca="false">T69*(1+T70)</f>
        <v>0</v>
      </c>
      <c r="U71" s="25"/>
      <c r="V71" s="25"/>
      <c r="W71" s="94"/>
      <c r="X71" s="94"/>
      <c r="Y71" s="94"/>
      <c r="Z71" s="20"/>
      <c r="AB71" s="74" t="s">
        <v>71</v>
      </c>
      <c r="AC71" s="104" t="n">
        <f aca="false">AC69*(1+AC70)</f>
        <v>0</v>
      </c>
      <c r="AD71" s="25"/>
      <c r="AE71" s="25"/>
      <c r="AF71" s="94"/>
      <c r="AG71" s="94"/>
      <c r="AH71" s="94"/>
      <c r="AI71" s="20"/>
    </row>
    <row r="72" customFormat="false" ht="17.35" hidden="false" customHeight="false" outlineLevel="0" collapsed="false">
      <c r="A72" s="97" t="s">
        <v>72</v>
      </c>
      <c r="B72" s="105" t="n">
        <v>0</v>
      </c>
      <c r="C72" s="25"/>
      <c r="D72" s="25"/>
      <c r="E72" s="94"/>
      <c r="F72" s="94"/>
      <c r="G72" s="94"/>
      <c r="H72" s="20"/>
      <c r="J72" s="97" t="s">
        <v>72</v>
      </c>
      <c r="K72" s="105" t="n">
        <v>0</v>
      </c>
      <c r="L72" s="25"/>
      <c r="M72" s="25"/>
      <c r="N72" s="94"/>
      <c r="O72" s="94"/>
      <c r="P72" s="94"/>
      <c r="Q72" s="20"/>
      <c r="S72" s="97" t="s">
        <v>72</v>
      </c>
      <c r="T72" s="105" t="n">
        <v>0</v>
      </c>
      <c r="U72" s="25"/>
      <c r="V72" s="25"/>
      <c r="W72" s="94"/>
      <c r="X72" s="94"/>
      <c r="Y72" s="94"/>
      <c r="Z72" s="20"/>
      <c r="AB72" s="97" t="s">
        <v>72</v>
      </c>
      <c r="AC72" s="105" t="n">
        <v>0</v>
      </c>
      <c r="AD72" s="25"/>
      <c r="AE72" s="25"/>
      <c r="AF72" s="94"/>
      <c r="AG72" s="94"/>
      <c r="AH72" s="94"/>
      <c r="AI72" s="20"/>
    </row>
    <row r="73" customFormat="false" ht="17.35" hidden="false" customHeight="false" outlineLevel="0" collapsed="false">
      <c r="A73" s="99" t="s">
        <v>73</v>
      </c>
      <c r="B73" s="96" t="n">
        <v>0</v>
      </c>
      <c r="C73" s="25"/>
      <c r="D73" s="25"/>
      <c r="E73" s="94"/>
      <c r="F73" s="94"/>
      <c r="G73" s="94"/>
      <c r="H73" s="20"/>
      <c r="J73" s="99" t="s">
        <v>73</v>
      </c>
      <c r="K73" s="96" t="n">
        <v>0</v>
      </c>
      <c r="L73" s="25"/>
      <c r="M73" s="25"/>
      <c r="N73" s="94"/>
      <c r="O73" s="94"/>
      <c r="P73" s="94"/>
      <c r="Q73" s="20"/>
      <c r="S73" s="99" t="s">
        <v>73</v>
      </c>
      <c r="T73" s="96" t="n">
        <v>0</v>
      </c>
      <c r="U73" s="25"/>
      <c r="V73" s="25"/>
      <c r="W73" s="94"/>
      <c r="X73" s="94"/>
      <c r="Y73" s="94"/>
      <c r="Z73" s="20"/>
      <c r="AB73" s="99" t="s">
        <v>73</v>
      </c>
      <c r="AC73" s="96" t="n">
        <v>0</v>
      </c>
      <c r="AD73" s="25"/>
      <c r="AE73" s="25"/>
      <c r="AF73" s="94"/>
      <c r="AG73" s="94"/>
      <c r="AH73" s="94"/>
      <c r="AI73" s="20"/>
    </row>
    <row r="74" customFormat="false" ht="17.35" hidden="false" customHeight="false" outlineLevel="0" collapsed="false">
      <c r="A74" s="74" t="s">
        <v>74</v>
      </c>
      <c r="B74" s="82" t="n">
        <f aca="false">B73*K29</f>
        <v>0</v>
      </c>
      <c r="C74" s="25"/>
      <c r="D74" s="25" t="n">
        <f aca="false">B74+B72</f>
        <v>0</v>
      </c>
      <c r="E74" s="94"/>
      <c r="F74" s="94"/>
      <c r="G74" s="94"/>
      <c r="H74" s="20"/>
      <c r="J74" s="74" t="s">
        <v>74</v>
      </c>
      <c r="K74" s="82" t="n">
        <f aca="false">K73*K29</f>
        <v>0</v>
      </c>
      <c r="L74" s="25"/>
      <c r="M74" s="25" t="n">
        <f aca="false">K74+K72</f>
        <v>0</v>
      </c>
      <c r="N74" s="94"/>
      <c r="O74" s="94"/>
      <c r="P74" s="94"/>
      <c r="Q74" s="20"/>
      <c r="S74" s="74" t="s">
        <v>74</v>
      </c>
      <c r="T74" s="82" t="n">
        <f aca="false">T73*K29</f>
        <v>0</v>
      </c>
      <c r="U74" s="25"/>
      <c r="V74" s="25" t="n">
        <f aca="false">T74+T72</f>
        <v>0</v>
      </c>
      <c r="W74" s="94"/>
      <c r="X74" s="94"/>
      <c r="Y74" s="94"/>
      <c r="Z74" s="20"/>
      <c r="AB74" s="74" t="s">
        <v>74</v>
      </c>
      <c r="AC74" s="82" t="n">
        <f aca="false">AC73*K29</f>
        <v>0</v>
      </c>
      <c r="AD74" s="25"/>
      <c r="AE74" s="25" t="n">
        <f aca="false">AC74+AC72</f>
        <v>0</v>
      </c>
      <c r="AF74" s="94"/>
      <c r="AG74" s="94"/>
      <c r="AH74" s="94"/>
      <c r="AI74" s="20"/>
    </row>
    <row r="75" customFormat="false" ht="17.35" hidden="false" customHeight="false" outlineLevel="0" collapsed="false">
      <c r="A75" s="99" t="s">
        <v>75</v>
      </c>
      <c r="B75" s="96" t="n">
        <v>0</v>
      </c>
      <c r="C75" s="25"/>
      <c r="D75" s="25" t="n">
        <f aca="false">B75</f>
        <v>0</v>
      </c>
      <c r="E75" s="94"/>
      <c r="F75" s="94"/>
      <c r="G75" s="94"/>
      <c r="H75" s="20"/>
      <c r="J75" s="99" t="s">
        <v>75</v>
      </c>
      <c r="K75" s="96" t="n">
        <v>0</v>
      </c>
      <c r="L75" s="25"/>
      <c r="M75" s="25" t="n">
        <f aca="false">K75</f>
        <v>0</v>
      </c>
      <c r="N75" s="94"/>
      <c r="O75" s="94"/>
      <c r="P75" s="94"/>
      <c r="Q75" s="20"/>
      <c r="S75" s="99" t="s">
        <v>75</v>
      </c>
      <c r="T75" s="96" t="n">
        <v>0</v>
      </c>
      <c r="U75" s="25"/>
      <c r="V75" s="25" t="n">
        <f aca="false">T75</f>
        <v>0</v>
      </c>
      <c r="W75" s="94"/>
      <c r="X75" s="94"/>
      <c r="Y75" s="94"/>
      <c r="Z75" s="20"/>
      <c r="AB75" s="99" t="s">
        <v>75</v>
      </c>
      <c r="AC75" s="96" t="n">
        <v>0</v>
      </c>
      <c r="AD75" s="25"/>
      <c r="AE75" s="25" t="n">
        <f aca="false">AC75</f>
        <v>0</v>
      </c>
      <c r="AF75" s="94"/>
      <c r="AG75" s="94"/>
      <c r="AH75" s="94"/>
      <c r="AI75" s="20"/>
    </row>
    <row r="76" customFormat="false" ht="17.35" hidden="false" customHeight="false" outlineLevel="0" collapsed="false">
      <c r="A76" s="101" t="s">
        <v>76</v>
      </c>
      <c r="B76" s="106" t="n">
        <v>0</v>
      </c>
      <c r="C76" s="25"/>
      <c r="D76" s="25" t="n">
        <f aca="false">B76</f>
        <v>0</v>
      </c>
      <c r="E76" s="94"/>
      <c r="F76" s="25"/>
      <c r="G76" s="94"/>
      <c r="H76" s="20"/>
      <c r="J76" s="101" t="s">
        <v>76</v>
      </c>
      <c r="K76" s="106" t="n">
        <v>0</v>
      </c>
      <c r="L76" s="25"/>
      <c r="M76" s="25" t="n">
        <f aca="false">K76</f>
        <v>0</v>
      </c>
      <c r="N76" s="94"/>
      <c r="O76" s="94"/>
      <c r="P76" s="94"/>
      <c r="Q76" s="20"/>
      <c r="S76" s="101" t="s">
        <v>76</v>
      </c>
      <c r="T76" s="106" t="n">
        <v>0</v>
      </c>
      <c r="U76" s="25"/>
      <c r="V76" s="25" t="n">
        <f aca="false">T76</f>
        <v>0</v>
      </c>
      <c r="W76" s="94"/>
      <c r="X76" s="94"/>
      <c r="Y76" s="94"/>
      <c r="Z76" s="20"/>
      <c r="AB76" s="101" t="s">
        <v>76</v>
      </c>
      <c r="AC76" s="106" t="n">
        <v>0</v>
      </c>
      <c r="AD76" s="25"/>
      <c r="AE76" s="25" t="n">
        <f aca="false">AC76</f>
        <v>0</v>
      </c>
      <c r="AF76" s="94"/>
      <c r="AG76" s="94"/>
      <c r="AH76" s="94"/>
      <c r="AI76" s="20"/>
    </row>
    <row r="77" customFormat="false" ht="17.35" hidden="false" customHeight="false" outlineLevel="0" collapsed="false">
      <c r="A77" s="107" t="s">
        <v>77</v>
      </c>
      <c r="B77" s="108" t="n">
        <f aca="false">SUM(D65:D76)</f>
        <v>0</v>
      </c>
      <c r="C77" s="25"/>
      <c r="D77" s="25"/>
      <c r="E77" s="94"/>
      <c r="F77" s="25"/>
      <c r="G77" s="25"/>
      <c r="H77" s="20"/>
      <c r="J77" s="107" t="s">
        <v>77</v>
      </c>
      <c r="K77" s="108" t="n">
        <f aca="false">SUM(M65:M76)</f>
        <v>0</v>
      </c>
      <c r="L77" s="25"/>
      <c r="M77" s="25"/>
      <c r="N77" s="94"/>
      <c r="O77" s="94"/>
      <c r="P77" s="94"/>
      <c r="Q77" s="20"/>
      <c r="S77" s="107" t="s">
        <v>77</v>
      </c>
      <c r="T77" s="108" t="n">
        <f aca="false">SUM(V65:V76)</f>
        <v>0</v>
      </c>
      <c r="U77" s="25"/>
      <c r="V77" s="25"/>
      <c r="W77" s="94"/>
      <c r="X77" s="94"/>
      <c r="Y77" s="94"/>
      <c r="Z77" s="20"/>
      <c r="AB77" s="107" t="s">
        <v>77</v>
      </c>
      <c r="AC77" s="108" t="n">
        <f aca="false">SUM(AE65:AE76)</f>
        <v>0</v>
      </c>
      <c r="AD77" s="25"/>
      <c r="AE77" s="25"/>
      <c r="AF77" s="94"/>
      <c r="AG77" s="94"/>
      <c r="AH77" s="94"/>
      <c r="AI77" s="20"/>
    </row>
    <row r="78" customFormat="false" ht="17.35" hidden="false" customHeight="false" outlineLevel="0" collapsed="false">
      <c r="A78" s="55" t="s">
        <v>78</v>
      </c>
      <c r="B78" s="20" t="n">
        <f aca="false">B77/K29</f>
        <v>0</v>
      </c>
      <c r="C78" s="25"/>
      <c r="D78" s="25"/>
      <c r="E78" s="94"/>
      <c r="F78" s="94"/>
      <c r="G78" s="94"/>
      <c r="H78" s="20"/>
      <c r="J78" s="55" t="s">
        <v>78</v>
      </c>
      <c r="K78" s="20" t="n">
        <f aca="false">K77/K29</f>
        <v>0</v>
      </c>
      <c r="L78" s="25"/>
      <c r="M78" s="25"/>
      <c r="N78" s="94"/>
      <c r="O78" s="94"/>
      <c r="P78" s="94"/>
      <c r="Q78" s="20"/>
      <c r="S78" s="55" t="s">
        <v>78</v>
      </c>
      <c r="T78" s="20" t="n">
        <f aca="false">T77/K29</f>
        <v>0</v>
      </c>
      <c r="U78" s="25"/>
      <c r="V78" s="25"/>
      <c r="W78" s="94"/>
      <c r="X78" s="94"/>
      <c r="Y78" s="94"/>
      <c r="Z78" s="20"/>
      <c r="AB78" s="55" t="s">
        <v>78</v>
      </c>
      <c r="AC78" s="20" t="n">
        <f aca="false">AC77/K29</f>
        <v>0</v>
      </c>
      <c r="AD78" s="25"/>
      <c r="AE78" s="25"/>
      <c r="AF78" s="94"/>
      <c r="AG78" s="94"/>
      <c r="AH78" s="94"/>
      <c r="AI78" s="20"/>
    </row>
    <row r="79" customFormat="false" ht="17.35" hidden="false" customHeight="false" outlineLevel="0" collapsed="false">
      <c r="A79" s="109" t="s">
        <v>79</v>
      </c>
      <c r="B79" s="77" t="n">
        <f aca="false">K47</f>
        <v>2067.51803535204</v>
      </c>
      <c r="C79" s="25"/>
      <c r="D79" s="25"/>
      <c r="E79" s="94"/>
      <c r="F79" s="94"/>
      <c r="G79" s="94"/>
      <c r="H79" s="20"/>
      <c r="J79" s="109" t="s">
        <v>79</v>
      </c>
      <c r="K79" s="77" t="n">
        <f aca="false">K47</f>
        <v>2067.51803535204</v>
      </c>
      <c r="L79" s="25"/>
      <c r="M79" s="25"/>
      <c r="N79" s="94"/>
      <c r="O79" s="94"/>
      <c r="P79" s="94"/>
      <c r="Q79" s="20"/>
      <c r="S79" s="109" t="s">
        <v>79</v>
      </c>
      <c r="T79" s="77" t="n">
        <f aca="false">B52</f>
        <v>2090.4347020187</v>
      </c>
      <c r="U79" s="25"/>
      <c r="V79" s="25"/>
      <c r="W79" s="94"/>
      <c r="X79" s="94"/>
      <c r="Y79" s="94"/>
      <c r="Z79" s="20"/>
      <c r="AB79" s="109" t="s">
        <v>79</v>
      </c>
      <c r="AC79" s="77" t="n">
        <f aca="false">B52</f>
        <v>2090.4347020187</v>
      </c>
      <c r="AD79" s="25"/>
      <c r="AE79" s="25"/>
      <c r="AF79" s="94"/>
      <c r="AG79" s="94"/>
      <c r="AH79" s="94"/>
      <c r="AI79" s="20"/>
    </row>
    <row r="80" customFormat="false" ht="17.35" hidden="false" customHeight="false" outlineLevel="0" collapsed="false">
      <c r="A80" s="55"/>
      <c r="B80" s="25"/>
      <c r="C80" s="25"/>
      <c r="D80" s="25"/>
      <c r="E80" s="94"/>
      <c r="F80" s="94"/>
      <c r="G80" s="94"/>
      <c r="H80" s="20"/>
      <c r="J80" s="55"/>
      <c r="K80" s="25"/>
      <c r="L80" s="25"/>
      <c r="M80" s="25"/>
      <c r="N80" s="94"/>
      <c r="O80" s="94"/>
      <c r="P80" s="94"/>
      <c r="Q80" s="20"/>
      <c r="S80" s="55"/>
      <c r="T80" s="25"/>
      <c r="U80" s="25"/>
      <c r="V80" s="25"/>
      <c r="W80" s="94"/>
      <c r="X80" s="94"/>
      <c r="Y80" s="94"/>
      <c r="Z80" s="20"/>
      <c r="AB80" s="55"/>
      <c r="AC80" s="25"/>
      <c r="AD80" s="25"/>
      <c r="AE80" s="25"/>
      <c r="AF80" s="94"/>
      <c r="AG80" s="94"/>
      <c r="AH80" s="94"/>
      <c r="AI80" s="20"/>
    </row>
    <row r="81" customFormat="false" ht="17.35" hidden="false" customHeight="false" outlineLevel="0" collapsed="false">
      <c r="A81" s="48" t="s">
        <v>80</v>
      </c>
      <c r="B81" s="50" t="n">
        <f aca="false">G158</f>
        <v>28499.996</v>
      </c>
      <c r="C81" s="25"/>
      <c r="D81" s="25"/>
      <c r="E81" s="94"/>
      <c r="F81" s="94"/>
      <c r="G81" s="94"/>
      <c r="H81" s="20"/>
      <c r="J81" s="48" t="s">
        <v>80</v>
      </c>
      <c r="K81" s="50" t="e">
        <f aca="false">P158</f>
        <v>#VALUE!</v>
      </c>
      <c r="L81" s="25"/>
      <c r="M81" s="25"/>
      <c r="N81" s="94"/>
      <c r="O81" s="94"/>
      <c r="P81" s="94"/>
      <c r="Q81" s="20"/>
      <c r="S81" s="48" t="s">
        <v>80</v>
      </c>
      <c r="T81" s="50" t="e">
        <f aca="false">Y158</f>
        <v>#VALUE!</v>
      </c>
      <c r="U81" s="25"/>
      <c r="V81" s="25"/>
      <c r="W81" s="94"/>
      <c r="X81" s="94"/>
      <c r="Y81" s="94"/>
      <c r="Z81" s="20"/>
      <c r="AB81" s="48" t="s">
        <v>80</v>
      </c>
      <c r="AC81" s="50" t="e">
        <f aca="false">AH158</f>
        <v>#VALUE!</v>
      </c>
      <c r="AD81" s="25"/>
      <c r="AE81" s="25"/>
      <c r="AF81" s="94"/>
      <c r="AG81" s="94"/>
      <c r="AH81" s="94"/>
      <c r="AI81" s="20"/>
    </row>
    <row r="82" customFormat="false" ht="17.35" hidden="false" customHeight="false" outlineLevel="0" collapsed="false">
      <c r="A82" s="55" t="s">
        <v>47</v>
      </c>
      <c r="B82" s="20" t="n">
        <f aca="false">IF(A111 = "Yes", A40, 0)</f>
        <v>0</v>
      </c>
      <c r="C82" s="25"/>
      <c r="D82" s="25"/>
      <c r="E82" s="94"/>
      <c r="F82" s="94"/>
      <c r="G82" s="94"/>
      <c r="H82" s="20"/>
      <c r="J82" s="55" t="s">
        <v>47</v>
      </c>
      <c r="K82" s="20" t="n">
        <f aca="false">IF(J111 = "YES", A40, 0)</f>
        <v>0</v>
      </c>
      <c r="L82" s="25"/>
      <c r="M82" s="25"/>
      <c r="N82" s="94"/>
      <c r="O82" s="94"/>
      <c r="P82" s="94"/>
      <c r="Q82" s="20"/>
      <c r="S82" s="55" t="s">
        <v>47</v>
      </c>
      <c r="T82" s="20" t="n">
        <f aca="false">A40</f>
        <v>0</v>
      </c>
      <c r="U82" s="25"/>
      <c r="V82" s="25"/>
      <c r="W82" s="94"/>
      <c r="X82" s="94"/>
      <c r="Y82" s="94"/>
      <c r="Z82" s="20"/>
      <c r="AB82" s="55" t="s">
        <v>47</v>
      </c>
      <c r="AC82" s="20" t="n">
        <f aca="false">A40</f>
        <v>0</v>
      </c>
      <c r="AD82" s="25"/>
      <c r="AE82" s="25"/>
      <c r="AF82" s="94"/>
      <c r="AG82" s="94"/>
      <c r="AH82" s="94"/>
      <c r="AI82" s="20"/>
    </row>
    <row r="83" customFormat="false" ht="17.35" hidden="false" customHeight="false" outlineLevel="0" collapsed="false">
      <c r="A83" s="55" t="s">
        <v>81</v>
      </c>
      <c r="B83" s="110" t="n">
        <f aca="false">B62+B63+B64</f>
        <v>0.0995</v>
      </c>
      <c r="C83" s="25"/>
      <c r="D83" s="25"/>
      <c r="E83" s="94"/>
      <c r="F83" s="94"/>
      <c r="G83" s="94"/>
      <c r="H83" s="20"/>
      <c r="J83" s="55" t="s">
        <v>81</v>
      </c>
      <c r="K83" s="103" t="n">
        <f aca="false">K62+K63+K64</f>
        <v>0.24</v>
      </c>
      <c r="L83" s="25"/>
      <c r="M83" s="25"/>
      <c r="N83" s="94"/>
      <c r="O83" s="94"/>
      <c r="P83" s="94"/>
      <c r="Q83" s="20"/>
      <c r="S83" s="55" t="s">
        <v>81</v>
      </c>
      <c r="T83" s="103" t="n">
        <f aca="false">T62+T63+T64</f>
        <v>0.1415</v>
      </c>
      <c r="U83" s="25"/>
      <c r="V83" s="25"/>
      <c r="W83" s="94"/>
      <c r="X83" s="94"/>
      <c r="Y83" s="94"/>
      <c r="Z83" s="20"/>
      <c r="AB83" s="55" t="s">
        <v>81</v>
      </c>
      <c r="AC83" s="103" t="n">
        <f aca="false">AC62+AC63+AC64</f>
        <v>0.1415</v>
      </c>
      <c r="AD83" s="25"/>
      <c r="AE83" s="25"/>
      <c r="AF83" s="94"/>
      <c r="AG83" s="94"/>
      <c r="AH83" s="94"/>
      <c r="AI83" s="20"/>
    </row>
    <row r="84" customFormat="false" ht="17.35" hidden="false" customHeight="false" outlineLevel="0" collapsed="false">
      <c r="A84" s="55" t="s">
        <v>82</v>
      </c>
      <c r="B84" s="103" t="n">
        <f aca="false">B83/12</f>
        <v>0.00829166666666667</v>
      </c>
      <c r="C84" s="25"/>
      <c r="D84" s="25"/>
      <c r="E84" s="94"/>
      <c r="F84" s="94"/>
      <c r="G84" s="94"/>
      <c r="H84" s="20"/>
      <c r="J84" s="55" t="s">
        <v>82</v>
      </c>
      <c r="K84" s="103" t="n">
        <f aca="false">K83/12</f>
        <v>0.02</v>
      </c>
      <c r="L84" s="25"/>
      <c r="M84" s="25"/>
      <c r="N84" s="94"/>
      <c r="O84" s="94"/>
      <c r="P84" s="94"/>
      <c r="Q84" s="20"/>
      <c r="S84" s="55" t="s">
        <v>82</v>
      </c>
      <c r="T84" s="103" t="n">
        <f aca="false">T83/12</f>
        <v>0.0117916666666667</v>
      </c>
      <c r="U84" s="25"/>
      <c r="V84" s="25"/>
      <c r="W84" s="94"/>
      <c r="X84" s="94"/>
      <c r="Y84" s="94"/>
      <c r="Z84" s="20"/>
      <c r="AB84" s="55" t="s">
        <v>82</v>
      </c>
      <c r="AC84" s="103" t="n">
        <f aca="false">AC83/12</f>
        <v>0.0117916666666667</v>
      </c>
      <c r="AD84" s="25"/>
      <c r="AE84" s="25"/>
      <c r="AF84" s="94"/>
      <c r="AG84" s="94"/>
      <c r="AH84" s="94"/>
      <c r="AI84" s="20"/>
    </row>
    <row r="85" customFormat="false" ht="17.35" hidden="false" customHeight="false" outlineLevel="0" collapsed="false">
      <c r="A85" s="55" t="s">
        <v>83</v>
      </c>
      <c r="B85" s="20" t="n">
        <f aca="false">IF(B82=0, (B59+B58), (B59))</f>
        <v>12</v>
      </c>
      <c r="C85" s="25"/>
      <c r="D85" s="25"/>
      <c r="E85" s="94"/>
      <c r="F85" s="94"/>
      <c r="G85" s="94"/>
      <c r="H85" s="20"/>
      <c r="J85" s="55" t="s">
        <v>83</v>
      </c>
      <c r="K85" s="20" t="n">
        <f aca="false">IF(K82=0, (K59+K58), (K59))</f>
        <v>12</v>
      </c>
      <c r="L85" s="25"/>
      <c r="M85" s="25"/>
      <c r="N85" s="94"/>
      <c r="O85" s="94"/>
      <c r="P85" s="94"/>
      <c r="Q85" s="20"/>
      <c r="S85" s="55" t="s">
        <v>83</v>
      </c>
      <c r="T85" s="20" t="n">
        <f aca="false">T59</f>
        <v>11</v>
      </c>
      <c r="U85" s="25"/>
      <c r="V85" s="25"/>
      <c r="W85" s="94"/>
      <c r="X85" s="94"/>
      <c r="Y85" s="94"/>
      <c r="Z85" s="20"/>
      <c r="AB85" s="55" t="s">
        <v>83</v>
      </c>
      <c r="AC85" s="20" t="n">
        <f aca="false">AC59</f>
        <v>11</v>
      </c>
      <c r="AD85" s="25"/>
      <c r="AE85" s="25"/>
      <c r="AF85" s="94"/>
      <c r="AG85" s="94"/>
      <c r="AH85" s="94"/>
      <c r="AI85" s="20"/>
    </row>
    <row r="86" customFormat="false" ht="17.35" hidden="false" customHeight="false" outlineLevel="0" collapsed="false">
      <c r="A86" s="55" t="s">
        <v>84</v>
      </c>
      <c r="B86" s="20" t="n">
        <f aca="false">(B82/((1+B84)^(B85+1)))</f>
        <v>0</v>
      </c>
      <c r="C86" s="25"/>
      <c r="D86" s="25"/>
      <c r="E86" s="94"/>
      <c r="F86" s="94"/>
      <c r="G86" s="94"/>
      <c r="H86" s="20"/>
      <c r="J86" s="55" t="s">
        <v>84</v>
      </c>
      <c r="K86" s="20" t="n">
        <f aca="false">(K82/((1+K84)^(K85+1)))</f>
        <v>0</v>
      </c>
      <c r="L86" s="25"/>
      <c r="M86" s="25"/>
      <c r="N86" s="94"/>
      <c r="O86" s="94"/>
      <c r="P86" s="94"/>
      <c r="Q86" s="20"/>
      <c r="S86" s="55" t="s">
        <v>84</v>
      </c>
      <c r="T86" s="20" t="n">
        <f aca="false">(T82/((1+T84)^(T85+1)))</f>
        <v>0</v>
      </c>
      <c r="U86" s="25"/>
      <c r="V86" s="25"/>
      <c r="W86" s="94"/>
      <c r="X86" s="94"/>
      <c r="Y86" s="94"/>
      <c r="Z86" s="20"/>
      <c r="AB86" s="55" t="s">
        <v>84</v>
      </c>
      <c r="AC86" s="20" t="n">
        <f aca="false">(AC82/((1+AC84)^(AC85+1)))</f>
        <v>0</v>
      </c>
      <c r="AD86" s="25"/>
      <c r="AE86" s="25"/>
      <c r="AF86" s="94"/>
      <c r="AG86" s="94"/>
      <c r="AH86" s="94"/>
      <c r="AI86" s="20"/>
    </row>
    <row r="87" customFormat="false" ht="17.35" hidden="false" customHeight="false" outlineLevel="0" collapsed="false">
      <c r="A87" s="55" t="s">
        <v>85</v>
      </c>
      <c r="B87" s="20" t="n">
        <f aca="false">((1-(1/((1+B84)^B85)))/B84)</f>
        <v>11.3775176629575</v>
      </c>
      <c r="C87" s="25"/>
      <c r="D87" s="25"/>
      <c r="E87" s="94"/>
      <c r="F87" s="94"/>
      <c r="G87" s="94"/>
      <c r="H87" s="20"/>
      <c r="J87" s="55" t="s">
        <v>85</v>
      </c>
      <c r="K87" s="20" t="n">
        <f aca="false">((1-(1/((1+K84)^K85)))/K84)</f>
        <v>10.5753412209172</v>
      </c>
      <c r="L87" s="25"/>
      <c r="M87" s="25"/>
      <c r="N87" s="94"/>
      <c r="O87" s="94"/>
      <c r="P87" s="94"/>
      <c r="Q87" s="20"/>
      <c r="S87" s="55" t="s">
        <v>85</v>
      </c>
      <c r="T87" s="20" t="n">
        <f aca="false">((1-(1/((1+T84)^T85)))/T84)</f>
        <v>10.2599315027351</v>
      </c>
      <c r="U87" s="25"/>
      <c r="V87" s="25"/>
      <c r="W87" s="94"/>
      <c r="X87" s="94"/>
      <c r="Y87" s="94"/>
      <c r="Z87" s="20"/>
      <c r="AB87" s="55" t="s">
        <v>85</v>
      </c>
      <c r="AC87" s="20" t="n">
        <f aca="false">((1-(1/((1+AC84)^AC85)))/AC84)</f>
        <v>10.2599315027351</v>
      </c>
      <c r="AD87" s="25"/>
      <c r="AE87" s="25"/>
      <c r="AF87" s="94"/>
      <c r="AG87" s="94"/>
      <c r="AH87" s="94"/>
      <c r="AI87" s="20"/>
    </row>
    <row r="88" customFormat="false" ht="17.35" hidden="false" customHeight="false" outlineLevel="0" collapsed="false">
      <c r="A88" s="55" t="s">
        <v>86</v>
      </c>
      <c r="B88" s="20" t="n">
        <f aca="false">B81-B86</f>
        <v>28499.996</v>
      </c>
      <c r="C88" s="25"/>
      <c r="D88" s="25"/>
      <c r="E88" s="94"/>
      <c r="F88" s="94"/>
      <c r="G88" s="94"/>
      <c r="H88" s="20"/>
      <c r="J88" s="55" t="s">
        <v>86</v>
      </c>
      <c r="K88" s="20" t="e">
        <f aca="false">K81-K86</f>
        <v>#VALUE!</v>
      </c>
      <c r="L88" s="25"/>
      <c r="M88" s="25"/>
      <c r="N88" s="94"/>
      <c r="O88" s="94"/>
      <c r="P88" s="94"/>
      <c r="Q88" s="20"/>
      <c r="S88" s="55" t="s">
        <v>86</v>
      </c>
      <c r="T88" s="20" t="e">
        <f aca="false">T81-T86</f>
        <v>#VALUE!</v>
      </c>
      <c r="U88" s="25"/>
      <c r="V88" s="25"/>
      <c r="W88" s="94"/>
      <c r="X88" s="94"/>
      <c r="Y88" s="94"/>
      <c r="Z88" s="20"/>
      <c r="AB88" s="55" t="s">
        <v>86</v>
      </c>
      <c r="AC88" s="20" t="e">
        <f aca="false">AC81-AC86</f>
        <v>#VALUE!</v>
      </c>
      <c r="AD88" s="25"/>
      <c r="AE88" s="25"/>
      <c r="AF88" s="94"/>
      <c r="AG88" s="94"/>
      <c r="AH88" s="94"/>
      <c r="AI88" s="20"/>
    </row>
    <row r="89" customFormat="false" ht="17.35" hidden="false" customHeight="false" outlineLevel="0" collapsed="false">
      <c r="A89" s="55" t="s">
        <v>87</v>
      </c>
      <c r="B89" s="20" t="n">
        <f aca="false">(B88/B87)</f>
        <v>2504.93972800316</v>
      </c>
      <c r="C89" s="25"/>
      <c r="D89" s="25"/>
      <c r="E89" s="94"/>
      <c r="F89" s="94"/>
      <c r="G89" s="94"/>
      <c r="H89" s="20"/>
      <c r="J89" s="55" t="s">
        <v>87</v>
      </c>
      <c r="K89" s="20" t="e">
        <f aca="false">(K88/K87)</f>
        <v>#VALUE!</v>
      </c>
      <c r="L89" s="25"/>
      <c r="M89" s="25"/>
      <c r="N89" s="94"/>
      <c r="O89" s="94"/>
      <c r="P89" s="94"/>
      <c r="Q89" s="20"/>
      <c r="S89" s="55" t="s">
        <v>87</v>
      </c>
      <c r="T89" s="20" t="e">
        <f aca="false">(T88/T87)</f>
        <v>#VALUE!</v>
      </c>
      <c r="U89" s="25"/>
      <c r="V89" s="25"/>
      <c r="W89" s="94"/>
      <c r="X89" s="94"/>
      <c r="Y89" s="94"/>
      <c r="Z89" s="20"/>
      <c r="AB89" s="55" t="s">
        <v>87</v>
      </c>
      <c r="AC89" s="20" t="e">
        <f aca="false">(AC88/AC87)</f>
        <v>#VALUE!</v>
      </c>
      <c r="AD89" s="25"/>
      <c r="AE89" s="25"/>
      <c r="AF89" s="94"/>
      <c r="AG89" s="94"/>
      <c r="AH89" s="94"/>
      <c r="AI89" s="20"/>
    </row>
    <row r="90" customFormat="false" ht="17.35" hidden="false" customHeight="false" outlineLevel="0" collapsed="false">
      <c r="A90" s="55" t="s">
        <v>88</v>
      </c>
      <c r="B90" s="20" t="n">
        <f aca="false">((B89*(B85))+B77)</f>
        <v>30059.276736038</v>
      </c>
      <c r="C90" s="25"/>
      <c r="D90" s="25"/>
      <c r="E90" s="94"/>
      <c r="F90" s="94"/>
      <c r="G90" s="94"/>
      <c r="H90" s="20"/>
      <c r="J90" s="55" t="s">
        <v>88</v>
      </c>
      <c r="K90" s="20" t="e">
        <f aca="false">((K89*(K85))+K77)</f>
        <v>#VALUE!</v>
      </c>
      <c r="L90" s="25"/>
      <c r="M90" s="25"/>
      <c r="N90" s="94"/>
      <c r="O90" s="94"/>
      <c r="P90" s="94"/>
      <c r="Q90" s="20"/>
      <c r="S90" s="55" t="s">
        <v>88</v>
      </c>
      <c r="T90" s="20" t="e">
        <f aca="false">(T89*(T85))+T77</f>
        <v>#VALUE!</v>
      </c>
      <c r="U90" s="25"/>
      <c r="V90" s="25"/>
      <c r="W90" s="94"/>
      <c r="X90" s="94"/>
      <c r="Y90" s="94"/>
      <c r="Z90" s="20"/>
      <c r="AB90" s="55" t="s">
        <v>88</v>
      </c>
      <c r="AC90" s="20" t="e">
        <f aca="false">(AC89*(AC59))+AC77</f>
        <v>#VALUE!</v>
      </c>
      <c r="AD90" s="25"/>
      <c r="AE90" s="25"/>
      <c r="AF90" s="94"/>
      <c r="AG90" s="94"/>
      <c r="AH90" s="94"/>
      <c r="AI90" s="20"/>
    </row>
    <row r="91" customFormat="false" ht="17.35" hidden="false" customHeight="false" outlineLevel="0" collapsed="false">
      <c r="A91" s="55" t="s">
        <v>89</v>
      </c>
      <c r="B91" s="20" t="n">
        <f aca="false">(((B89*(B85))+B77)/(1-B71))*B71</f>
        <v>0</v>
      </c>
      <c r="C91" s="25"/>
      <c r="D91" s="25"/>
      <c r="E91" s="94"/>
      <c r="F91" s="94"/>
      <c r="G91" s="94"/>
      <c r="H91" s="20"/>
      <c r="J91" s="55" t="s">
        <v>89</v>
      </c>
      <c r="K91" s="20" t="e">
        <f aca="false">(K90/(1-K71))*K71</f>
        <v>#VALUE!</v>
      </c>
      <c r="L91" s="25"/>
      <c r="M91" s="25"/>
      <c r="N91" s="94"/>
      <c r="O91" s="94"/>
      <c r="P91" s="94"/>
      <c r="Q91" s="20"/>
      <c r="S91" s="55" t="s">
        <v>89</v>
      </c>
      <c r="T91" s="20" t="e">
        <f aca="false">(T90/(1-T71))*T71</f>
        <v>#VALUE!</v>
      </c>
      <c r="U91" s="25"/>
      <c r="V91" s="25"/>
      <c r="W91" s="94"/>
      <c r="X91" s="94"/>
      <c r="Y91" s="94"/>
      <c r="Z91" s="20"/>
      <c r="AB91" s="55" t="s">
        <v>89</v>
      </c>
      <c r="AC91" s="20" t="e">
        <f aca="false">(AC90/(1-AC71))*AC71</f>
        <v>#VALUE!</v>
      </c>
      <c r="AD91" s="25"/>
      <c r="AE91" s="25"/>
      <c r="AF91" s="94"/>
      <c r="AG91" s="94"/>
      <c r="AH91" s="94"/>
      <c r="AI91" s="20"/>
    </row>
    <row r="92" customFormat="false" ht="17.35" hidden="false" customHeight="false" outlineLevel="0" collapsed="false">
      <c r="A92" s="74" t="s">
        <v>90</v>
      </c>
      <c r="B92" s="82" t="n">
        <f aca="false">(B90+B91)</f>
        <v>30059.276736038</v>
      </c>
      <c r="C92" s="25"/>
      <c r="D92" s="25"/>
      <c r="E92" s="94"/>
      <c r="F92" s="94"/>
      <c r="G92" s="94"/>
      <c r="H92" s="20"/>
      <c r="J92" s="74" t="s">
        <v>90</v>
      </c>
      <c r="K92" s="82" t="e">
        <f aca="false">(K90+K91)</f>
        <v>#VALUE!</v>
      </c>
      <c r="L92" s="25"/>
      <c r="M92" s="25"/>
      <c r="N92" s="94"/>
      <c r="O92" s="94"/>
      <c r="P92" s="94"/>
      <c r="Q92" s="20"/>
      <c r="S92" s="74" t="s">
        <v>90</v>
      </c>
      <c r="T92" s="82" t="e">
        <f aca="false">(T90+T91)</f>
        <v>#VALUE!</v>
      </c>
      <c r="U92" s="25"/>
      <c r="V92" s="25"/>
      <c r="W92" s="94"/>
      <c r="X92" s="94"/>
      <c r="Y92" s="94"/>
      <c r="Z92" s="20"/>
      <c r="AB92" s="74" t="s">
        <v>90</v>
      </c>
      <c r="AC92" s="82" t="e">
        <f aca="false">(AC90+AC91)</f>
        <v>#VALUE!</v>
      </c>
      <c r="AD92" s="25"/>
      <c r="AE92" s="25"/>
      <c r="AF92" s="94"/>
      <c r="AG92" s="94"/>
      <c r="AH92" s="94"/>
      <c r="AI92" s="20"/>
    </row>
    <row r="93" customFormat="false" ht="17.35" hidden="false" customHeight="false" outlineLevel="0" collapsed="false">
      <c r="A93" s="55"/>
      <c r="B93" s="25"/>
      <c r="C93" s="25"/>
      <c r="D93" s="25"/>
      <c r="E93" s="94"/>
      <c r="F93" s="94"/>
      <c r="G93" s="94"/>
      <c r="H93" s="20"/>
      <c r="J93" s="55"/>
      <c r="K93" s="25"/>
      <c r="L93" s="25"/>
      <c r="M93" s="25"/>
      <c r="N93" s="94"/>
      <c r="O93" s="94"/>
      <c r="P93" s="94"/>
      <c r="Q93" s="20"/>
      <c r="S93" s="55"/>
      <c r="T93" s="25"/>
      <c r="U93" s="25"/>
      <c r="V93" s="25"/>
      <c r="W93" s="94"/>
      <c r="X93" s="94"/>
      <c r="Y93" s="94"/>
      <c r="Z93" s="20"/>
      <c r="AB93" s="55"/>
      <c r="AC93" s="25"/>
      <c r="AD93" s="25"/>
      <c r="AE93" s="25"/>
      <c r="AF93" s="94"/>
      <c r="AG93" s="94"/>
      <c r="AH93" s="94"/>
      <c r="AI93" s="20"/>
    </row>
    <row r="94" customFormat="false" ht="17.35" hidden="false" customHeight="false" outlineLevel="0" collapsed="false">
      <c r="A94" s="107" t="s">
        <v>91</v>
      </c>
      <c r="B94" s="111" t="n">
        <f aca="false">IF(B26="YES",((E40/B85)*(1+A108)),"0")</f>
        <v>29.7916666666667</v>
      </c>
      <c r="C94" s="25"/>
      <c r="D94" s="25"/>
      <c r="E94" s="94"/>
      <c r="F94" s="94"/>
      <c r="G94" s="94"/>
      <c r="H94" s="20"/>
      <c r="J94" s="107" t="s">
        <v>91</v>
      </c>
      <c r="K94" s="108" t="n">
        <f aca="false">((E40/K85)*(1+J108))*1.2</f>
        <v>35.75</v>
      </c>
      <c r="L94" s="25"/>
      <c r="M94" s="25"/>
      <c r="N94" s="94"/>
      <c r="O94" s="94"/>
      <c r="P94" s="94"/>
      <c r="Q94" s="20"/>
      <c r="S94" s="107" t="s">
        <v>91</v>
      </c>
      <c r="T94" s="108" t="n">
        <f aca="false">((E40/T85)*(1+S108))</f>
        <v>30</v>
      </c>
      <c r="U94" s="25"/>
      <c r="V94" s="25"/>
      <c r="W94" s="94"/>
      <c r="X94" s="94"/>
      <c r="Y94" s="94"/>
      <c r="Z94" s="20"/>
      <c r="AB94" s="107" t="s">
        <v>91</v>
      </c>
      <c r="AC94" s="108" t="n">
        <f aca="false">((E40/AC85)*(1+AB108))*1.2</f>
        <v>36</v>
      </c>
      <c r="AD94" s="25"/>
      <c r="AE94" s="25"/>
      <c r="AF94" s="94"/>
      <c r="AG94" s="94"/>
      <c r="AH94" s="94"/>
      <c r="AI94" s="20"/>
    </row>
    <row r="95" customFormat="false" ht="17.35" hidden="false" customHeight="false" outlineLevel="0" collapsed="false">
      <c r="A95" s="112" t="s">
        <v>92</v>
      </c>
      <c r="B95" s="113" t="n">
        <f aca="false">B92/(B85)</f>
        <v>2504.93972800316</v>
      </c>
      <c r="C95" s="25"/>
      <c r="D95" s="25"/>
      <c r="E95" s="94"/>
      <c r="F95" s="94"/>
      <c r="G95" s="94"/>
      <c r="H95" s="20"/>
      <c r="J95" s="112" t="s">
        <v>92</v>
      </c>
      <c r="K95" s="113" t="e">
        <f aca="false">K92/(K85)</f>
        <v>#VALUE!</v>
      </c>
      <c r="L95" s="25"/>
      <c r="M95" s="25"/>
      <c r="N95" s="94"/>
      <c r="O95" s="94"/>
      <c r="P95" s="94"/>
      <c r="Q95" s="20"/>
      <c r="S95" s="112" t="s">
        <v>92</v>
      </c>
      <c r="T95" s="113" t="e">
        <f aca="false">T92/(T85)</f>
        <v>#VALUE!</v>
      </c>
      <c r="U95" s="25"/>
      <c r="V95" s="25"/>
      <c r="W95" s="94"/>
      <c r="X95" s="94"/>
      <c r="Y95" s="94"/>
      <c r="Z95" s="20"/>
      <c r="AB95" s="112" t="s">
        <v>92</v>
      </c>
      <c r="AC95" s="113" t="e">
        <f aca="false">AC92/(AC59)</f>
        <v>#VALUE!</v>
      </c>
      <c r="AD95" s="25"/>
      <c r="AE95" s="25"/>
      <c r="AF95" s="94"/>
      <c r="AG95" s="94"/>
      <c r="AH95" s="94"/>
      <c r="AI95" s="20"/>
    </row>
    <row r="96" customFormat="false" ht="17.35" hidden="false" customHeight="false" outlineLevel="0" collapsed="false">
      <c r="A96" s="114" t="s">
        <v>93</v>
      </c>
      <c r="B96" s="115" t="n">
        <f aca="false">B94+B95</f>
        <v>2534.73139466983</v>
      </c>
      <c r="C96" s="25"/>
      <c r="D96" s="25"/>
      <c r="E96" s="94"/>
      <c r="F96" s="94"/>
      <c r="G96" s="94"/>
      <c r="H96" s="20"/>
      <c r="J96" s="114" t="s">
        <v>93</v>
      </c>
      <c r="K96" s="115" t="e">
        <f aca="false">(K94+K95)</f>
        <v>#VALUE!</v>
      </c>
      <c r="L96" s="25"/>
      <c r="M96" s="25"/>
      <c r="N96" s="94"/>
      <c r="O96" s="94"/>
      <c r="P96" s="94"/>
      <c r="Q96" s="20"/>
      <c r="S96" s="114" t="s">
        <v>93</v>
      </c>
      <c r="T96" s="115" t="e">
        <f aca="false">T94+T95</f>
        <v>#VALUE!</v>
      </c>
      <c r="U96" s="25"/>
      <c r="V96" s="25"/>
      <c r="W96" s="94"/>
      <c r="X96" s="94"/>
      <c r="Y96" s="94"/>
      <c r="Z96" s="20"/>
      <c r="AB96" s="114" t="s">
        <v>93</v>
      </c>
      <c r="AC96" s="115" t="e">
        <f aca="false">AC94+AC95</f>
        <v>#VALUE!</v>
      </c>
      <c r="AD96" s="25"/>
      <c r="AE96" s="25"/>
      <c r="AF96" s="94"/>
      <c r="AG96" s="94"/>
      <c r="AH96" s="94"/>
      <c r="AI96" s="20"/>
    </row>
    <row r="97" customFormat="false" ht="17.35" hidden="false" customHeight="false" outlineLevel="0" collapsed="false">
      <c r="A97" s="74"/>
      <c r="B97" s="75"/>
      <c r="C97" s="75"/>
      <c r="D97" s="75"/>
      <c r="E97" s="116"/>
      <c r="F97" s="116"/>
      <c r="G97" s="116"/>
      <c r="H97" s="82"/>
      <c r="J97" s="74"/>
      <c r="K97" s="75"/>
      <c r="L97" s="75"/>
      <c r="M97" s="75"/>
      <c r="N97" s="116"/>
      <c r="O97" s="116"/>
      <c r="P97" s="116"/>
      <c r="Q97" s="82"/>
      <c r="S97" s="74"/>
      <c r="T97" s="75"/>
      <c r="U97" s="75"/>
      <c r="V97" s="75"/>
      <c r="W97" s="116"/>
      <c r="X97" s="116"/>
      <c r="Y97" s="116"/>
      <c r="Z97" s="82"/>
      <c r="AB97" s="74"/>
      <c r="AC97" s="75"/>
      <c r="AD97" s="75"/>
      <c r="AE97" s="75"/>
      <c r="AF97" s="116"/>
      <c r="AG97" s="116"/>
      <c r="AH97" s="116"/>
      <c r="AI97" s="82"/>
    </row>
    <row r="98" customFormat="false" ht="13.8" hidden="false" customHeight="false" outlineLevel="0" collapsed="false">
      <c r="A98" s="45"/>
      <c r="B98" s="45"/>
      <c r="C98" s="45"/>
      <c r="D98" s="45"/>
      <c r="E98" s="45"/>
      <c r="F98" s="45"/>
      <c r="G98" s="45"/>
      <c r="H98" s="45"/>
      <c r="J98" s="45"/>
      <c r="K98" s="45"/>
      <c r="L98" s="45"/>
      <c r="M98" s="45"/>
      <c r="N98" s="45"/>
      <c r="O98" s="45"/>
      <c r="P98" s="45"/>
      <c r="Q98" s="45"/>
      <c r="S98" s="45"/>
      <c r="T98" s="45"/>
      <c r="U98" s="45"/>
      <c r="V98" s="45"/>
      <c r="W98" s="45"/>
      <c r="X98" s="45"/>
      <c r="Y98" s="45"/>
      <c r="Z98" s="45"/>
      <c r="AB98" s="45"/>
      <c r="AC98" s="45"/>
      <c r="AD98" s="45"/>
      <c r="AE98" s="45"/>
      <c r="AF98" s="45"/>
      <c r="AG98" s="45"/>
      <c r="AH98" s="45"/>
      <c r="AI98" s="45"/>
    </row>
    <row r="99" customFormat="false" ht="13.8" hidden="false" customHeight="false" outlineLevel="0" collapsed="false">
      <c r="A99" s="45"/>
      <c r="B99" s="45"/>
      <c r="C99" s="45"/>
      <c r="D99" s="45"/>
      <c r="E99" s="45"/>
      <c r="F99" s="45"/>
      <c r="G99" s="45"/>
      <c r="H99" s="45"/>
      <c r="J99" s="45"/>
      <c r="K99" s="45"/>
      <c r="L99" s="45"/>
      <c r="M99" s="45"/>
      <c r="N99" s="45"/>
      <c r="O99" s="45"/>
      <c r="P99" s="45"/>
      <c r="Q99" s="45"/>
      <c r="S99" s="45"/>
      <c r="T99" s="45"/>
      <c r="U99" s="45"/>
      <c r="V99" s="45"/>
      <c r="W99" s="45"/>
      <c r="X99" s="45"/>
      <c r="Y99" s="45"/>
      <c r="Z99" s="45"/>
      <c r="AB99" s="45"/>
      <c r="AC99" s="45"/>
      <c r="AD99" s="45"/>
      <c r="AE99" s="45"/>
      <c r="AF99" s="45"/>
      <c r="AG99" s="45"/>
      <c r="AH99" s="45"/>
      <c r="AI99" s="45"/>
    </row>
    <row r="100" customFormat="false" ht="47.25" hidden="false" customHeight="true" outlineLevel="0" collapsed="false">
      <c r="A100" s="4" t="s">
        <v>94</v>
      </c>
      <c r="B100" s="4"/>
      <c r="C100" s="4"/>
      <c r="D100" s="4"/>
      <c r="E100" s="4"/>
      <c r="F100" s="4"/>
      <c r="G100" s="4"/>
      <c r="H100" s="4"/>
      <c r="J100" s="4" t="s">
        <v>95</v>
      </c>
      <c r="K100" s="4"/>
      <c r="L100" s="4"/>
      <c r="M100" s="4"/>
      <c r="N100" s="4"/>
      <c r="O100" s="4"/>
      <c r="P100" s="4"/>
      <c r="Q100" s="4"/>
      <c r="S100" s="4" t="s">
        <v>96</v>
      </c>
      <c r="T100" s="4"/>
      <c r="U100" s="4"/>
      <c r="V100" s="4"/>
      <c r="W100" s="4"/>
      <c r="X100" s="4"/>
      <c r="Y100" s="4"/>
      <c r="Z100" s="4"/>
      <c r="AB100" s="4" t="s">
        <v>97</v>
      </c>
      <c r="AC100" s="4"/>
      <c r="AD100" s="4"/>
      <c r="AE100" s="4"/>
      <c r="AF100" s="4"/>
      <c r="AG100" s="4"/>
      <c r="AH100" s="4"/>
      <c r="AI100" s="4"/>
    </row>
    <row r="101" customFormat="false" ht="17.35" hidden="false" customHeight="false" outlineLevel="0" collapsed="false">
      <c r="A101" s="48"/>
      <c r="B101" s="49"/>
      <c r="C101" s="49"/>
      <c r="D101" s="49"/>
      <c r="E101" s="93"/>
      <c r="F101" s="93"/>
      <c r="G101" s="93"/>
      <c r="H101" s="117"/>
      <c r="J101" s="48"/>
      <c r="K101" s="49"/>
      <c r="L101" s="49"/>
      <c r="M101" s="49"/>
      <c r="N101" s="93"/>
      <c r="O101" s="93"/>
      <c r="P101" s="93"/>
      <c r="Q101" s="117"/>
      <c r="S101" s="48"/>
      <c r="T101" s="49"/>
      <c r="U101" s="49"/>
      <c r="V101" s="49"/>
      <c r="W101" s="93"/>
      <c r="X101" s="93"/>
      <c r="Y101" s="93"/>
      <c r="Z101" s="117"/>
      <c r="AB101" s="48"/>
      <c r="AC101" s="49"/>
      <c r="AD101" s="49"/>
      <c r="AE101" s="49"/>
      <c r="AF101" s="93"/>
      <c r="AG101" s="93"/>
      <c r="AH101" s="93"/>
      <c r="AI101" s="117"/>
    </row>
    <row r="102" customFormat="false" ht="22.05" hidden="false" customHeight="false" outlineLevel="0" collapsed="false">
      <c r="A102" s="58" t="s">
        <v>26</v>
      </c>
      <c r="B102" s="58"/>
      <c r="C102" s="58"/>
      <c r="D102" s="58"/>
      <c r="E102" s="58"/>
      <c r="F102" s="58"/>
      <c r="G102" s="58"/>
      <c r="H102" s="58"/>
      <c r="J102" s="58" t="s">
        <v>26</v>
      </c>
      <c r="K102" s="58"/>
      <c r="L102" s="58"/>
      <c r="M102" s="58"/>
      <c r="N102" s="58"/>
      <c r="O102" s="58"/>
      <c r="P102" s="58"/>
      <c r="Q102" s="58"/>
      <c r="S102" s="58" t="s">
        <v>26</v>
      </c>
      <c r="T102" s="58"/>
      <c r="U102" s="58"/>
      <c r="V102" s="58"/>
      <c r="W102" s="58"/>
      <c r="X102" s="58"/>
      <c r="Y102" s="58"/>
      <c r="Z102" s="58"/>
      <c r="AB102" s="58" t="s">
        <v>26</v>
      </c>
      <c r="AC102" s="58"/>
      <c r="AD102" s="58"/>
      <c r="AE102" s="58"/>
      <c r="AF102" s="58"/>
      <c r="AG102" s="58"/>
      <c r="AH102" s="58"/>
      <c r="AI102" s="58"/>
    </row>
    <row r="103" customFormat="false" ht="17.35" hidden="false" customHeight="false" outlineLevel="0" collapsed="false">
      <c r="A103" s="55"/>
      <c r="B103" s="25"/>
      <c r="C103" s="25"/>
      <c r="D103" s="25"/>
      <c r="E103" s="94"/>
      <c r="F103" s="94"/>
      <c r="G103" s="94"/>
      <c r="H103" s="118"/>
      <c r="J103" s="55"/>
      <c r="K103" s="25"/>
      <c r="L103" s="25"/>
      <c r="M103" s="25"/>
      <c r="N103" s="94"/>
      <c r="O103" s="94"/>
      <c r="P103" s="94"/>
      <c r="Q103" s="118"/>
      <c r="S103" s="55"/>
      <c r="T103" s="25"/>
      <c r="U103" s="25"/>
      <c r="V103" s="25"/>
      <c r="W103" s="94"/>
      <c r="X103" s="94"/>
      <c r="Y103" s="94"/>
      <c r="Z103" s="118"/>
      <c r="AB103" s="55"/>
      <c r="AC103" s="25"/>
      <c r="AD103" s="25"/>
      <c r="AE103" s="25"/>
      <c r="AF103" s="94"/>
      <c r="AG103" s="94"/>
      <c r="AH103" s="94"/>
      <c r="AI103" s="118"/>
    </row>
    <row r="104" customFormat="false" ht="17.35" hidden="false" customHeight="false" outlineLevel="0" collapsed="false">
      <c r="A104" s="55" t="s">
        <v>98</v>
      </c>
      <c r="B104" s="25" t="s">
        <v>23</v>
      </c>
      <c r="C104" s="25"/>
      <c r="D104" s="25"/>
      <c r="E104" s="25" t="s">
        <v>22</v>
      </c>
      <c r="F104" s="25"/>
      <c r="G104" s="25"/>
      <c r="H104" s="20"/>
      <c r="J104" s="55" t="s">
        <v>98</v>
      </c>
      <c r="K104" s="25" t="s">
        <v>23</v>
      </c>
      <c r="L104" s="25"/>
      <c r="M104" s="25"/>
      <c r="N104" s="25" t="s">
        <v>22</v>
      </c>
      <c r="O104" s="25"/>
      <c r="P104" s="25"/>
      <c r="Q104" s="20"/>
      <c r="S104" s="55" t="s">
        <v>98</v>
      </c>
      <c r="T104" s="25" t="s">
        <v>23</v>
      </c>
      <c r="U104" s="25"/>
      <c r="V104" s="25"/>
      <c r="W104" s="25" t="s">
        <v>22</v>
      </c>
      <c r="X104" s="25"/>
      <c r="Y104" s="25"/>
      <c r="Z104" s="20"/>
      <c r="AB104" s="55" t="s">
        <v>98</v>
      </c>
      <c r="AC104" s="25" t="s">
        <v>23</v>
      </c>
      <c r="AD104" s="25"/>
      <c r="AE104" s="25"/>
      <c r="AF104" s="25" t="s">
        <v>22</v>
      </c>
      <c r="AG104" s="25"/>
      <c r="AH104" s="25"/>
      <c r="AI104" s="20"/>
    </row>
    <row r="105" customFormat="false" ht="17.35" hidden="false" customHeight="false" outlineLevel="0" collapsed="false">
      <c r="A105" s="51" t="s">
        <v>99</v>
      </c>
      <c r="B105" s="37" t="s">
        <v>100</v>
      </c>
      <c r="C105" s="37"/>
      <c r="D105" s="37"/>
      <c r="E105" s="119" t="s">
        <v>9</v>
      </c>
      <c r="F105" s="119"/>
      <c r="G105" s="119"/>
      <c r="H105" s="118"/>
      <c r="J105" s="51" t="s">
        <v>99</v>
      </c>
      <c r="K105" s="37" t="s">
        <v>100</v>
      </c>
      <c r="L105" s="37"/>
      <c r="M105" s="37"/>
      <c r="N105" s="60" t="s">
        <v>9</v>
      </c>
      <c r="O105" s="60"/>
      <c r="P105" s="60"/>
      <c r="Q105" s="118"/>
      <c r="S105" s="51" t="s">
        <v>99</v>
      </c>
      <c r="T105" s="37" t="s">
        <v>100</v>
      </c>
      <c r="U105" s="37"/>
      <c r="V105" s="37"/>
      <c r="W105" s="60" t="s">
        <v>9</v>
      </c>
      <c r="X105" s="60"/>
      <c r="Y105" s="60"/>
      <c r="Z105" s="118"/>
      <c r="AB105" s="51" t="s">
        <v>99</v>
      </c>
      <c r="AC105" s="37" t="s">
        <v>100</v>
      </c>
      <c r="AD105" s="37"/>
      <c r="AE105" s="37"/>
      <c r="AF105" s="60" t="s">
        <v>9</v>
      </c>
      <c r="AG105" s="60"/>
      <c r="AH105" s="60"/>
      <c r="AI105" s="118"/>
    </row>
    <row r="106" customFormat="false" ht="17.35" hidden="false" customHeight="false" outlineLevel="0" collapsed="false">
      <c r="A106" s="55"/>
      <c r="B106" s="25"/>
      <c r="C106" s="25"/>
      <c r="D106" s="94"/>
      <c r="E106" s="25"/>
      <c r="F106" s="25"/>
      <c r="G106" s="94"/>
      <c r="H106" s="20"/>
      <c r="J106" s="55"/>
      <c r="K106" s="25"/>
      <c r="L106" s="25"/>
      <c r="M106" s="94"/>
      <c r="N106" s="25"/>
      <c r="O106" s="25"/>
      <c r="P106" s="94"/>
      <c r="Q106" s="20"/>
      <c r="S106" s="55"/>
      <c r="T106" s="25"/>
      <c r="U106" s="25"/>
      <c r="V106" s="94"/>
      <c r="W106" s="25"/>
      <c r="X106" s="25"/>
      <c r="Y106" s="94"/>
      <c r="Z106" s="20"/>
      <c r="AB106" s="55"/>
      <c r="AC106" s="25"/>
      <c r="AD106" s="25"/>
      <c r="AE106" s="94"/>
      <c r="AF106" s="25"/>
      <c r="AG106" s="25"/>
      <c r="AH106" s="94"/>
      <c r="AI106" s="20"/>
    </row>
    <row r="107" customFormat="false" ht="17.35" hidden="false" customHeight="false" outlineLevel="0" collapsed="false">
      <c r="A107" s="55" t="s">
        <v>101</v>
      </c>
      <c r="B107" s="25" t="s">
        <v>102</v>
      </c>
      <c r="C107" s="25"/>
      <c r="D107" s="94"/>
      <c r="E107" s="25" t="s">
        <v>103</v>
      </c>
      <c r="F107" s="25"/>
      <c r="G107" s="94"/>
      <c r="H107" s="118"/>
      <c r="J107" s="55" t="s">
        <v>101</v>
      </c>
      <c r="K107" s="25" t="s">
        <v>102</v>
      </c>
      <c r="L107" s="25"/>
      <c r="M107" s="94"/>
      <c r="N107" s="25" t="s">
        <v>103</v>
      </c>
      <c r="O107" s="25"/>
      <c r="P107" s="94"/>
      <c r="Q107" s="118"/>
      <c r="S107" s="55" t="s">
        <v>101</v>
      </c>
      <c r="T107" s="25" t="s">
        <v>102</v>
      </c>
      <c r="U107" s="25"/>
      <c r="V107" s="94"/>
      <c r="W107" s="25" t="s">
        <v>103</v>
      </c>
      <c r="X107" s="25"/>
      <c r="Y107" s="94"/>
      <c r="Z107" s="118"/>
      <c r="AB107" s="55" t="s">
        <v>101</v>
      </c>
      <c r="AC107" s="25" t="s">
        <v>102</v>
      </c>
      <c r="AD107" s="25"/>
      <c r="AE107" s="94"/>
      <c r="AF107" s="25" t="s">
        <v>103</v>
      </c>
      <c r="AG107" s="25"/>
      <c r="AH107" s="94"/>
      <c r="AI107" s="118"/>
    </row>
    <row r="108" customFormat="false" ht="17.35" hidden="false" customHeight="false" outlineLevel="0" collapsed="false">
      <c r="A108" s="120" t="n">
        <v>0.3</v>
      </c>
      <c r="B108" s="72" t="n">
        <v>0</v>
      </c>
      <c r="C108" s="72"/>
      <c r="D108" s="72" t="n">
        <v>0</v>
      </c>
      <c r="E108" s="121" t="n">
        <f aca="false">B83</f>
        <v>0.0995</v>
      </c>
      <c r="F108" s="121"/>
      <c r="G108" s="121"/>
      <c r="H108" s="65"/>
      <c r="J108" s="120" t="n">
        <v>0.3</v>
      </c>
      <c r="K108" s="72" t="s">
        <v>104</v>
      </c>
      <c r="L108" s="72"/>
      <c r="M108" s="72"/>
      <c r="N108" s="121" t="n">
        <f aca="false">K83</f>
        <v>0.24</v>
      </c>
      <c r="O108" s="121"/>
      <c r="P108" s="121"/>
      <c r="Q108" s="65"/>
      <c r="S108" s="120" t="n">
        <v>0.2</v>
      </c>
      <c r="T108" s="72" t="s">
        <v>105</v>
      </c>
      <c r="U108" s="72"/>
      <c r="V108" s="72"/>
      <c r="W108" s="121" t="n">
        <f aca="false">T83</f>
        <v>0.1415</v>
      </c>
      <c r="X108" s="121"/>
      <c r="Y108" s="121"/>
      <c r="Z108" s="65"/>
      <c r="AB108" s="120" t="n">
        <v>0.2</v>
      </c>
      <c r="AC108" s="72" t="s">
        <v>105</v>
      </c>
      <c r="AD108" s="72"/>
      <c r="AE108" s="72"/>
      <c r="AF108" s="122" t="n">
        <f aca="false">AC83</f>
        <v>0.1415</v>
      </c>
      <c r="AG108" s="122"/>
      <c r="AH108" s="122"/>
      <c r="AI108" s="65"/>
      <c r="AP108" s="1" t="s">
        <v>106</v>
      </c>
    </row>
    <row r="109" customFormat="false" ht="17.35" hidden="false" customHeight="false" outlineLevel="0" collapsed="false">
      <c r="A109" s="55"/>
      <c r="B109" s="25"/>
      <c r="C109" s="25"/>
      <c r="D109" s="25"/>
      <c r="E109" s="25"/>
      <c r="F109" s="25"/>
      <c r="G109" s="25"/>
      <c r="H109" s="20"/>
      <c r="J109" s="55"/>
      <c r="K109" s="25"/>
      <c r="L109" s="25"/>
      <c r="M109" s="25"/>
      <c r="N109" s="25"/>
      <c r="O109" s="25"/>
      <c r="P109" s="25"/>
      <c r="Q109" s="20"/>
      <c r="S109" s="55"/>
      <c r="T109" s="25"/>
      <c r="U109" s="25"/>
      <c r="V109" s="25"/>
      <c r="W109" s="25"/>
      <c r="X109" s="25"/>
      <c r="Y109" s="25"/>
      <c r="Z109" s="20"/>
      <c r="AB109" s="55"/>
      <c r="AC109" s="25"/>
      <c r="AD109" s="25"/>
      <c r="AE109" s="25"/>
      <c r="AF109" s="25"/>
      <c r="AG109" s="25"/>
      <c r="AH109" s="25"/>
      <c r="AI109" s="20"/>
      <c r="AP109" s="1" t="s">
        <v>104</v>
      </c>
    </row>
    <row r="110" customFormat="false" ht="17.35" hidden="false" customHeight="false" outlineLevel="0" collapsed="false">
      <c r="A110" s="55" t="s">
        <v>107</v>
      </c>
      <c r="B110" s="25" t="s">
        <v>108</v>
      </c>
      <c r="C110" s="25"/>
      <c r="D110" s="25"/>
      <c r="E110" s="25" t="s">
        <v>109</v>
      </c>
      <c r="F110" s="25"/>
      <c r="G110" s="25"/>
      <c r="H110" s="20"/>
      <c r="J110" s="55" t="s">
        <v>107</v>
      </c>
      <c r="K110" s="25" t="s">
        <v>108</v>
      </c>
      <c r="L110" s="25"/>
      <c r="M110" s="25"/>
      <c r="N110" s="25" t="s">
        <v>109</v>
      </c>
      <c r="O110" s="25"/>
      <c r="P110" s="25"/>
      <c r="Q110" s="20"/>
      <c r="S110" s="55" t="s">
        <v>107</v>
      </c>
      <c r="T110" s="25" t="s">
        <v>108</v>
      </c>
      <c r="U110" s="25"/>
      <c r="V110" s="25"/>
      <c r="W110" s="25" t="s">
        <v>109</v>
      </c>
      <c r="X110" s="25"/>
      <c r="Y110" s="25"/>
      <c r="Z110" s="20"/>
      <c r="AB110" s="55" t="s">
        <v>107</v>
      </c>
      <c r="AC110" s="25" t="s">
        <v>108</v>
      </c>
      <c r="AD110" s="25"/>
      <c r="AE110" s="25"/>
      <c r="AF110" s="25" t="s">
        <v>109</v>
      </c>
      <c r="AG110" s="25"/>
      <c r="AH110" s="25"/>
      <c r="AI110" s="20"/>
    </row>
    <row r="111" customFormat="false" ht="17.35" hidden="false" customHeight="false" outlineLevel="0" collapsed="false">
      <c r="A111" s="52" t="s">
        <v>9</v>
      </c>
      <c r="B111" s="72" t="n">
        <v>1000</v>
      </c>
      <c r="C111" s="72"/>
      <c r="D111" s="72"/>
      <c r="E111" s="72" t="n">
        <v>1000</v>
      </c>
      <c r="F111" s="72"/>
      <c r="G111" s="72"/>
      <c r="H111" s="118"/>
      <c r="J111" s="52" t="s">
        <v>10</v>
      </c>
      <c r="K111" s="72" t="n">
        <v>1000</v>
      </c>
      <c r="L111" s="72"/>
      <c r="M111" s="72"/>
      <c r="N111" s="72" t="n">
        <v>0</v>
      </c>
      <c r="O111" s="72"/>
      <c r="P111" s="72"/>
      <c r="Q111" s="118"/>
      <c r="S111" s="52" t="s">
        <v>9</v>
      </c>
      <c r="T111" s="72" t="n">
        <v>1000</v>
      </c>
      <c r="U111" s="72"/>
      <c r="V111" s="72"/>
      <c r="W111" s="72" t="n">
        <v>0</v>
      </c>
      <c r="X111" s="72"/>
      <c r="Y111" s="72"/>
      <c r="Z111" s="118"/>
      <c r="AB111" s="52" t="s">
        <v>9</v>
      </c>
      <c r="AC111" s="72" t="n">
        <v>1000</v>
      </c>
      <c r="AD111" s="72"/>
      <c r="AE111" s="72"/>
      <c r="AF111" s="72" t="n">
        <v>0</v>
      </c>
      <c r="AG111" s="72"/>
      <c r="AH111" s="72"/>
      <c r="AI111" s="118"/>
    </row>
    <row r="112" customFormat="false" ht="17.35" hidden="false" customHeight="false" outlineLevel="0" collapsed="false">
      <c r="A112" s="55"/>
      <c r="B112" s="25"/>
      <c r="C112" s="25"/>
      <c r="D112" s="25"/>
      <c r="E112" s="25"/>
      <c r="F112" s="25"/>
      <c r="G112" s="94"/>
      <c r="H112" s="118"/>
      <c r="J112" s="55"/>
      <c r="K112" s="25"/>
      <c r="L112" s="25"/>
      <c r="M112" s="25"/>
      <c r="N112" s="25"/>
      <c r="O112" s="25"/>
      <c r="P112" s="94"/>
      <c r="Q112" s="118"/>
      <c r="S112" s="55"/>
      <c r="T112" s="25"/>
      <c r="U112" s="25"/>
      <c r="V112" s="25"/>
      <c r="W112" s="25"/>
      <c r="X112" s="25"/>
      <c r="Y112" s="94"/>
      <c r="Z112" s="118"/>
      <c r="AB112" s="55"/>
      <c r="AC112" s="25"/>
      <c r="AD112" s="25"/>
      <c r="AE112" s="25"/>
      <c r="AF112" s="25"/>
      <c r="AG112" s="25"/>
      <c r="AH112" s="94"/>
      <c r="AI112" s="118"/>
    </row>
    <row r="113" customFormat="false" ht="17.35" hidden="false" customHeight="false" outlineLevel="0" collapsed="false">
      <c r="A113" s="123" t="s">
        <v>110</v>
      </c>
      <c r="B113" s="25" t="s">
        <v>111</v>
      </c>
      <c r="C113" s="25"/>
      <c r="D113" s="25"/>
      <c r="E113" s="25" t="s">
        <v>112</v>
      </c>
      <c r="F113" s="25"/>
      <c r="G113" s="94"/>
      <c r="H113" s="118"/>
      <c r="J113" s="123" t="s">
        <v>110</v>
      </c>
      <c r="K113" s="25" t="s">
        <v>111</v>
      </c>
      <c r="L113" s="25"/>
      <c r="M113" s="25"/>
      <c r="N113" s="25" t="s">
        <v>112</v>
      </c>
      <c r="O113" s="25"/>
      <c r="P113" s="94"/>
      <c r="Q113" s="118"/>
      <c r="S113" s="123" t="s">
        <v>110</v>
      </c>
      <c r="T113" s="25" t="s">
        <v>111</v>
      </c>
      <c r="U113" s="25"/>
      <c r="V113" s="25"/>
      <c r="W113" s="25" t="s">
        <v>112</v>
      </c>
      <c r="X113" s="25"/>
      <c r="Y113" s="94"/>
      <c r="Z113" s="118"/>
      <c r="AB113" s="123" t="s">
        <v>110</v>
      </c>
      <c r="AC113" s="25" t="s">
        <v>111</v>
      </c>
      <c r="AD113" s="25"/>
      <c r="AE113" s="25"/>
      <c r="AF113" s="25" t="s">
        <v>112</v>
      </c>
      <c r="AG113" s="25"/>
      <c r="AH113" s="94"/>
      <c r="AI113" s="118"/>
    </row>
    <row r="114" customFormat="false" ht="17.35" hidden="false" customHeight="false" outlineLevel="0" collapsed="false">
      <c r="A114" s="70" t="n">
        <f aca="false">B111+E111</f>
        <v>2000</v>
      </c>
      <c r="B114" s="72" t="s">
        <v>206</v>
      </c>
      <c r="C114" s="72"/>
      <c r="D114" s="72"/>
      <c r="E114" s="72" t="n">
        <v>0</v>
      </c>
      <c r="F114" s="72"/>
      <c r="G114" s="72"/>
      <c r="H114" s="118"/>
      <c r="J114" s="70" t="n">
        <f aca="false">K111+N111</f>
        <v>1000</v>
      </c>
      <c r="K114" s="72" t="n">
        <v>239.99</v>
      </c>
      <c r="L114" s="72"/>
      <c r="M114" s="72"/>
      <c r="N114" s="72" t="n">
        <v>0</v>
      </c>
      <c r="O114" s="72"/>
      <c r="P114" s="72"/>
      <c r="Q114" s="118"/>
      <c r="S114" s="70" t="n">
        <f aca="false">T111+W111</f>
        <v>1000</v>
      </c>
      <c r="T114" s="72" t="n">
        <v>199.99</v>
      </c>
      <c r="U114" s="72"/>
      <c r="V114" s="72"/>
      <c r="W114" s="72" t="n">
        <v>0</v>
      </c>
      <c r="X114" s="72"/>
      <c r="Y114" s="72"/>
      <c r="Z114" s="118"/>
      <c r="AB114" s="70" t="n">
        <f aca="false">AC111+AF111</f>
        <v>1000</v>
      </c>
      <c r="AC114" s="72" t="n">
        <v>239.99</v>
      </c>
      <c r="AD114" s="72"/>
      <c r="AE114" s="72"/>
      <c r="AF114" s="72" t="n">
        <v>0</v>
      </c>
      <c r="AG114" s="72"/>
      <c r="AH114" s="72"/>
      <c r="AI114" s="118"/>
    </row>
    <row r="115" customFormat="false" ht="13.8" hidden="false" customHeight="false" outlineLevel="0" collapsed="false">
      <c r="A115" s="124"/>
      <c r="B115" s="94"/>
      <c r="C115" s="94"/>
      <c r="D115" s="94"/>
      <c r="E115" s="94"/>
      <c r="F115" s="94"/>
      <c r="G115" s="94"/>
      <c r="H115" s="118"/>
      <c r="J115" s="124"/>
      <c r="K115" s="94"/>
      <c r="L115" s="94"/>
      <c r="M115" s="94"/>
      <c r="N115" s="94"/>
      <c r="O115" s="94"/>
      <c r="P115" s="94"/>
      <c r="Q115" s="118"/>
      <c r="S115" s="124"/>
      <c r="T115" s="94"/>
      <c r="U115" s="94"/>
      <c r="V115" s="94"/>
      <c r="W115" s="94"/>
      <c r="X115" s="94"/>
      <c r="Y115" s="94"/>
      <c r="Z115" s="118"/>
      <c r="AB115" s="124"/>
      <c r="AC115" s="94"/>
      <c r="AD115" s="94"/>
      <c r="AE115" s="94"/>
      <c r="AF115" s="94"/>
      <c r="AG115" s="94"/>
      <c r="AH115" s="94"/>
      <c r="AI115" s="118"/>
    </row>
    <row r="116" customFormat="false" ht="13.8" hidden="false" customHeight="false" outlineLevel="0" collapsed="false">
      <c r="A116" s="124"/>
      <c r="B116" s="94"/>
      <c r="C116" s="94"/>
      <c r="D116" s="94"/>
      <c r="E116" s="94"/>
      <c r="F116" s="94"/>
      <c r="G116" s="94"/>
      <c r="H116" s="118"/>
      <c r="J116" s="124"/>
      <c r="K116" s="94"/>
      <c r="L116" s="94"/>
      <c r="M116" s="94"/>
      <c r="N116" s="94"/>
      <c r="O116" s="94"/>
      <c r="P116" s="94"/>
      <c r="Q116" s="118"/>
      <c r="S116" s="124"/>
      <c r="T116" s="94"/>
      <c r="U116" s="94"/>
      <c r="V116" s="94"/>
      <c r="W116" s="94"/>
      <c r="X116" s="94"/>
      <c r="Y116" s="94"/>
      <c r="Z116" s="118"/>
      <c r="AB116" s="124"/>
      <c r="AC116" s="94"/>
      <c r="AD116" s="94"/>
      <c r="AE116" s="94"/>
      <c r="AF116" s="94"/>
      <c r="AG116" s="94"/>
      <c r="AH116" s="94"/>
      <c r="AI116" s="118"/>
    </row>
    <row r="117" customFormat="false" ht="22.05" hidden="false" customHeight="false" outlineLevel="0" collapsed="false">
      <c r="A117" s="58" t="s">
        <v>114</v>
      </c>
      <c r="B117" s="58"/>
      <c r="C117" s="58"/>
      <c r="D117" s="58"/>
      <c r="E117" s="58"/>
      <c r="F117" s="58"/>
      <c r="G117" s="58"/>
      <c r="H117" s="58"/>
      <c r="J117" s="58" t="s">
        <v>114</v>
      </c>
      <c r="K117" s="58"/>
      <c r="L117" s="58"/>
      <c r="M117" s="58"/>
      <c r="N117" s="58"/>
      <c r="O117" s="58"/>
      <c r="P117" s="58"/>
      <c r="Q117" s="58"/>
      <c r="S117" s="58" t="s">
        <v>114</v>
      </c>
      <c r="T117" s="58"/>
      <c r="U117" s="58"/>
      <c r="V117" s="58"/>
      <c r="W117" s="58"/>
      <c r="X117" s="58"/>
      <c r="Y117" s="58"/>
      <c r="Z117" s="58"/>
      <c r="AB117" s="58" t="s">
        <v>114</v>
      </c>
      <c r="AC117" s="58"/>
      <c r="AD117" s="58"/>
      <c r="AE117" s="58"/>
      <c r="AF117" s="58"/>
      <c r="AG117" s="58"/>
      <c r="AH117" s="58"/>
      <c r="AI117" s="58"/>
    </row>
    <row r="118" customFormat="false" ht="13.8" hidden="false" customHeight="false" outlineLevel="0" collapsed="false">
      <c r="A118" s="124"/>
      <c r="B118" s="94"/>
      <c r="C118" s="94"/>
      <c r="D118" s="94"/>
      <c r="E118" s="94"/>
      <c r="F118" s="94"/>
      <c r="G118" s="94"/>
      <c r="H118" s="118"/>
      <c r="J118" s="124"/>
      <c r="K118" s="94"/>
      <c r="L118" s="94"/>
      <c r="M118" s="94"/>
      <c r="N118" s="94"/>
      <c r="O118" s="94"/>
      <c r="P118" s="94"/>
      <c r="Q118" s="118"/>
      <c r="S118" s="124"/>
      <c r="T118" s="94"/>
      <c r="U118" s="94"/>
      <c r="V118" s="94"/>
      <c r="W118" s="94"/>
      <c r="X118" s="94"/>
      <c r="Y118" s="94"/>
      <c r="Z118" s="118"/>
      <c r="AB118" s="124"/>
      <c r="AC118" s="94"/>
      <c r="AD118" s="94"/>
      <c r="AE118" s="94"/>
      <c r="AF118" s="94"/>
      <c r="AG118" s="94"/>
      <c r="AH118" s="94"/>
      <c r="AI118" s="118"/>
    </row>
    <row r="119" customFormat="false" ht="19.7" hidden="false" customHeight="false" outlineLevel="0" collapsed="false">
      <c r="A119" s="97"/>
      <c r="B119" s="125" t="s">
        <v>115</v>
      </c>
      <c r="C119" s="125"/>
      <c r="D119" s="125" t="s">
        <v>116</v>
      </c>
      <c r="E119" s="125"/>
      <c r="F119" s="125" t="s">
        <v>117</v>
      </c>
      <c r="G119" s="125"/>
      <c r="H119" s="126" t="s">
        <v>118</v>
      </c>
      <c r="J119" s="97"/>
      <c r="K119" s="125" t="s">
        <v>115</v>
      </c>
      <c r="L119" s="125"/>
      <c r="M119" s="125" t="s">
        <v>116</v>
      </c>
      <c r="N119" s="125"/>
      <c r="O119" s="125" t="s">
        <v>117</v>
      </c>
      <c r="P119" s="125"/>
      <c r="Q119" s="126" t="s">
        <v>118</v>
      </c>
      <c r="S119" s="97"/>
      <c r="T119" s="125" t="s">
        <v>115</v>
      </c>
      <c r="U119" s="125"/>
      <c r="V119" s="125" t="s">
        <v>116</v>
      </c>
      <c r="W119" s="125"/>
      <c r="X119" s="125" t="s">
        <v>117</v>
      </c>
      <c r="Y119" s="125"/>
      <c r="Z119" s="126" t="s">
        <v>118</v>
      </c>
      <c r="AB119" s="97"/>
      <c r="AC119" s="125" t="s">
        <v>115</v>
      </c>
      <c r="AD119" s="125"/>
      <c r="AE119" s="125" t="s">
        <v>116</v>
      </c>
      <c r="AF119" s="125"/>
      <c r="AG119" s="125" t="s">
        <v>117</v>
      </c>
      <c r="AH119" s="125"/>
      <c r="AI119" s="126" t="s">
        <v>118</v>
      </c>
    </row>
    <row r="120" customFormat="false" ht="19.7" hidden="false" customHeight="false" outlineLevel="0" collapsed="false">
      <c r="A120" s="99"/>
      <c r="B120" s="127" t="s">
        <v>119</v>
      </c>
      <c r="C120" s="128" t="s">
        <v>120</v>
      </c>
      <c r="D120" s="127" t="s">
        <v>119</v>
      </c>
      <c r="E120" s="129" t="s">
        <v>120</v>
      </c>
      <c r="F120" s="127" t="s">
        <v>119</v>
      </c>
      <c r="G120" s="129" t="s">
        <v>120</v>
      </c>
      <c r="H120" s="130"/>
      <c r="J120" s="99"/>
      <c r="K120" s="127" t="s">
        <v>119</v>
      </c>
      <c r="L120" s="128" t="s">
        <v>120</v>
      </c>
      <c r="M120" s="127" t="s">
        <v>119</v>
      </c>
      <c r="N120" s="129" t="s">
        <v>120</v>
      </c>
      <c r="O120" s="127" t="s">
        <v>119</v>
      </c>
      <c r="P120" s="129" t="s">
        <v>120</v>
      </c>
      <c r="Q120" s="130"/>
      <c r="S120" s="99"/>
      <c r="T120" s="127" t="s">
        <v>119</v>
      </c>
      <c r="U120" s="128" t="s">
        <v>120</v>
      </c>
      <c r="V120" s="127" t="s">
        <v>119</v>
      </c>
      <c r="W120" s="129" t="s">
        <v>120</v>
      </c>
      <c r="X120" s="127" t="s">
        <v>119</v>
      </c>
      <c r="Y120" s="129" t="s">
        <v>120</v>
      </c>
      <c r="Z120" s="130"/>
      <c r="AB120" s="99"/>
      <c r="AC120" s="127" t="s">
        <v>119</v>
      </c>
      <c r="AD120" s="128" t="s">
        <v>120</v>
      </c>
      <c r="AE120" s="127" t="s">
        <v>119</v>
      </c>
      <c r="AF120" s="129" t="s">
        <v>120</v>
      </c>
      <c r="AG120" s="127" t="s">
        <v>119</v>
      </c>
      <c r="AH120" s="129" t="s">
        <v>120</v>
      </c>
      <c r="AI120" s="130"/>
    </row>
    <row r="121" customFormat="false" ht="17.35" hidden="false" customHeight="false" outlineLevel="0" collapsed="false">
      <c r="A121" s="48" t="s">
        <v>121</v>
      </c>
      <c r="B121" s="131" t="n">
        <f aca="false">B9</f>
        <v>23958.33</v>
      </c>
      <c r="C121" s="132" t="n">
        <v>25833.33</v>
      </c>
      <c r="D121" s="131" t="n">
        <f aca="false">D3</f>
        <v>0</v>
      </c>
      <c r="E121" s="132" t="n">
        <f aca="false">D121</f>
        <v>0</v>
      </c>
      <c r="F121" s="131" t="n">
        <f aca="false">B11</f>
        <v>0</v>
      </c>
      <c r="G121" s="132" t="n">
        <f aca="false">F121</f>
        <v>0</v>
      </c>
      <c r="H121" s="133" t="n">
        <f aca="false">H3</f>
        <v>0</v>
      </c>
      <c r="J121" s="48" t="s">
        <v>121</v>
      </c>
      <c r="K121" s="131" t="n">
        <f aca="false">B3</f>
        <v>0</v>
      </c>
      <c r="L121" s="132" t="n">
        <v>28629.17</v>
      </c>
      <c r="M121" s="131" t="n">
        <f aca="false">D3</f>
        <v>0</v>
      </c>
      <c r="N121" s="132" t="n">
        <f aca="false">M121</f>
        <v>0</v>
      </c>
      <c r="O121" s="131" t="str">
        <f aca="false">F3</f>
        <v> </v>
      </c>
      <c r="P121" s="132" t="str">
        <f aca="false">O121</f>
        <v> </v>
      </c>
      <c r="Q121" s="133" t="n">
        <f aca="false">H3</f>
        <v>0</v>
      </c>
      <c r="S121" s="48" t="s">
        <v>121</v>
      </c>
      <c r="T121" s="131" t="n">
        <f aca="false">B3</f>
        <v>0</v>
      </c>
      <c r="U121" s="132" t="n">
        <f aca="false">T121</f>
        <v>0</v>
      </c>
      <c r="V121" s="131" t="n">
        <f aca="false">D3</f>
        <v>0</v>
      </c>
      <c r="W121" s="132" t="n">
        <f aca="false">V121</f>
        <v>0</v>
      </c>
      <c r="X121" s="131" t="str">
        <f aca="false">F3</f>
        <v> </v>
      </c>
      <c r="Y121" s="132" t="str">
        <f aca="false">X121</f>
        <v> </v>
      </c>
      <c r="Z121" s="133" t="n">
        <f aca="false">H3</f>
        <v>0</v>
      </c>
      <c r="AB121" s="48" t="s">
        <v>121</v>
      </c>
      <c r="AC121" s="131" t="n">
        <f aca="false">B3</f>
        <v>0</v>
      </c>
      <c r="AD121" s="132" t="n">
        <f aca="false">AC121</f>
        <v>0</v>
      </c>
      <c r="AE121" s="131" t="n">
        <f aca="false">D3</f>
        <v>0</v>
      </c>
      <c r="AF121" s="132" t="n">
        <f aca="false">AE121</f>
        <v>0</v>
      </c>
      <c r="AG121" s="131" t="str">
        <f aca="false">F3</f>
        <v> </v>
      </c>
      <c r="AH121" s="132" t="str">
        <f aca="false">AG121</f>
        <v> </v>
      </c>
      <c r="AI121" s="133" t="n">
        <f aca="false">H3</f>
        <v>0</v>
      </c>
    </row>
    <row r="122" customFormat="false" ht="17.35" hidden="false" customHeight="false" outlineLevel="0" collapsed="false">
      <c r="A122" s="55" t="s">
        <v>122</v>
      </c>
      <c r="B122" s="134" t="n">
        <v>0</v>
      </c>
      <c r="C122" s="17" t="n">
        <v>0</v>
      </c>
      <c r="D122" s="134" t="n">
        <v>0</v>
      </c>
      <c r="E122" s="17" t="n">
        <v>0</v>
      </c>
      <c r="F122" s="134" t="n">
        <v>0</v>
      </c>
      <c r="G122" s="135" t="n">
        <v>0</v>
      </c>
      <c r="H122" s="18"/>
      <c r="J122" s="55" t="s">
        <v>122</v>
      </c>
      <c r="K122" s="134" t="n">
        <f aca="false">B4</f>
        <v>28749.996</v>
      </c>
      <c r="L122" s="17" t="n">
        <v>0</v>
      </c>
      <c r="M122" s="134" t="n">
        <f aca="false">D4</f>
        <v>0</v>
      </c>
      <c r="N122" s="17" t="n">
        <f aca="false">M122</f>
        <v>0</v>
      </c>
      <c r="O122" s="134" t="str">
        <f aca="false">F4</f>
        <v> </v>
      </c>
      <c r="P122" s="135" t="str">
        <f aca="false">O122</f>
        <v> </v>
      </c>
      <c r="Q122" s="18"/>
      <c r="S122" s="55" t="s">
        <v>122</v>
      </c>
      <c r="T122" s="134" t="n">
        <f aca="false">B4</f>
        <v>28749.996</v>
      </c>
      <c r="U122" s="17" t="n">
        <v>0.25</v>
      </c>
      <c r="V122" s="134" t="n">
        <f aca="false">D4</f>
        <v>0</v>
      </c>
      <c r="W122" s="17" t="n">
        <f aca="false">V122</f>
        <v>0</v>
      </c>
      <c r="X122" s="134" t="str">
        <f aca="false">F4</f>
        <v> </v>
      </c>
      <c r="Y122" s="135" t="str">
        <f aca="false">X122</f>
        <v> </v>
      </c>
      <c r="Z122" s="18"/>
      <c r="AB122" s="55" t="s">
        <v>122</v>
      </c>
      <c r="AC122" s="134" t="n">
        <f aca="false">B4</f>
        <v>28749.996</v>
      </c>
      <c r="AD122" s="17" t="n">
        <v>0.25</v>
      </c>
      <c r="AE122" s="134" t="n">
        <f aca="false">D4</f>
        <v>0</v>
      </c>
      <c r="AF122" s="17" t="n">
        <f aca="false">AE122</f>
        <v>0</v>
      </c>
      <c r="AG122" s="134" t="str">
        <f aca="false">F4</f>
        <v> </v>
      </c>
      <c r="AH122" s="135" t="str">
        <f aca="false">AG122</f>
        <v> </v>
      </c>
      <c r="AI122" s="18"/>
    </row>
    <row r="123" customFormat="false" ht="17.35" hidden="false" customHeight="false" outlineLevel="0" collapsed="false">
      <c r="A123" s="55" t="s">
        <v>123</v>
      </c>
      <c r="B123" s="136" t="n">
        <v>0</v>
      </c>
      <c r="C123" s="132" t="n">
        <v>0</v>
      </c>
      <c r="D123" s="136" t="n">
        <v>0</v>
      </c>
      <c r="E123" s="132" t="n">
        <v>0</v>
      </c>
      <c r="F123" s="136" t="n">
        <v>0</v>
      </c>
      <c r="G123" s="132" t="n">
        <v>0</v>
      </c>
      <c r="H123" s="20"/>
      <c r="J123" s="55" t="s">
        <v>123</v>
      </c>
      <c r="K123" s="136" t="n">
        <f aca="false">B5</f>
        <v>0</v>
      </c>
      <c r="L123" s="132" t="n">
        <v>0</v>
      </c>
      <c r="M123" s="136" t="n">
        <f aca="false">D5</f>
        <v>0</v>
      </c>
      <c r="N123" s="132" t="n">
        <f aca="false">M123</f>
        <v>0</v>
      </c>
      <c r="O123" s="136" t="str">
        <f aca="false">F5</f>
        <v> </v>
      </c>
      <c r="P123" s="132" t="str">
        <f aca="false">O123</f>
        <v> </v>
      </c>
      <c r="Q123" s="20"/>
      <c r="S123" s="55" t="s">
        <v>123</v>
      </c>
      <c r="T123" s="136" t="n">
        <f aca="false">B5</f>
        <v>0</v>
      </c>
      <c r="U123" s="132" t="n">
        <v>0</v>
      </c>
      <c r="V123" s="136" t="n">
        <f aca="false">D5</f>
        <v>0</v>
      </c>
      <c r="W123" s="132" t="n">
        <f aca="false">V123</f>
        <v>0</v>
      </c>
      <c r="X123" s="136" t="str">
        <f aca="false">F5</f>
        <v> </v>
      </c>
      <c r="Y123" s="132" t="str">
        <f aca="false">X123</f>
        <v> </v>
      </c>
      <c r="Z123" s="20"/>
      <c r="AB123" s="55" t="s">
        <v>123</v>
      </c>
      <c r="AC123" s="136" t="n">
        <f aca="false">B5</f>
        <v>0</v>
      </c>
      <c r="AD123" s="132" t="n">
        <v>0</v>
      </c>
      <c r="AE123" s="136" t="n">
        <f aca="false">D5</f>
        <v>0</v>
      </c>
      <c r="AF123" s="132" t="n">
        <f aca="false">AE123</f>
        <v>0</v>
      </c>
      <c r="AG123" s="136" t="str">
        <f aca="false">F5</f>
        <v> </v>
      </c>
      <c r="AH123" s="132" t="str">
        <f aca="false">AG123</f>
        <v> </v>
      </c>
      <c r="AI123" s="20"/>
    </row>
    <row r="124" customFormat="false" ht="17.35" hidden="false" customHeight="false" outlineLevel="0" collapsed="false">
      <c r="A124" s="55" t="s">
        <v>124</v>
      </c>
      <c r="B124" s="136" t="n">
        <f aca="false">(B121*B122)+B123</f>
        <v>0</v>
      </c>
      <c r="C124" s="137" t="n">
        <f aca="false">(C121*C122/100)+C123</f>
        <v>0</v>
      </c>
      <c r="D124" s="136" t="n">
        <f aca="false">(D121*D122)+D123</f>
        <v>0</v>
      </c>
      <c r="E124" s="137" t="n">
        <f aca="false">(E121*E122/100)+E123</f>
        <v>0</v>
      </c>
      <c r="F124" s="136" t="n">
        <f aca="false">(F121*F122)+F123</f>
        <v>0</v>
      </c>
      <c r="G124" s="137" t="n">
        <f aca="false">(G121*G122/100)+G123</f>
        <v>0</v>
      </c>
      <c r="H124" s="20"/>
      <c r="J124" s="55" t="s">
        <v>124</v>
      </c>
      <c r="K124" s="136" t="n">
        <f aca="false">(K121*K122)+K123</f>
        <v>0</v>
      </c>
      <c r="L124" s="137" t="n">
        <f aca="false">(L121*L122)+L123</f>
        <v>0</v>
      </c>
      <c r="M124" s="136" t="n">
        <f aca="false">(M121*M122)+M123</f>
        <v>0</v>
      </c>
      <c r="N124" s="137" t="n">
        <f aca="false">(N121*N122)+N123</f>
        <v>0</v>
      </c>
      <c r="O124" s="136" t="e">
        <f aca="false">(O121*O122)+O123</f>
        <v>#VALUE!</v>
      </c>
      <c r="P124" s="137" t="e">
        <f aca="false">(P121*P122)+P123</f>
        <v>#VALUE!</v>
      </c>
      <c r="Q124" s="20"/>
      <c r="S124" s="55" t="s">
        <v>124</v>
      </c>
      <c r="T124" s="136" t="n">
        <f aca="false">(T121*T122)+T123</f>
        <v>0</v>
      </c>
      <c r="U124" s="137" t="n">
        <f aca="false">(U121*U122)+U123</f>
        <v>0</v>
      </c>
      <c r="V124" s="136" t="n">
        <f aca="false">(V121*V122)+V123</f>
        <v>0</v>
      </c>
      <c r="W124" s="137" t="n">
        <f aca="false">(W121*W122)+W123</f>
        <v>0</v>
      </c>
      <c r="X124" s="136" t="e">
        <f aca="false">(X121*X122)+X123</f>
        <v>#VALUE!</v>
      </c>
      <c r="Y124" s="137" t="e">
        <f aca="false">(Y121*Y122)+Y123</f>
        <v>#VALUE!</v>
      </c>
      <c r="Z124" s="20"/>
      <c r="AB124" s="55" t="s">
        <v>124</v>
      </c>
      <c r="AC124" s="136" t="n">
        <f aca="false">(AC121*AC122)+AC123</f>
        <v>0</v>
      </c>
      <c r="AD124" s="137" t="n">
        <f aca="false">(AD121*AD122)+AD123</f>
        <v>0</v>
      </c>
      <c r="AE124" s="136" t="n">
        <f aca="false">(AE121*AE122)+AE123</f>
        <v>0</v>
      </c>
      <c r="AF124" s="137" t="n">
        <f aca="false">(AF121*AF122)+AF123</f>
        <v>0</v>
      </c>
      <c r="AG124" s="136" t="e">
        <f aca="false">(AG121*AG122)+AG123</f>
        <v>#VALUE!</v>
      </c>
      <c r="AH124" s="137" t="e">
        <f aca="false">(AH121*AH122)+AH123</f>
        <v>#VALUE!</v>
      </c>
      <c r="AI124" s="20"/>
    </row>
    <row r="125" customFormat="false" ht="17.35" hidden="false" customHeight="false" outlineLevel="0" collapsed="false">
      <c r="A125" s="74" t="s">
        <v>125</v>
      </c>
      <c r="B125" s="138" t="n">
        <f aca="false">B121-B124</f>
        <v>23958.33</v>
      </c>
      <c r="C125" s="139" t="n">
        <f aca="false">C121-C124</f>
        <v>25833.33</v>
      </c>
      <c r="D125" s="138" t="n">
        <f aca="false">D121-D124</f>
        <v>0</v>
      </c>
      <c r="E125" s="139" t="n">
        <f aca="false">E121-E124</f>
        <v>0</v>
      </c>
      <c r="F125" s="138" t="n">
        <f aca="false">F121-F124</f>
        <v>0</v>
      </c>
      <c r="G125" s="139" t="n">
        <f aca="false">G121-G124</f>
        <v>0</v>
      </c>
      <c r="H125" s="82"/>
      <c r="J125" s="74" t="s">
        <v>125</v>
      </c>
      <c r="K125" s="138" t="n">
        <f aca="false">K121-K124</f>
        <v>0</v>
      </c>
      <c r="L125" s="139" t="n">
        <f aca="false">L121-L124</f>
        <v>28629.17</v>
      </c>
      <c r="M125" s="138" t="n">
        <f aca="false">M121-M124</f>
        <v>0</v>
      </c>
      <c r="N125" s="139" t="n">
        <f aca="false">N121-N124</f>
        <v>0</v>
      </c>
      <c r="O125" s="138" t="e">
        <f aca="false">O121-O124</f>
        <v>#VALUE!</v>
      </c>
      <c r="P125" s="139" t="e">
        <f aca="false">P121-P124</f>
        <v>#VALUE!</v>
      </c>
      <c r="Q125" s="82"/>
      <c r="S125" s="74" t="s">
        <v>125</v>
      </c>
      <c r="T125" s="138" t="n">
        <f aca="false">T121-T124</f>
        <v>0</v>
      </c>
      <c r="U125" s="139" t="n">
        <f aca="false">U121-U124</f>
        <v>0</v>
      </c>
      <c r="V125" s="138" t="n">
        <f aca="false">V121-V124</f>
        <v>0</v>
      </c>
      <c r="W125" s="139" t="n">
        <f aca="false">W121-W124</f>
        <v>0</v>
      </c>
      <c r="X125" s="138" t="e">
        <f aca="false">X121-X124</f>
        <v>#VALUE!</v>
      </c>
      <c r="Y125" s="139" t="e">
        <f aca="false">Y121-Y124</f>
        <v>#VALUE!</v>
      </c>
      <c r="Z125" s="82"/>
      <c r="AB125" s="74" t="s">
        <v>125</v>
      </c>
      <c r="AC125" s="138" t="n">
        <f aca="false">AC121-AC124</f>
        <v>0</v>
      </c>
      <c r="AD125" s="139" t="n">
        <f aca="false">AD121-AD124</f>
        <v>0</v>
      </c>
      <c r="AE125" s="138" t="n">
        <f aca="false">AE121-AE124</f>
        <v>0</v>
      </c>
      <c r="AF125" s="139" t="n">
        <f aca="false">AF121-AF124</f>
        <v>0</v>
      </c>
      <c r="AG125" s="138" t="e">
        <f aca="false">AG121-AG124</f>
        <v>#VALUE!</v>
      </c>
      <c r="AH125" s="139" t="e">
        <f aca="false">AH121-AH124</f>
        <v>#VALUE!</v>
      </c>
      <c r="AI125" s="82"/>
    </row>
    <row r="126" customFormat="false" ht="17.35" hidden="false" customHeight="false" outlineLevel="0" collapsed="false">
      <c r="A126" s="55"/>
      <c r="B126" s="25"/>
      <c r="C126" s="25"/>
      <c r="D126" s="25"/>
      <c r="E126" s="25"/>
      <c r="F126" s="25"/>
      <c r="G126" s="25"/>
      <c r="H126" s="20"/>
      <c r="J126" s="55"/>
      <c r="K126" s="25"/>
      <c r="L126" s="25"/>
      <c r="M126" s="25"/>
      <c r="N126" s="25"/>
      <c r="O126" s="25"/>
      <c r="P126" s="25"/>
      <c r="Q126" s="20"/>
      <c r="S126" s="55"/>
      <c r="T126" s="25"/>
      <c r="U126" s="25"/>
      <c r="V126" s="25"/>
      <c r="W126" s="25"/>
      <c r="X126" s="25"/>
      <c r="Y126" s="25"/>
      <c r="Z126" s="20"/>
      <c r="AB126" s="55"/>
      <c r="AC126" s="25"/>
      <c r="AD126" s="25"/>
      <c r="AE126" s="25"/>
      <c r="AF126" s="25"/>
      <c r="AG126" s="25"/>
      <c r="AH126" s="25"/>
      <c r="AI126" s="20"/>
    </row>
    <row r="127" customFormat="false" ht="19.7" hidden="false" customHeight="false" outlineLevel="0" collapsed="false">
      <c r="A127" s="140"/>
      <c r="B127" s="141"/>
      <c r="C127" s="141"/>
      <c r="D127" s="141"/>
      <c r="E127" s="141"/>
      <c r="F127" s="141"/>
      <c r="G127" s="29" t="s">
        <v>119</v>
      </c>
      <c r="H127" s="142" t="s">
        <v>120</v>
      </c>
      <c r="J127" s="140"/>
      <c r="K127" s="141"/>
      <c r="L127" s="141"/>
      <c r="M127" s="141"/>
      <c r="N127" s="141"/>
      <c r="O127" s="141"/>
      <c r="P127" s="29" t="s">
        <v>119</v>
      </c>
      <c r="Q127" s="142" t="s">
        <v>120</v>
      </c>
      <c r="S127" s="140"/>
      <c r="T127" s="141"/>
      <c r="U127" s="141"/>
      <c r="V127" s="141"/>
      <c r="W127" s="141"/>
      <c r="X127" s="141"/>
      <c r="Y127" s="29" t="s">
        <v>119</v>
      </c>
      <c r="Z127" s="142" t="s">
        <v>120</v>
      </c>
      <c r="AB127" s="140"/>
      <c r="AC127" s="141"/>
      <c r="AD127" s="141"/>
      <c r="AE127" s="141"/>
      <c r="AF127" s="141"/>
      <c r="AG127" s="141"/>
      <c r="AH127" s="29" t="s">
        <v>119</v>
      </c>
      <c r="AI127" s="142" t="s">
        <v>120</v>
      </c>
    </row>
    <row r="128" customFormat="false" ht="17.35" hidden="false" customHeight="false" outlineLevel="0" collapsed="false">
      <c r="A128" s="143" t="s">
        <v>126</v>
      </c>
      <c r="B128" s="144"/>
      <c r="C128" s="144"/>
      <c r="D128" s="144"/>
      <c r="E128" s="144"/>
      <c r="F128" s="144"/>
      <c r="G128" s="145" t="n">
        <f aca="false">H121</f>
        <v>0</v>
      </c>
      <c r="H128" s="146" t="n">
        <f aca="false">SUM(H131:H133)</f>
        <v>0</v>
      </c>
      <c r="J128" s="143" t="s">
        <v>126</v>
      </c>
      <c r="K128" s="144"/>
      <c r="L128" s="144"/>
      <c r="M128" s="144"/>
      <c r="N128" s="144"/>
      <c r="O128" s="144"/>
      <c r="P128" s="145" t="n">
        <f aca="false">Q121</f>
        <v>0</v>
      </c>
      <c r="Q128" s="146" t="n">
        <f aca="false">SUM(Q131:Q133)</f>
        <v>0</v>
      </c>
      <c r="S128" s="143" t="s">
        <v>126</v>
      </c>
      <c r="T128" s="144"/>
      <c r="U128" s="144"/>
      <c r="V128" s="144"/>
      <c r="W128" s="144"/>
      <c r="X128" s="144"/>
      <c r="Y128" s="145" t="n">
        <f aca="false">Z121</f>
        <v>0</v>
      </c>
      <c r="Z128" s="146" t="n">
        <f aca="false">SUM(Z131:Z133)</f>
        <v>0</v>
      </c>
      <c r="AB128" s="143" t="s">
        <v>126</v>
      </c>
      <c r="AC128" s="144"/>
      <c r="AD128" s="144"/>
      <c r="AE128" s="144"/>
      <c r="AF128" s="144"/>
      <c r="AG128" s="144"/>
      <c r="AH128" s="145" t="n">
        <f aca="false">AI121</f>
        <v>0</v>
      </c>
      <c r="AI128" s="146" t="n">
        <f aca="false">SUM(AI131:AI133)</f>
        <v>0</v>
      </c>
    </row>
    <row r="129" customFormat="false" ht="17.35" hidden="false" customHeight="false" outlineLevel="0" collapsed="false">
      <c r="A129" s="55"/>
      <c r="B129" s="25"/>
      <c r="C129" s="25"/>
      <c r="D129" s="25"/>
      <c r="E129" s="25"/>
      <c r="F129" s="25"/>
      <c r="G129" s="147"/>
      <c r="H129" s="148"/>
      <c r="J129" s="55"/>
      <c r="K129" s="25"/>
      <c r="L129" s="25"/>
      <c r="M129" s="25"/>
      <c r="N129" s="25"/>
      <c r="O129" s="25"/>
      <c r="P129" s="147"/>
      <c r="Q129" s="148"/>
      <c r="S129" s="55"/>
      <c r="T129" s="25"/>
      <c r="U129" s="25"/>
      <c r="V129" s="25"/>
      <c r="W129" s="25"/>
      <c r="X129" s="25"/>
      <c r="Y129" s="147"/>
      <c r="Z129" s="148"/>
      <c r="AB129" s="55"/>
      <c r="AC129" s="25"/>
      <c r="AD129" s="25"/>
      <c r="AE129" s="25"/>
      <c r="AF129" s="25"/>
      <c r="AG129" s="25"/>
      <c r="AH129" s="147"/>
      <c r="AI129" s="148"/>
    </row>
    <row r="130" customFormat="false" ht="17.35" hidden="false" customHeight="false" outlineLevel="0" collapsed="false">
      <c r="A130" s="149" t="s">
        <v>127</v>
      </c>
      <c r="B130" s="147" t="s">
        <v>128</v>
      </c>
      <c r="C130" s="147"/>
      <c r="D130" s="147" t="s">
        <v>129</v>
      </c>
      <c r="E130" s="147"/>
      <c r="F130" s="147" t="s">
        <v>123</v>
      </c>
      <c r="G130" s="147"/>
      <c r="H130" s="148" t="s">
        <v>120</v>
      </c>
      <c r="J130" s="149" t="s">
        <v>127</v>
      </c>
      <c r="K130" s="147" t="s">
        <v>128</v>
      </c>
      <c r="L130" s="147"/>
      <c r="M130" s="147" t="s">
        <v>129</v>
      </c>
      <c r="N130" s="147"/>
      <c r="O130" s="147" t="s">
        <v>123</v>
      </c>
      <c r="P130" s="147"/>
      <c r="Q130" s="148" t="s">
        <v>120</v>
      </c>
      <c r="S130" s="149" t="s">
        <v>127</v>
      </c>
      <c r="T130" s="147" t="s">
        <v>128</v>
      </c>
      <c r="U130" s="147"/>
      <c r="V130" s="147" t="s">
        <v>129</v>
      </c>
      <c r="W130" s="147"/>
      <c r="X130" s="147" t="s">
        <v>123</v>
      </c>
      <c r="Y130" s="147"/>
      <c r="Z130" s="148" t="s">
        <v>120</v>
      </c>
      <c r="AB130" s="149" t="s">
        <v>127</v>
      </c>
      <c r="AC130" s="147" t="s">
        <v>128</v>
      </c>
      <c r="AD130" s="147"/>
      <c r="AE130" s="147" t="s">
        <v>129</v>
      </c>
      <c r="AF130" s="147"/>
      <c r="AG130" s="147" t="s">
        <v>123</v>
      </c>
      <c r="AH130" s="147"/>
      <c r="AI130" s="148" t="s">
        <v>120</v>
      </c>
    </row>
    <row r="131" customFormat="false" ht="17.35" hidden="false" customHeight="false" outlineLevel="0" collapsed="false">
      <c r="A131" s="55" t="s">
        <v>130</v>
      </c>
      <c r="B131" s="150" t="n">
        <f aca="false">G128</f>
        <v>0</v>
      </c>
      <c r="C131" s="150"/>
      <c r="D131" s="151" t="n">
        <v>0</v>
      </c>
      <c r="E131" s="151"/>
      <c r="F131" s="150" t="n">
        <v>0</v>
      </c>
      <c r="G131" s="150"/>
      <c r="H131" s="152" t="n">
        <f aca="false">(B131-(B131*D131))-F131</f>
        <v>0</v>
      </c>
      <c r="J131" s="55" t="s">
        <v>130</v>
      </c>
      <c r="K131" s="150" t="n">
        <f aca="false">P128</f>
        <v>0</v>
      </c>
      <c r="L131" s="150"/>
      <c r="M131" s="151" t="n">
        <v>0</v>
      </c>
      <c r="N131" s="151"/>
      <c r="O131" s="150" t="n">
        <v>0</v>
      </c>
      <c r="P131" s="150"/>
      <c r="Q131" s="152" t="n">
        <f aca="false">(K131-(K131*M131))-O131</f>
        <v>0</v>
      </c>
      <c r="S131" s="55" t="s">
        <v>130</v>
      </c>
      <c r="T131" s="150" t="n">
        <f aca="false">Y128</f>
        <v>0</v>
      </c>
      <c r="U131" s="150"/>
      <c r="V131" s="151" t="n">
        <v>0</v>
      </c>
      <c r="W131" s="151"/>
      <c r="X131" s="150" t="n">
        <v>0</v>
      </c>
      <c r="Y131" s="150"/>
      <c r="Z131" s="152" t="n">
        <f aca="false">(T131-(T131*V131))-X131</f>
        <v>0</v>
      </c>
      <c r="AB131" s="55" t="s">
        <v>130</v>
      </c>
      <c r="AC131" s="150" t="n">
        <f aca="false">AH128</f>
        <v>0</v>
      </c>
      <c r="AD131" s="150"/>
      <c r="AE131" s="151" t="n">
        <v>0</v>
      </c>
      <c r="AF131" s="151"/>
      <c r="AG131" s="150" t="n">
        <v>0</v>
      </c>
      <c r="AH131" s="150"/>
      <c r="AI131" s="152" t="n">
        <f aca="false">(AC131-(AC131*AE131))-AG131</f>
        <v>0</v>
      </c>
    </row>
    <row r="132" customFormat="false" ht="17.35" hidden="false" customHeight="false" outlineLevel="0" collapsed="false">
      <c r="A132" s="55" t="s">
        <v>131</v>
      </c>
      <c r="B132" s="150" t="n">
        <v>0</v>
      </c>
      <c r="C132" s="150"/>
      <c r="D132" s="151" t="n">
        <v>0</v>
      </c>
      <c r="E132" s="151"/>
      <c r="F132" s="150" t="n">
        <v>0</v>
      </c>
      <c r="G132" s="150"/>
      <c r="H132" s="152" t="n">
        <f aca="false">(B132-(B132*D132))-F132</f>
        <v>0</v>
      </c>
      <c r="J132" s="55" t="s">
        <v>131</v>
      </c>
      <c r="K132" s="150" t="n">
        <v>0</v>
      </c>
      <c r="L132" s="150"/>
      <c r="M132" s="151" t="n">
        <v>0</v>
      </c>
      <c r="N132" s="151"/>
      <c r="O132" s="150" t="n">
        <v>0</v>
      </c>
      <c r="P132" s="150"/>
      <c r="Q132" s="152" t="n">
        <f aca="false">(K132-(K132*M132))-O132</f>
        <v>0</v>
      </c>
      <c r="S132" s="55" t="s">
        <v>131</v>
      </c>
      <c r="T132" s="150" t="n">
        <v>0</v>
      </c>
      <c r="U132" s="150"/>
      <c r="V132" s="151" t="n">
        <v>0</v>
      </c>
      <c r="W132" s="151"/>
      <c r="X132" s="150" t="n">
        <v>0</v>
      </c>
      <c r="Y132" s="150"/>
      <c r="Z132" s="152" t="n">
        <f aca="false">(T132-(T132*V132))-X132</f>
        <v>0</v>
      </c>
      <c r="AB132" s="55" t="s">
        <v>131</v>
      </c>
      <c r="AC132" s="150" t="n">
        <v>0</v>
      </c>
      <c r="AD132" s="150"/>
      <c r="AE132" s="151" t="n">
        <v>0</v>
      </c>
      <c r="AF132" s="151"/>
      <c r="AG132" s="150" t="n">
        <v>0</v>
      </c>
      <c r="AH132" s="150"/>
      <c r="AI132" s="152" t="n">
        <f aca="false">(AC132-(AC132*AE132))-AG132</f>
        <v>0</v>
      </c>
    </row>
    <row r="133" customFormat="false" ht="17.35" hidden="false" customHeight="false" outlineLevel="0" collapsed="false">
      <c r="A133" s="55" t="s">
        <v>132</v>
      </c>
      <c r="B133" s="150" t="n">
        <v>0</v>
      </c>
      <c r="C133" s="150"/>
      <c r="D133" s="151" t="n">
        <v>0</v>
      </c>
      <c r="E133" s="151"/>
      <c r="F133" s="150" t="n">
        <v>0</v>
      </c>
      <c r="G133" s="150"/>
      <c r="H133" s="152" t="n">
        <f aca="false">(B133-(B133*D133))-F133</f>
        <v>0</v>
      </c>
      <c r="J133" s="55" t="s">
        <v>132</v>
      </c>
      <c r="K133" s="150" t="n">
        <v>0</v>
      </c>
      <c r="L133" s="150"/>
      <c r="M133" s="151" t="n">
        <v>0</v>
      </c>
      <c r="N133" s="151"/>
      <c r="O133" s="150" t="n">
        <v>0</v>
      </c>
      <c r="P133" s="150"/>
      <c r="Q133" s="152" t="n">
        <f aca="false">(K133-(K133*M133))-O133</f>
        <v>0</v>
      </c>
      <c r="S133" s="55" t="s">
        <v>132</v>
      </c>
      <c r="T133" s="150" t="n">
        <v>0</v>
      </c>
      <c r="U133" s="150"/>
      <c r="V133" s="151" t="n">
        <v>0</v>
      </c>
      <c r="W133" s="151"/>
      <c r="X133" s="150" t="n">
        <v>0</v>
      </c>
      <c r="Y133" s="150"/>
      <c r="Z133" s="152" t="n">
        <f aca="false">(T133-(T133*V133))-X133</f>
        <v>0</v>
      </c>
      <c r="AB133" s="55" t="s">
        <v>132</v>
      </c>
      <c r="AC133" s="150" t="n">
        <v>0</v>
      </c>
      <c r="AD133" s="150"/>
      <c r="AE133" s="151" t="n">
        <v>0</v>
      </c>
      <c r="AF133" s="151"/>
      <c r="AG133" s="150" t="n">
        <v>0</v>
      </c>
      <c r="AH133" s="150"/>
      <c r="AI133" s="152" t="n">
        <f aca="false">(AC133-(AC133*AE133))-AG133</f>
        <v>0</v>
      </c>
    </row>
    <row r="134" customFormat="false" ht="17.35" hidden="false" customHeight="false" outlineLevel="0" collapsed="false">
      <c r="A134" s="55"/>
      <c r="B134" s="25"/>
      <c r="C134" s="25"/>
      <c r="D134" s="25"/>
      <c r="E134" s="25"/>
      <c r="F134" s="25"/>
      <c r="G134" s="147"/>
      <c r="H134" s="148"/>
      <c r="J134" s="55"/>
      <c r="K134" s="25"/>
      <c r="L134" s="25"/>
      <c r="M134" s="25"/>
      <c r="N134" s="25"/>
      <c r="O134" s="25"/>
      <c r="P134" s="147"/>
      <c r="Q134" s="148"/>
      <c r="S134" s="55"/>
      <c r="T134" s="25"/>
      <c r="U134" s="25"/>
      <c r="V134" s="25"/>
      <c r="W134" s="25"/>
      <c r="X134" s="25"/>
      <c r="Y134" s="147"/>
      <c r="Z134" s="148"/>
      <c r="AB134" s="55"/>
      <c r="AC134" s="25"/>
      <c r="AD134" s="25"/>
      <c r="AE134" s="25"/>
      <c r="AF134" s="25"/>
      <c r="AG134" s="25"/>
      <c r="AH134" s="147"/>
      <c r="AI134" s="148"/>
    </row>
    <row r="135" customFormat="false" ht="19.7" hidden="false" customHeight="false" outlineLevel="0" collapsed="false">
      <c r="A135" s="153" t="s">
        <v>133</v>
      </c>
      <c r="B135" s="153"/>
      <c r="C135" s="153"/>
      <c r="D135" s="153"/>
      <c r="E135" s="153"/>
      <c r="F135" s="153"/>
      <c r="G135" s="29" t="n">
        <f aca="false">B121</f>
        <v>23958.33</v>
      </c>
      <c r="H135" s="154" t="n">
        <f aca="false">C125+E125+G125+H128</f>
        <v>25833.33</v>
      </c>
      <c r="J135" s="153" t="s">
        <v>133</v>
      </c>
      <c r="K135" s="153"/>
      <c r="L135" s="153"/>
      <c r="M135" s="153"/>
      <c r="N135" s="153"/>
      <c r="O135" s="153"/>
      <c r="P135" s="29" t="n">
        <f aca="false">H9</f>
        <v>0</v>
      </c>
      <c r="Q135" s="154" t="e">
        <f aca="false">L125+N125+P125+Q128</f>
        <v>#VALUE!</v>
      </c>
      <c r="S135" s="153" t="s">
        <v>133</v>
      </c>
      <c r="T135" s="153"/>
      <c r="U135" s="153"/>
      <c r="V135" s="153"/>
      <c r="W135" s="153"/>
      <c r="X135" s="153"/>
      <c r="Y135" s="29" t="n">
        <f aca="false">H9</f>
        <v>0</v>
      </c>
      <c r="Z135" s="154" t="e">
        <f aca="false">U125+W125+Y125+Z128</f>
        <v>#VALUE!</v>
      </c>
      <c r="AB135" s="153" t="s">
        <v>133</v>
      </c>
      <c r="AC135" s="153"/>
      <c r="AD135" s="153"/>
      <c r="AE135" s="153"/>
      <c r="AF135" s="153"/>
      <c r="AG135" s="153"/>
      <c r="AH135" s="29" t="n">
        <f aca="false">H9</f>
        <v>0</v>
      </c>
      <c r="AI135" s="154" t="e">
        <f aca="false">AD125+AF125+AH125+AI128</f>
        <v>#VALUE!</v>
      </c>
    </row>
    <row r="136" customFormat="false" ht="17.35" hidden="false" customHeight="false" outlineLevel="0" collapsed="false">
      <c r="A136" s="155" t="s">
        <v>134</v>
      </c>
      <c r="B136" s="155"/>
      <c r="C136" s="155"/>
      <c r="D136" s="155"/>
      <c r="E136" s="155"/>
      <c r="F136" s="155"/>
      <c r="G136" s="21" t="n">
        <f aca="false">H10</f>
        <v>0</v>
      </c>
      <c r="H136" s="20" t="n">
        <f aca="false">G136</f>
        <v>0</v>
      </c>
      <c r="J136" s="155" t="s">
        <v>134</v>
      </c>
      <c r="K136" s="155"/>
      <c r="L136" s="155"/>
      <c r="M136" s="155"/>
      <c r="N136" s="155"/>
      <c r="O136" s="155"/>
      <c r="P136" s="21" t="n">
        <f aca="false">H10</f>
        <v>0</v>
      </c>
      <c r="Q136" s="20" t="n">
        <f aca="false">P136</f>
        <v>0</v>
      </c>
      <c r="S136" s="155" t="s">
        <v>134</v>
      </c>
      <c r="T136" s="155"/>
      <c r="U136" s="155"/>
      <c r="V136" s="155"/>
      <c r="W136" s="155"/>
      <c r="X136" s="155"/>
      <c r="Y136" s="21" t="n">
        <f aca="false">H10</f>
        <v>0</v>
      </c>
      <c r="Z136" s="20" t="n">
        <f aca="false">Y136</f>
        <v>0</v>
      </c>
      <c r="AB136" s="155" t="s">
        <v>134</v>
      </c>
      <c r="AC136" s="155"/>
      <c r="AD136" s="155"/>
      <c r="AE136" s="155"/>
      <c r="AF136" s="155"/>
      <c r="AG136" s="155"/>
      <c r="AH136" s="21" t="n">
        <f aca="false">H10</f>
        <v>0</v>
      </c>
      <c r="AI136" s="20" t="n">
        <f aca="false">AH136</f>
        <v>0</v>
      </c>
    </row>
    <row r="137" customFormat="false" ht="17.35" hidden="false" customHeight="false" outlineLevel="0" collapsed="false">
      <c r="A137" s="155" t="s">
        <v>135</v>
      </c>
      <c r="B137" s="155"/>
      <c r="C137" s="155"/>
      <c r="D137" s="155"/>
      <c r="E137" s="155"/>
      <c r="F137" s="155"/>
      <c r="G137" s="20" t="n">
        <f aca="false">(G135+G136)*20%</f>
        <v>4791.666</v>
      </c>
      <c r="H137" s="20" t="n">
        <f aca="false">(H135+H136)*20%</f>
        <v>5166.666</v>
      </c>
      <c r="J137" s="155" t="s">
        <v>135</v>
      </c>
      <c r="K137" s="155"/>
      <c r="L137" s="155"/>
      <c r="M137" s="155"/>
      <c r="N137" s="155"/>
      <c r="O137" s="155"/>
      <c r="P137" s="21" t="n">
        <f aca="false">H11</f>
        <v>0</v>
      </c>
      <c r="Q137" s="20" t="e">
        <f aca="false">(Q135+Q136)*20%</f>
        <v>#VALUE!</v>
      </c>
      <c r="S137" s="155" t="s">
        <v>135</v>
      </c>
      <c r="T137" s="155"/>
      <c r="U137" s="155"/>
      <c r="V137" s="155"/>
      <c r="W137" s="155"/>
      <c r="X137" s="155"/>
      <c r="Y137" s="21" t="n">
        <f aca="false">H11</f>
        <v>0</v>
      </c>
      <c r="Z137" s="20" t="e">
        <f aca="false">(Z135+Z136)*20%</f>
        <v>#VALUE!</v>
      </c>
      <c r="AB137" s="155" t="s">
        <v>135</v>
      </c>
      <c r="AC137" s="155"/>
      <c r="AD137" s="155"/>
      <c r="AE137" s="155"/>
      <c r="AF137" s="155"/>
      <c r="AG137" s="155"/>
      <c r="AH137" s="21" t="n">
        <f aca="false">H11</f>
        <v>0</v>
      </c>
      <c r="AI137" s="20" t="e">
        <f aca="false">(AI135+AI136)*20%</f>
        <v>#VALUE!</v>
      </c>
    </row>
    <row r="138" customFormat="false" ht="17.35" hidden="false" customHeight="false" outlineLevel="0" collapsed="false">
      <c r="A138" s="155" t="s">
        <v>136</v>
      </c>
      <c r="B138" s="155"/>
      <c r="C138" s="155"/>
      <c r="D138" s="155"/>
      <c r="E138" s="155"/>
      <c r="F138" s="155"/>
      <c r="G138" s="21" t="n">
        <f aca="false">H12</f>
        <v>0</v>
      </c>
      <c r="H138" s="20" t="n">
        <v>0</v>
      </c>
      <c r="J138" s="155" t="s">
        <v>136</v>
      </c>
      <c r="K138" s="155"/>
      <c r="L138" s="155"/>
      <c r="M138" s="155"/>
      <c r="N138" s="155"/>
      <c r="O138" s="155"/>
      <c r="P138" s="21" t="n">
        <f aca="false">H12</f>
        <v>0</v>
      </c>
      <c r="Q138" s="20" t="n">
        <f aca="false">P138</f>
        <v>0</v>
      </c>
      <c r="S138" s="155" t="s">
        <v>136</v>
      </c>
      <c r="T138" s="155"/>
      <c r="U138" s="155"/>
      <c r="V138" s="155"/>
      <c r="W138" s="155"/>
      <c r="X138" s="155"/>
      <c r="Y138" s="21" t="n">
        <f aca="false">H12</f>
        <v>0</v>
      </c>
      <c r="Z138" s="20" t="n">
        <f aca="false">Y138</f>
        <v>0</v>
      </c>
      <c r="AB138" s="155" t="s">
        <v>136</v>
      </c>
      <c r="AC138" s="155"/>
      <c r="AD138" s="155"/>
      <c r="AE138" s="155"/>
      <c r="AF138" s="155"/>
      <c r="AG138" s="155"/>
      <c r="AH138" s="21" t="n">
        <f aca="false">H12</f>
        <v>0</v>
      </c>
      <c r="AI138" s="20" t="n">
        <f aca="false">AH138</f>
        <v>0</v>
      </c>
    </row>
    <row r="139" customFormat="false" ht="17.35" hidden="false" customHeight="false" outlineLevel="0" collapsed="false">
      <c r="A139" s="155" t="s">
        <v>137</v>
      </c>
      <c r="B139" s="155"/>
      <c r="C139" s="155"/>
      <c r="D139" s="155"/>
      <c r="E139" s="155"/>
      <c r="F139" s="155"/>
      <c r="G139" s="21" t="n">
        <f aca="false">H13</f>
        <v>0</v>
      </c>
      <c r="H139" s="20" t="n">
        <f aca="false">G139</f>
        <v>0</v>
      </c>
      <c r="J139" s="155" t="s">
        <v>137</v>
      </c>
      <c r="K139" s="155"/>
      <c r="L139" s="155"/>
      <c r="M139" s="155"/>
      <c r="N139" s="155"/>
      <c r="O139" s="155"/>
      <c r="P139" s="21" t="n">
        <f aca="false">H13</f>
        <v>0</v>
      </c>
      <c r="Q139" s="20" t="n">
        <f aca="false">P139</f>
        <v>0</v>
      </c>
      <c r="S139" s="155" t="s">
        <v>137</v>
      </c>
      <c r="T139" s="155"/>
      <c r="U139" s="155"/>
      <c r="V139" s="155"/>
      <c r="W139" s="155"/>
      <c r="X139" s="155"/>
      <c r="Y139" s="21" t="n">
        <f aca="false">H13</f>
        <v>0</v>
      </c>
      <c r="Z139" s="20" t="n">
        <f aca="false">Y139</f>
        <v>0</v>
      </c>
      <c r="AB139" s="155" t="s">
        <v>137</v>
      </c>
      <c r="AC139" s="155"/>
      <c r="AD139" s="155"/>
      <c r="AE139" s="155"/>
      <c r="AF139" s="155"/>
      <c r="AG139" s="155"/>
      <c r="AH139" s="21" t="n">
        <f aca="false">H13</f>
        <v>0</v>
      </c>
      <c r="AI139" s="20" t="n">
        <f aca="false">AH139</f>
        <v>0</v>
      </c>
    </row>
    <row r="140" customFormat="false" ht="17.35" hidden="false" customHeight="false" outlineLevel="0" collapsed="false">
      <c r="A140" s="155" t="s">
        <v>138</v>
      </c>
      <c r="B140" s="155"/>
      <c r="C140" s="155"/>
      <c r="D140" s="155"/>
      <c r="E140" s="155"/>
      <c r="F140" s="155"/>
      <c r="G140" s="21" t="n">
        <f aca="false">H14</f>
        <v>0</v>
      </c>
      <c r="H140" s="20" t="n">
        <v>0</v>
      </c>
      <c r="J140" s="155" t="s">
        <v>138</v>
      </c>
      <c r="K140" s="155"/>
      <c r="L140" s="155"/>
      <c r="M140" s="155"/>
      <c r="N140" s="155"/>
      <c r="O140" s="155"/>
      <c r="P140" s="21" t="n">
        <f aca="false">H14</f>
        <v>0</v>
      </c>
      <c r="Q140" s="20" t="n">
        <v>55</v>
      </c>
      <c r="S140" s="155" t="s">
        <v>138</v>
      </c>
      <c r="T140" s="155"/>
      <c r="U140" s="155"/>
      <c r="V140" s="155"/>
      <c r="W140" s="155"/>
      <c r="X140" s="155"/>
      <c r="Y140" s="21" t="n">
        <f aca="false">H14</f>
        <v>0</v>
      </c>
      <c r="Z140" s="20" t="n">
        <v>55</v>
      </c>
      <c r="AB140" s="155" t="s">
        <v>138</v>
      </c>
      <c r="AC140" s="155"/>
      <c r="AD140" s="155"/>
      <c r="AE140" s="155"/>
      <c r="AF140" s="155"/>
      <c r="AG140" s="155"/>
      <c r="AH140" s="21" t="n">
        <f aca="false">H14</f>
        <v>0</v>
      </c>
      <c r="AI140" s="20" t="n">
        <v>55</v>
      </c>
    </row>
    <row r="141" customFormat="false" ht="19.7" hidden="false" customHeight="false" outlineLevel="0" collapsed="false">
      <c r="A141" s="155" t="s">
        <v>139</v>
      </c>
      <c r="B141" s="155"/>
      <c r="C141" s="155"/>
      <c r="D141" s="155"/>
      <c r="E141" s="155"/>
      <c r="F141" s="155"/>
      <c r="G141" s="156" t="n">
        <f aca="false">(G135+G136+G139+G140+G137)-G138</f>
        <v>28749.996</v>
      </c>
      <c r="H141" s="156" t="n">
        <f aca="false">(H135+H136+H139+H140+H137)-H138</f>
        <v>30999.996</v>
      </c>
      <c r="J141" s="155" t="s">
        <v>139</v>
      </c>
      <c r="K141" s="155"/>
      <c r="L141" s="155"/>
      <c r="M141" s="155"/>
      <c r="N141" s="155"/>
      <c r="O141" s="155"/>
      <c r="P141" s="157" t="n">
        <f aca="false">H15</f>
        <v>0</v>
      </c>
      <c r="Q141" s="156" t="e">
        <f aca="false">(Q135+Q136+Q139+Q140+Q137)-Q138</f>
        <v>#VALUE!</v>
      </c>
      <c r="S141" s="155" t="s">
        <v>139</v>
      </c>
      <c r="T141" s="155"/>
      <c r="U141" s="155"/>
      <c r="V141" s="155"/>
      <c r="W141" s="155"/>
      <c r="X141" s="155"/>
      <c r="Y141" s="157" t="n">
        <f aca="false">H15</f>
        <v>0</v>
      </c>
      <c r="Z141" s="156" t="e">
        <f aca="false">(Z135+Z136+Z139+Z140+Z137)-Z138</f>
        <v>#VALUE!</v>
      </c>
      <c r="AB141" s="155" t="s">
        <v>139</v>
      </c>
      <c r="AC141" s="155"/>
      <c r="AD141" s="155"/>
      <c r="AE141" s="155"/>
      <c r="AF141" s="155"/>
      <c r="AG141" s="155"/>
      <c r="AH141" s="157" t="n">
        <f aca="false">H15</f>
        <v>0</v>
      </c>
      <c r="AI141" s="156" t="e">
        <f aca="false">(AI135+AI136+AI139+AI140+AI137)-AI138</f>
        <v>#VALUE!</v>
      </c>
    </row>
    <row r="142" customFormat="false" ht="17.35" hidden="false" customHeight="false" outlineLevel="0" collapsed="false">
      <c r="A142" s="155" t="s">
        <v>140</v>
      </c>
      <c r="B142" s="155"/>
      <c r="C142" s="155"/>
      <c r="D142" s="155"/>
      <c r="E142" s="155"/>
      <c r="F142" s="155"/>
      <c r="G142" s="21" t="n">
        <f aca="false">H16</f>
        <v>0</v>
      </c>
      <c r="H142" s="52" t="n">
        <f aca="false">G142</f>
        <v>0</v>
      </c>
      <c r="J142" s="155" t="s">
        <v>140</v>
      </c>
      <c r="K142" s="155"/>
      <c r="L142" s="155"/>
      <c r="M142" s="155"/>
      <c r="N142" s="155"/>
      <c r="O142" s="155"/>
      <c r="P142" s="21" t="n">
        <f aca="false">H16</f>
        <v>0</v>
      </c>
      <c r="Q142" s="52" t="n">
        <f aca="false">P142</f>
        <v>0</v>
      </c>
      <c r="S142" s="155" t="s">
        <v>140</v>
      </c>
      <c r="T142" s="155"/>
      <c r="U142" s="155"/>
      <c r="V142" s="155"/>
      <c r="W142" s="155"/>
      <c r="X142" s="155"/>
      <c r="Y142" s="21" t="n">
        <f aca="false">H16</f>
        <v>0</v>
      </c>
      <c r="Z142" s="52" t="n">
        <f aca="false">Y142</f>
        <v>0</v>
      </c>
      <c r="AB142" s="155" t="s">
        <v>140</v>
      </c>
      <c r="AC142" s="155"/>
      <c r="AD142" s="155"/>
      <c r="AE142" s="155"/>
      <c r="AF142" s="155"/>
      <c r="AG142" s="155"/>
      <c r="AH142" s="21" t="n">
        <f aca="false">H16</f>
        <v>0</v>
      </c>
      <c r="AI142" s="52" t="n">
        <f aca="false">AH142</f>
        <v>0</v>
      </c>
    </row>
    <row r="143" customFormat="false" ht="17.35" hidden="false" customHeight="false" outlineLevel="0" collapsed="false">
      <c r="A143" s="70" t="s">
        <v>141</v>
      </c>
      <c r="B143" s="70"/>
      <c r="C143" s="70"/>
      <c r="D143" s="70"/>
      <c r="E143" s="70"/>
      <c r="F143" s="70"/>
      <c r="G143" s="37"/>
      <c r="H143" s="20"/>
      <c r="J143" s="70" t="s">
        <v>141</v>
      </c>
      <c r="K143" s="70"/>
      <c r="L143" s="70"/>
      <c r="M143" s="70"/>
      <c r="N143" s="70"/>
      <c r="O143" s="70"/>
      <c r="P143" s="37"/>
      <c r="Q143" s="20"/>
      <c r="S143" s="70" t="s">
        <v>141</v>
      </c>
      <c r="T143" s="70"/>
      <c r="U143" s="70"/>
      <c r="V143" s="70"/>
      <c r="W143" s="70"/>
      <c r="X143" s="70"/>
      <c r="Y143" s="37"/>
      <c r="Z143" s="20"/>
      <c r="AB143" s="70" t="s">
        <v>141</v>
      </c>
      <c r="AC143" s="70"/>
      <c r="AD143" s="70"/>
      <c r="AE143" s="70"/>
      <c r="AF143" s="70"/>
      <c r="AG143" s="70"/>
      <c r="AH143" s="37"/>
      <c r="AI143" s="20"/>
    </row>
    <row r="144" customFormat="false" ht="17.35" hidden="false" customHeight="false" outlineLevel="0" collapsed="false">
      <c r="A144" s="158" t="s">
        <v>15</v>
      </c>
      <c r="B144" s="159" t="n">
        <v>0</v>
      </c>
      <c r="C144" s="159"/>
      <c r="D144" s="159"/>
      <c r="E144" s="159"/>
      <c r="F144" s="159"/>
      <c r="G144" s="21" t="n">
        <f aca="false">H18</f>
        <v>0</v>
      </c>
      <c r="H144" s="52" t="n">
        <v>0</v>
      </c>
      <c r="J144" s="158" t="s">
        <v>15</v>
      </c>
      <c r="K144" s="159" t="s">
        <v>142</v>
      </c>
      <c r="L144" s="159"/>
      <c r="M144" s="159"/>
      <c r="N144" s="159"/>
      <c r="O144" s="159"/>
      <c r="P144" s="21" t="n">
        <f aca="false">H18</f>
        <v>0</v>
      </c>
      <c r="Q144" s="52" t="n">
        <f aca="false">P144</f>
        <v>0</v>
      </c>
      <c r="S144" s="158" t="s">
        <v>15</v>
      </c>
      <c r="T144" s="159" t="s">
        <v>142</v>
      </c>
      <c r="U144" s="159"/>
      <c r="V144" s="159"/>
      <c r="W144" s="159"/>
      <c r="X144" s="159"/>
      <c r="Y144" s="21" t="n">
        <f aca="false">H18</f>
        <v>0</v>
      </c>
      <c r="Z144" s="52" t="n">
        <f aca="false">Y144</f>
        <v>0</v>
      </c>
      <c r="AB144" s="158" t="s">
        <v>15</v>
      </c>
      <c r="AC144" s="159" t="s">
        <v>142</v>
      </c>
      <c r="AD144" s="159"/>
      <c r="AE144" s="159"/>
      <c r="AF144" s="159"/>
      <c r="AG144" s="159"/>
      <c r="AH144" s="21" t="n">
        <f aca="false">H18</f>
        <v>0</v>
      </c>
      <c r="AI144" s="52" t="n">
        <f aca="false">AH144</f>
        <v>0</v>
      </c>
    </row>
    <row r="145" customFormat="false" ht="17.35" hidden="false" customHeight="false" outlineLevel="0" collapsed="false">
      <c r="A145" s="158" t="s">
        <v>17</v>
      </c>
      <c r="B145" s="159" t="s">
        <v>142</v>
      </c>
      <c r="C145" s="159"/>
      <c r="D145" s="159"/>
      <c r="E145" s="159"/>
      <c r="F145" s="159"/>
      <c r="G145" s="21" t="n">
        <f aca="false">H19</f>
        <v>0</v>
      </c>
      <c r="H145" s="52" t="n">
        <v>0</v>
      </c>
      <c r="I145" s="1" t="n">
        <f aca="false">(G142+G145+G146+G144)</f>
        <v>0</v>
      </c>
      <c r="J145" s="158" t="s">
        <v>17</v>
      </c>
      <c r="K145" s="159" t="s">
        <v>142</v>
      </c>
      <c r="L145" s="159"/>
      <c r="M145" s="159"/>
      <c r="N145" s="159"/>
      <c r="O145" s="159"/>
      <c r="P145" s="21" t="n">
        <f aca="false">H19</f>
        <v>0</v>
      </c>
      <c r="Q145" s="52" t="n">
        <f aca="false">P145</f>
        <v>0</v>
      </c>
      <c r="S145" s="158" t="s">
        <v>17</v>
      </c>
      <c r="T145" s="159" t="s">
        <v>142</v>
      </c>
      <c r="U145" s="159"/>
      <c r="V145" s="159"/>
      <c r="W145" s="159"/>
      <c r="X145" s="159"/>
      <c r="Y145" s="21" t="n">
        <f aca="false">H19</f>
        <v>0</v>
      </c>
      <c r="Z145" s="52" t="n">
        <f aca="false">Y145</f>
        <v>0</v>
      </c>
      <c r="AB145" s="158" t="s">
        <v>17</v>
      </c>
      <c r="AC145" s="159" t="s">
        <v>142</v>
      </c>
      <c r="AD145" s="159"/>
      <c r="AE145" s="159"/>
      <c r="AF145" s="159"/>
      <c r="AG145" s="159"/>
      <c r="AH145" s="21" t="n">
        <f aca="false">H19</f>
        <v>0</v>
      </c>
      <c r="AI145" s="52" t="n">
        <f aca="false">AH145</f>
        <v>0</v>
      </c>
    </row>
    <row r="146" customFormat="false" ht="17.35" hidden="false" customHeight="false" outlineLevel="0" collapsed="false">
      <c r="A146" s="160" t="s">
        <v>18</v>
      </c>
      <c r="B146" s="161" t="s">
        <v>142</v>
      </c>
      <c r="C146" s="161"/>
      <c r="D146" s="161"/>
      <c r="E146" s="161"/>
      <c r="F146" s="161"/>
      <c r="G146" s="21" t="n">
        <f aca="false">H20</f>
        <v>0</v>
      </c>
      <c r="H146" s="52" t="n">
        <v>0</v>
      </c>
      <c r="I146" s="1" t="n">
        <f aca="false">(H142+H144+H145+H146)</f>
        <v>0</v>
      </c>
      <c r="J146" s="160" t="s">
        <v>18</v>
      </c>
      <c r="K146" s="161" t="s">
        <v>142</v>
      </c>
      <c r="L146" s="161"/>
      <c r="M146" s="161"/>
      <c r="N146" s="161"/>
      <c r="O146" s="161"/>
      <c r="P146" s="21" t="n">
        <f aca="false">H20</f>
        <v>0</v>
      </c>
      <c r="Q146" s="52" t="n">
        <f aca="false">P146</f>
        <v>0</v>
      </c>
      <c r="S146" s="160" t="s">
        <v>18</v>
      </c>
      <c r="T146" s="161" t="s">
        <v>142</v>
      </c>
      <c r="U146" s="161"/>
      <c r="V146" s="161"/>
      <c r="W146" s="161"/>
      <c r="X146" s="161"/>
      <c r="Y146" s="21" t="n">
        <f aca="false">H20</f>
        <v>0</v>
      </c>
      <c r="Z146" s="52" t="n">
        <f aca="false">Y146</f>
        <v>0</v>
      </c>
      <c r="AB146" s="160" t="s">
        <v>18</v>
      </c>
      <c r="AC146" s="161" t="s">
        <v>142</v>
      </c>
      <c r="AD146" s="161"/>
      <c r="AE146" s="161"/>
      <c r="AF146" s="161"/>
      <c r="AG146" s="161"/>
      <c r="AH146" s="21" t="n">
        <f aca="false">H20</f>
        <v>0</v>
      </c>
      <c r="AI146" s="52" t="n">
        <f aca="false">AH146</f>
        <v>0</v>
      </c>
    </row>
    <row r="147" customFormat="false" ht="19.7" hidden="false" customHeight="false" outlineLevel="0" collapsed="false">
      <c r="A147" s="155" t="s">
        <v>143</v>
      </c>
      <c r="B147" s="155"/>
      <c r="C147" s="155"/>
      <c r="D147" s="155"/>
      <c r="E147" s="155"/>
      <c r="F147" s="155"/>
      <c r="G147" s="157" t="n">
        <f aca="false">G141-((G144*1.2)+(G145*1.2)+(G146*1.2)+(G142*1.2))</f>
        <v>28749.996</v>
      </c>
      <c r="H147" s="162" t="n">
        <f aca="false">H141-((H144*1.2)+(H145*1.2)+(H146*1.2)+(H142*1.2))</f>
        <v>30999.996</v>
      </c>
      <c r="J147" s="155" t="s">
        <v>143</v>
      </c>
      <c r="K147" s="155"/>
      <c r="L147" s="155"/>
      <c r="M147" s="155"/>
      <c r="N147" s="155"/>
      <c r="O147" s="155"/>
      <c r="P147" s="157" t="n">
        <f aca="false">P141-((P144*1.2)+(P145*1.2)+(P146*1.2)+(P142*1.2))</f>
        <v>0</v>
      </c>
      <c r="Q147" s="162" t="e">
        <f aca="false">Q141-((Q144*1.2)+(Q145*1.2)+(Q146*1.2)+(Q142*1.2))</f>
        <v>#VALUE!</v>
      </c>
      <c r="S147" s="155" t="s">
        <v>143</v>
      </c>
      <c r="T147" s="155"/>
      <c r="U147" s="155"/>
      <c r="V147" s="155"/>
      <c r="W147" s="155"/>
      <c r="X147" s="155"/>
      <c r="Y147" s="157" t="n">
        <f aca="false">Y141-((Y144*1.2)+(Y145*1.2)+(Y146*1.2)+(Y142*1.2))</f>
        <v>0</v>
      </c>
      <c r="Z147" s="162" t="e">
        <f aca="false">Z141-((Z144*1.2)+(Z145*1.2)+(Z146*1.2)+(Z142*1.2))</f>
        <v>#VALUE!</v>
      </c>
      <c r="AB147" s="155" t="s">
        <v>143</v>
      </c>
      <c r="AC147" s="155"/>
      <c r="AD147" s="155"/>
      <c r="AE147" s="155"/>
      <c r="AF147" s="155"/>
      <c r="AG147" s="155"/>
      <c r="AH147" s="157" t="n">
        <f aca="false">AH141-((AH144*1.2)+(AH145*1.2)+(AH146*1.2)+(AH142*1.2))</f>
        <v>0</v>
      </c>
      <c r="AI147" s="162" t="e">
        <f aca="false">AI141-((AI144*1.2)+(AI145*1.2)+(AI146*1.2)+(AI142*1.2))</f>
        <v>#VALUE!</v>
      </c>
    </row>
    <row r="148" customFormat="false" ht="17.35" hidden="false" customHeight="false" outlineLevel="0" collapsed="false">
      <c r="A148" s="155" t="s">
        <v>144</v>
      </c>
      <c r="B148" s="155"/>
      <c r="C148" s="155"/>
      <c r="D148" s="155"/>
      <c r="E148" s="155"/>
      <c r="F148" s="155"/>
      <c r="G148" s="21"/>
      <c r="H148" s="52" t="n">
        <f aca="false">((H147-G147)-(H137-G137))+((I146-I145)*0.2)</f>
        <v>1875</v>
      </c>
      <c r="I148" s="1" t="n">
        <f aca="false">(H148-G81)/1.2</f>
        <v>1562.5</v>
      </c>
      <c r="J148" s="155" t="s">
        <v>144</v>
      </c>
      <c r="K148" s="155"/>
      <c r="L148" s="155"/>
      <c r="M148" s="155"/>
      <c r="N148" s="155"/>
      <c r="O148" s="155"/>
      <c r="P148" s="21"/>
      <c r="Q148" s="52" t="e">
        <f aca="false">Q147-P147</f>
        <v>#VALUE!</v>
      </c>
      <c r="S148" s="155" t="s">
        <v>144</v>
      </c>
      <c r="T148" s="155"/>
      <c r="U148" s="155"/>
      <c r="V148" s="155"/>
      <c r="W148" s="155"/>
      <c r="X148" s="155"/>
      <c r="Y148" s="21"/>
      <c r="Z148" s="52" t="e">
        <f aca="false">Z147-Y147</f>
        <v>#VALUE!</v>
      </c>
      <c r="AB148" s="155" t="s">
        <v>144</v>
      </c>
      <c r="AC148" s="155"/>
      <c r="AD148" s="155"/>
      <c r="AE148" s="155"/>
      <c r="AF148" s="155"/>
      <c r="AG148" s="155"/>
      <c r="AH148" s="21"/>
      <c r="AI148" s="52" t="e">
        <f aca="false">AI147-AH147</f>
        <v>#VALUE!</v>
      </c>
    </row>
    <row r="149" customFormat="false" ht="17.35" hidden="false" customHeight="false" outlineLevel="0" collapsed="false">
      <c r="A149" s="55"/>
      <c r="B149" s="25"/>
      <c r="C149" s="25"/>
      <c r="D149" s="25"/>
      <c r="E149" s="45"/>
      <c r="F149" s="45"/>
      <c r="G149" s="45"/>
      <c r="H149" s="20"/>
      <c r="J149" s="55"/>
      <c r="K149" s="25"/>
      <c r="L149" s="25"/>
      <c r="M149" s="25"/>
      <c r="N149" s="45"/>
      <c r="O149" s="45"/>
      <c r="P149" s="45"/>
      <c r="Q149" s="20"/>
      <c r="S149" s="55"/>
      <c r="T149" s="25"/>
      <c r="U149" s="25"/>
      <c r="V149" s="25"/>
      <c r="W149" s="45"/>
      <c r="X149" s="45"/>
      <c r="Y149" s="45"/>
      <c r="Z149" s="20"/>
      <c r="AB149" s="55"/>
      <c r="AC149" s="25"/>
      <c r="AD149" s="25"/>
      <c r="AE149" s="25"/>
      <c r="AF149" s="45"/>
      <c r="AG149" s="45"/>
      <c r="AH149" s="45"/>
      <c r="AI149" s="20"/>
    </row>
    <row r="150" customFormat="false" ht="22.05" hidden="false" customHeight="false" outlineLevel="0" collapsed="false">
      <c r="A150" s="58" t="s">
        <v>145</v>
      </c>
      <c r="B150" s="58"/>
      <c r="C150" s="58"/>
      <c r="D150" s="58"/>
      <c r="E150" s="58"/>
      <c r="F150" s="58"/>
      <c r="G150" s="58"/>
      <c r="H150" s="58"/>
      <c r="J150" s="58" t="s">
        <v>145</v>
      </c>
      <c r="K150" s="58"/>
      <c r="L150" s="58"/>
      <c r="M150" s="58"/>
      <c r="N150" s="58"/>
      <c r="O150" s="58"/>
      <c r="P150" s="58"/>
      <c r="Q150" s="58"/>
      <c r="S150" s="58" t="s">
        <v>145</v>
      </c>
      <c r="T150" s="58"/>
      <c r="U150" s="58"/>
      <c r="V150" s="58"/>
      <c r="W150" s="58"/>
      <c r="X150" s="58"/>
      <c r="Y150" s="58"/>
      <c r="Z150" s="58"/>
      <c r="AB150" s="58" t="s">
        <v>145</v>
      </c>
      <c r="AC150" s="58"/>
      <c r="AD150" s="58"/>
      <c r="AE150" s="58"/>
      <c r="AF150" s="58"/>
      <c r="AG150" s="58"/>
      <c r="AH150" s="58"/>
      <c r="AI150" s="58"/>
    </row>
    <row r="151" customFormat="false" ht="17.35" hidden="false" customHeight="false" outlineLevel="0" collapsed="false">
      <c r="A151" s="55"/>
      <c r="B151" s="25"/>
      <c r="C151" s="25"/>
      <c r="D151" s="25"/>
      <c r="E151" s="45"/>
      <c r="F151" s="45"/>
      <c r="G151" s="45"/>
      <c r="H151" s="20"/>
      <c r="J151" s="55"/>
      <c r="K151" s="25"/>
      <c r="L151" s="25"/>
      <c r="M151" s="25"/>
      <c r="N151" s="45"/>
      <c r="O151" s="45"/>
      <c r="P151" s="45"/>
      <c r="Q151" s="20"/>
      <c r="S151" s="55"/>
      <c r="T151" s="25"/>
      <c r="U151" s="25"/>
      <c r="V151" s="25"/>
      <c r="W151" s="45"/>
      <c r="X151" s="45"/>
      <c r="Y151" s="45"/>
      <c r="Z151" s="20"/>
      <c r="AB151" s="55"/>
      <c r="AC151" s="25"/>
      <c r="AD151" s="25"/>
      <c r="AE151" s="25"/>
      <c r="AF151" s="45"/>
      <c r="AG151" s="45"/>
      <c r="AH151" s="45"/>
      <c r="AI151" s="20"/>
    </row>
    <row r="152" customFormat="false" ht="17.35" hidden="false" customHeight="false" outlineLevel="0" collapsed="false">
      <c r="A152" s="55" t="s">
        <v>146</v>
      </c>
      <c r="B152" s="25"/>
      <c r="C152" s="25"/>
      <c r="D152" s="45"/>
      <c r="E152" s="72" t="n">
        <v>2000</v>
      </c>
      <c r="F152" s="72"/>
      <c r="G152" s="72" t="n">
        <v>1000</v>
      </c>
      <c r="H152" s="72"/>
      <c r="J152" s="55" t="s">
        <v>146</v>
      </c>
      <c r="K152" s="25"/>
      <c r="L152" s="25"/>
      <c r="M152" s="45"/>
      <c r="N152" s="72" t="n">
        <v>10000</v>
      </c>
      <c r="O152" s="72"/>
      <c r="P152" s="72" t="n">
        <v>5000</v>
      </c>
      <c r="Q152" s="72"/>
      <c r="S152" s="55" t="s">
        <v>146</v>
      </c>
      <c r="T152" s="25"/>
      <c r="U152" s="25"/>
      <c r="V152" s="45"/>
      <c r="W152" s="72" t="n">
        <v>10000</v>
      </c>
      <c r="X152" s="72"/>
      <c r="Y152" s="72" t="n">
        <v>5000</v>
      </c>
      <c r="Z152" s="72"/>
      <c r="AB152" s="55" t="s">
        <v>146</v>
      </c>
      <c r="AC152" s="25"/>
      <c r="AD152" s="25"/>
      <c r="AE152" s="45"/>
      <c r="AF152" s="72" t="n">
        <v>10000</v>
      </c>
      <c r="AG152" s="72"/>
      <c r="AH152" s="72" t="n">
        <v>5000</v>
      </c>
      <c r="AI152" s="72"/>
    </row>
    <row r="153" customFormat="false" ht="17.35" hidden="false" customHeight="false" outlineLevel="0" collapsed="false">
      <c r="A153" s="55" t="s">
        <v>147</v>
      </c>
      <c r="B153" s="25"/>
      <c r="C153" s="25"/>
      <c r="D153" s="45"/>
      <c r="E153" s="38" t="n">
        <f aca="false">G153</f>
        <v>500</v>
      </c>
      <c r="F153" s="38"/>
      <c r="G153" s="72" t="n">
        <v>500</v>
      </c>
      <c r="H153" s="72"/>
      <c r="J153" s="55" t="s">
        <v>147</v>
      </c>
      <c r="K153" s="25"/>
      <c r="L153" s="25"/>
      <c r="M153" s="45"/>
      <c r="N153" s="38" t="n">
        <f aca="false">P153</f>
        <v>7000</v>
      </c>
      <c r="O153" s="38"/>
      <c r="P153" s="72" t="n">
        <v>7000</v>
      </c>
      <c r="Q153" s="72"/>
      <c r="S153" s="55" t="s">
        <v>147</v>
      </c>
      <c r="T153" s="25"/>
      <c r="U153" s="25"/>
      <c r="V153" s="45"/>
      <c r="W153" s="38" t="n">
        <f aca="false">Y153</f>
        <v>7000</v>
      </c>
      <c r="X153" s="38"/>
      <c r="Y153" s="72" t="n">
        <v>7000</v>
      </c>
      <c r="Z153" s="72"/>
      <c r="AB153" s="55" t="s">
        <v>147</v>
      </c>
      <c r="AC153" s="25"/>
      <c r="AD153" s="25"/>
      <c r="AE153" s="45"/>
      <c r="AF153" s="38" t="n">
        <f aca="false">AH153</f>
        <v>7000</v>
      </c>
      <c r="AG153" s="38"/>
      <c r="AH153" s="72" t="n">
        <v>7000</v>
      </c>
      <c r="AI153" s="72"/>
    </row>
    <row r="154" customFormat="false" ht="17.35" hidden="false" customHeight="false" outlineLevel="0" collapsed="false">
      <c r="A154" s="55" t="s">
        <v>148</v>
      </c>
      <c r="B154" s="25"/>
      <c r="C154" s="25"/>
      <c r="D154" s="45"/>
      <c r="E154" s="38" t="n">
        <f aca="false">E152-E153</f>
        <v>1500</v>
      </c>
      <c r="F154" s="38"/>
      <c r="G154" s="163" t="n">
        <f aca="false">G152-G153</f>
        <v>500</v>
      </c>
      <c r="H154" s="163"/>
      <c r="J154" s="55" t="s">
        <v>148</v>
      </c>
      <c r="K154" s="25"/>
      <c r="L154" s="25"/>
      <c r="M154" s="45"/>
      <c r="N154" s="38" t="n">
        <f aca="false">N152-N153</f>
        <v>3000</v>
      </c>
      <c r="O154" s="38"/>
      <c r="P154" s="163" t="n">
        <f aca="false">P152-P153</f>
        <v>-2000</v>
      </c>
      <c r="Q154" s="163"/>
      <c r="S154" s="55" t="s">
        <v>148</v>
      </c>
      <c r="T154" s="25"/>
      <c r="U154" s="25"/>
      <c r="V154" s="45"/>
      <c r="W154" s="38" t="n">
        <f aca="false">W152-W153</f>
        <v>3000</v>
      </c>
      <c r="X154" s="38"/>
      <c r="Y154" s="163" t="n">
        <f aca="false">Y152-Y153</f>
        <v>-2000</v>
      </c>
      <c r="Z154" s="163"/>
      <c r="AB154" s="55" t="s">
        <v>148</v>
      </c>
      <c r="AC154" s="25"/>
      <c r="AD154" s="25"/>
      <c r="AE154" s="45"/>
      <c r="AF154" s="38" t="n">
        <f aca="false">AF152-AF153</f>
        <v>3000</v>
      </c>
      <c r="AG154" s="38"/>
      <c r="AH154" s="163" t="n">
        <f aca="false">AH152-AH153</f>
        <v>-2000</v>
      </c>
      <c r="AI154" s="163"/>
    </row>
    <row r="155" customFormat="false" ht="17.35" hidden="false" customHeight="false" outlineLevel="0" collapsed="false">
      <c r="A155" s="55" t="s">
        <v>149</v>
      </c>
      <c r="B155" s="25"/>
      <c r="C155" s="25"/>
      <c r="D155" s="45"/>
      <c r="E155" s="38" t="n">
        <f aca="false">E154-G154</f>
        <v>1000</v>
      </c>
      <c r="F155" s="38"/>
      <c r="G155" s="45"/>
      <c r="H155" s="20"/>
      <c r="J155" s="55" t="s">
        <v>149</v>
      </c>
      <c r="K155" s="25"/>
      <c r="L155" s="25"/>
      <c r="M155" s="45"/>
      <c r="N155" s="38" t="n">
        <f aca="false">N154-P154</f>
        <v>5000</v>
      </c>
      <c r="O155" s="38"/>
      <c r="P155" s="45"/>
      <c r="Q155" s="20"/>
      <c r="S155" s="55" t="s">
        <v>149</v>
      </c>
      <c r="T155" s="25"/>
      <c r="U155" s="25"/>
      <c r="V155" s="45"/>
      <c r="W155" s="38" t="n">
        <f aca="false">W154-Y154</f>
        <v>5000</v>
      </c>
      <c r="X155" s="38"/>
      <c r="Y155" s="45"/>
      <c r="Z155" s="20"/>
      <c r="AB155" s="55" t="s">
        <v>149</v>
      </c>
      <c r="AC155" s="25"/>
      <c r="AD155" s="25"/>
      <c r="AE155" s="45"/>
      <c r="AF155" s="38" t="n">
        <f aca="false">AF154-AH154</f>
        <v>5000</v>
      </c>
      <c r="AG155" s="38"/>
      <c r="AH155" s="45"/>
      <c r="AI155" s="20"/>
    </row>
    <row r="156" customFormat="false" ht="17.35" hidden="false" customHeight="false" outlineLevel="0" collapsed="false">
      <c r="A156" s="55"/>
      <c r="B156" s="25"/>
      <c r="C156" s="25"/>
      <c r="D156" s="45"/>
      <c r="E156" s="25"/>
      <c r="F156" s="45"/>
      <c r="G156" s="45"/>
      <c r="H156" s="20"/>
      <c r="J156" s="55"/>
      <c r="K156" s="25"/>
      <c r="L156" s="25"/>
      <c r="M156" s="45"/>
      <c r="N156" s="25"/>
      <c r="O156" s="45"/>
      <c r="P156" s="45"/>
      <c r="Q156" s="20"/>
      <c r="S156" s="55"/>
      <c r="T156" s="25"/>
      <c r="U156" s="25"/>
      <c r="V156" s="45"/>
      <c r="W156" s="25"/>
      <c r="X156" s="45"/>
      <c r="Y156" s="45"/>
      <c r="Z156" s="20"/>
      <c r="AB156" s="55"/>
      <c r="AC156" s="25"/>
      <c r="AD156" s="25"/>
      <c r="AE156" s="45"/>
      <c r="AF156" s="25"/>
      <c r="AG156" s="45"/>
      <c r="AH156" s="45"/>
      <c r="AI156" s="20"/>
    </row>
    <row r="157" customFormat="false" ht="17.35" hidden="false" customHeight="false" outlineLevel="0" collapsed="false">
      <c r="A157" s="48" t="s">
        <v>150</v>
      </c>
      <c r="B157" s="49"/>
      <c r="C157" s="49"/>
      <c r="D157" s="93"/>
      <c r="E157" s="49"/>
      <c r="F157" s="93"/>
      <c r="G157" s="164" t="n">
        <f aca="false">A114</f>
        <v>2000</v>
      </c>
      <c r="H157" s="164"/>
      <c r="J157" s="48" t="s">
        <v>150</v>
      </c>
      <c r="K157" s="49"/>
      <c r="L157" s="49"/>
      <c r="M157" s="93"/>
      <c r="N157" s="49"/>
      <c r="O157" s="93"/>
      <c r="P157" s="164" t="n">
        <f aca="false">J114</f>
        <v>1000</v>
      </c>
      <c r="Q157" s="164"/>
      <c r="S157" s="48" t="s">
        <v>150</v>
      </c>
      <c r="T157" s="49"/>
      <c r="U157" s="49"/>
      <c r="V157" s="93"/>
      <c r="W157" s="49"/>
      <c r="X157" s="93"/>
      <c r="Y157" s="164" t="n">
        <f aca="false">S114</f>
        <v>1000</v>
      </c>
      <c r="Z157" s="164"/>
      <c r="AB157" s="48" t="s">
        <v>150</v>
      </c>
      <c r="AC157" s="49"/>
      <c r="AD157" s="49"/>
      <c r="AE157" s="93"/>
      <c r="AF157" s="49"/>
      <c r="AG157" s="93"/>
      <c r="AH157" s="164" t="n">
        <f aca="false">AB114</f>
        <v>1000</v>
      </c>
      <c r="AI157" s="164"/>
    </row>
    <row r="158" customFormat="false" ht="19.7" hidden="false" customHeight="false" outlineLevel="0" collapsed="false">
      <c r="A158" s="165" t="s">
        <v>151</v>
      </c>
      <c r="B158" s="25"/>
      <c r="C158" s="25"/>
      <c r="D158" s="94"/>
      <c r="E158" s="25"/>
      <c r="F158" s="94"/>
      <c r="G158" s="166" t="n">
        <f aca="false">H147-G154-G157</f>
        <v>28499.996</v>
      </c>
      <c r="H158" s="166"/>
      <c r="J158" s="165" t="s">
        <v>151</v>
      </c>
      <c r="K158" s="25"/>
      <c r="L158" s="25"/>
      <c r="M158" s="94"/>
      <c r="N158" s="25"/>
      <c r="O158" s="94"/>
      <c r="P158" s="166" t="e">
        <f aca="false">Q147-P154-P157</f>
        <v>#VALUE!</v>
      </c>
      <c r="Q158" s="166"/>
      <c r="S158" s="165" t="s">
        <v>151</v>
      </c>
      <c r="T158" s="25"/>
      <c r="U158" s="25"/>
      <c r="V158" s="94"/>
      <c r="W158" s="25"/>
      <c r="X158" s="94"/>
      <c r="Y158" s="166" t="e">
        <f aca="false">Z147-Y154-Y157</f>
        <v>#VALUE!</v>
      </c>
      <c r="Z158" s="166"/>
      <c r="AB158" s="165" t="s">
        <v>151</v>
      </c>
      <c r="AC158" s="25"/>
      <c r="AD158" s="25"/>
      <c r="AE158" s="94"/>
      <c r="AF158" s="25"/>
      <c r="AG158" s="94"/>
      <c r="AH158" s="166" t="e">
        <f aca="false">AI147-AH154-AH157</f>
        <v>#VALUE!</v>
      </c>
      <c r="AI158" s="166"/>
    </row>
    <row r="159" customFormat="false" ht="17.35" hidden="false" customHeight="false" outlineLevel="0" collapsed="false">
      <c r="A159" s="74" t="s">
        <v>152</v>
      </c>
      <c r="B159" s="75"/>
      <c r="C159" s="75"/>
      <c r="D159" s="116"/>
      <c r="E159" s="75"/>
      <c r="F159" s="116"/>
      <c r="G159" s="167" t="str">
        <f aca="false">B114</f>
        <v>199.99</v>
      </c>
      <c r="H159" s="167"/>
      <c r="J159" s="74" t="s">
        <v>152</v>
      </c>
      <c r="K159" s="75"/>
      <c r="L159" s="75"/>
      <c r="M159" s="116"/>
      <c r="N159" s="75"/>
      <c r="O159" s="116"/>
      <c r="P159" s="167" t="n">
        <f aca="false">K114</f>
        <v>239.99</v>
      </c>
      <c r="Q159" s="167"/>
      <c r="S159" s="74" t="s">
        <v>152</v>
      </c>
      <c r="T159" s="75"/>
      <c r="U159" s="75"/>
      <c r="V159" s="116"/>
      <c r="W159" s="75"/>
      <c r="X159" s="116"/>
      <c r="Y159" s="167" t="n">
        <f aca="false">T114</f>
        <v>199.99</v>
      </c>
      <c r="Z159" s="167"/>
      <c r="AB159" s="74" t="s">
        <v>152</v>
      </c>
      <c r="AC159" s="75"/>
      <c r="AD159" s="75"/>
      <c r="AE159" s="116"/>
      <c r="AF159" s="75"/>
      <c r="AG159" s="116"/>
      <c r="AH159" s="167" t="n">
        <f aca="false">AC114</f>
        <v>239.99</v>
      </c>
      <c r="AI159" s="167"/>
    </row>
    <row r="160" customFormat="false" ht="17.35" hidden="false" customHeight="false" outlineLevel="0" collapsed="false">
      <c r="A160" s="55"/>
      <c r="B160" s="25"/>
      <c r="C160" s="25"/>
      <c r="D160" s="25"/>
      <c r="E160" s="45"/>
      <c r="F160" s="45"/>
      <c r="G160" s="45"/>
      <c r="H160" s="20"/>
      <c r="J160" s="55"/>
      <c r="K160" s="25"/>
      <c r="L160" s="25"/>
      <c r="M160" s="25"/>
      <c r="N160" s="45"/>
      <c r="O160" s="45"/>
      <c r="P160" s="45"/>
      <c r="Q160" s="20"/>
      <c r="S160" s="55"/>
      <c r="T160" s="25"/>
      <c r="U160" s="25"/>
      <c r="V160" s="25"/>
      <c r="W160" s="45"/>
      <c r="X160" s="45"/>
      <c r="Y160" s="45"/>
      <c r="Z160" s="20"/>
      <c r="AB160" s="55"/>
      <c r="AC160" s="25"/>
      <c r="AD160" s="25"/>
      <c r="AE160" s="25"/>
      <c r="AF160" s="45"/>
      <c r="AG160" s="45"/>
      <c r="AH160" s="45"/>
      <c r="AI160" s="20"/>
    </row>
    <row r="161" customFormat="false" ht="17.35" hidden="false" customHeight="false" outlineLevel="0" collapsed="false">
      <c r="A161" s="55"/>
      <c r="B161" s="25"/>
      <c r="C161" s="25"/>
      <c r="D161" s="25"/>
      <c r="E161" s="45"/>
      <c r="F161" s="45"/>
      <c r="G161" s="45"/>
      <c r="H161" s="20"/>
      <c r="J161" s="55"/>
      <c r="K161" s="25"/>
      <c r="L161" s="25"/>
      <c r="M161" s="25"/>
      <c r="N161" s="45"/>
      <c r="O161" s="45"/>
      <c r="P161" s="45"/>
      <c r="Q161" s="20"/>
      <c r="S161" s="55"/>
      <c r="T161" s="25"/>
      <c r="U161" s="25"/>
      <c r="V161" s="25"/>
      <c r="W161" s="45"/>
      <c r="X161" s="45"/>
      <c r="Y161" s="45"/>
      <c r="Z161" s="20"/>
      <c r="AB161" s="55"/>
      <c r="AC161" s="25"/>
      <c r="AD161" s="25"/>
      <c r="AE161" s="25"/>
      <c r="AF161" s="45"/>
      <c r="AG161" s="45"/>
      <c r="AH161" s="45"/>
      <c r="AI161" s="20"/>
    </row>
    <row r="162" customFormat="false" ht="22.05" hidden="false" customHeight="false" outlineLevel="0" collapsed="false">
      <c r="A162" s="58" t="s">
        <v>153</v>
      </c>
      <c r="B162" s="58"/>
      <c r="C162" s="58"/>
      <c r="D162" s="58"/>
      <c r="E162" s="58"/>
      <c r="F162" s="58"/>
      <c r="G162" s="58"/>
      <c r="H162" s="58"/>
      <c r="J162" s="58" t="s">
        <v>153</v>
      </c>
      <c r="K162" s="58"/>
      <c r="L162" s="58"/>
      <c r="M162" s="58"/>
      <c r="N162" s="58"/>
      <c r="O162" s="58"/>
      <c r="P162" s="58"/>
      <c r="Q162" s="58"/>
      <c r="S162" s="58" t="s">
        <v>153</v>
      </c>
      <c r="T162" s="58"/>
      <c r="U162" s="58"/>
      <c r="V162" s="58"/>
      <c r="W162" s="58"/>
      <c r="X162" s="58"/>
      <c r="Y162" s="58"/>
      <c r="Z162" s="58"/>
      <c r="AB162" s="58" t="s">
        <v>153</v>
      </c>
      <c r="AC162" s="58"/>
      <c r="AD162" s="58"/>
      <c r="AE162" s="58"/>
      <c r="AF162" s="58"/>
      <c r="AG162" s="58"/>
      <c r="AH162" s="58"/>
      <c r="AI162" s="58"/>
    </row>
    <row r="163" customFormat="false" ht="17.35" hidden="false" customHeight="false" outlineLevel="0" collapsed="false">
      <c r="A163" s="55"/>
      <c r="B163" s="25"/>
      <c r="C163" s="25"/>
      <c r="D163" s="25"/>
      <c r="E163" s="45"/>
      <c r="F163" s="45"/>
      <c r="G163" s="45"/>
      <c r="H163" s="20"/>
      <c r="J163" s="55"/>
      <c r="K163" s="25"/>
      <c r="L163" s="25"/>
      <c r="M163" s="25"/>
      <c r="N163" s="45"/>
      <c r="O163" s="45"/>
      <c r="P163" s="45"/>
      <c r="Q163" s="20"/>
      <c r="S163" s="55"/>
      <c r="T163" s="25"/>
      <c r="U163" s="25"/>
      <c r="V163" s="25"/>
      <c r="W163" s="45"/>
      <c r="X163" s="45"/>
      <c r="Y163" s="45"/>
      <c r="Z163" s="20"/>
      <c r="AB163" s="55"/>
      <c r="AC163" s="25"/>
      <c r="AD163" s="25"/>
      <c r="AE163" s="25"/>
      <c r="AF163" s="45"/>
      <c r="AG163" s="45"/>
      <c r="AH163" s="45"/>
      <c r="AI163" s="20"/>
    </row>
    <row r="164" customFormat="false" ht="17.35" hidden="false" customHeight="false" outlineLevel="0" collapsed="false">
      <c r="A164" s="55" t="s">
        <v>29</v>
      </c>
      <c r="B164" s="168" t="n">
        <v>0</v>
      </c>
      <c r="C164" s="168"/>
      <c r="D164" s="25"/>
      <c r="E164" s="45"/>
      <c r="F164" s="45"/>
      <c r="G164" s="45"/>
      <c r="H164" s="20"/>
      <c r="J164" s="55" t="s">
        <v>29</v>
      </c>
      <c r="K164" s="168" t="n">
        <v>0</v>
      </c>
      <c r="L164" s="168"/>
      <c r="M164" s="25"/>
      <c r="N164" s="45"/>
      <c r="O164" s="45"/>
      <c r="P164" s="45"/>
      <c r="Q164" s="20"/>
      <c r="S164" s="55" t="s">
        <v>29</v>
      </c>
      <c r="T164" s="168" t="n">
        <v>0</v>
      </c>
      <c r="U164" s="168"/>
      <c r="V164" s="25"/>
      <c r="W164" s="45"/>
      <c r="X164" s="45"/>
      <c r="Y164" s="45"/>
      <c r="Z164" s="20"/>
      <c r="AB164" s="55" t="s">
        <v>29</v>
      </c>
      <c r="AC164" s="168" t="n">
        <v>0</v>
      </c>
      <c r="AD164" s="168"/>
      <c r="AE164" s="25"/>
      <c r="AF164" s="45"/>
      <c r="AG164" s="45"/>
      <c r="AH164" s="45"/>
      <c r="AI164" s="20"/>
    </row>
    <row r="165" customFormat="false" ht="17.35" hidden="false" customHeight="false" outlineLevel="0" collapsed="false">
      <c r="A165" s="55"/>
      <c r="B165" s="25"/>
      <c r="C165" s="25"/>
      <c r="D165" s="25"/>
      <c r="E165" s="45"/>
      <c r="F165" s="45"/>
      <c r="G165" s="45"/>
      <c r="H165" s="20"/>
      <c r="J165" s="55"/>
      <c r="K165" s="25"/>
      <c r="L165" s="25"/>
      <c r="M165" s="25"/>
      <c r="N165" s="45"/>
      <c r="O165" s="45"/>
      <c r="P165" s="45"/>
      <c r="Q165" s="20"/>
      <c r="S165" s="55"/>
      <c r="T165" s="25"/>
      <c r="U165" s="25"/>
      <c r="V165" s="25"/>
      <c r="W165" s="45"/>
      <c r="X165" s="45"/>
      <c r="Y165" s="45"/>
      <c r="Z165" s="20"/>
      <c r="AB165" s="55"/>
      <c r="AC165" s="25"/>
      <c r="AD165" s="25"/>
      <c r="AE165" s="25"/>
      <c r="AF165" s="45"/>
      <c r="AG165" s="45"/>
      <c r="AH165" s="45"/>
      <c r="AI165" s="20"/>
    </row>
    <row r="166" customFormat="false" ht="17.35" hidden="false" customHeight="false" outlineLevel="0" collapsed="false">
      <c r="A166" s="169" t="s">
        <v>154</v>
      </c>
      <c r="B166" s="170" t="s">
        <v>155</v>
      </c>
      <c r="C166" s="170"/>
      <c r="D166" s="170"/>
      <c r="E166" s="170" t="s">
        <v>156</v>
      </c>
      <c r="F166" s="45"/>
      <c r="G166" s="45"/>
      <c r="H166" s="20"/>
      <c r="J166" s="169" t="s">
        <v>154</v>
      </c>
      <c r="K166" s="170" t="s">
        <v>155</v>
      </c>
      <c r="L166" s="170"/>
      <c r="M166" s="170"/>
      <c r="N166" s="170" t="s">
        <v>156</v>
      </c>
      <c r="O166" s="45"/>
      <c r="P166" s="45"/>
      <c r="Q166" s="20"/>
      <c r="S166" s="169" t="s">
        <v>154</v>
      </c>
      <c r="T166" s="170" t="s">
        <v>155</v>
      </c>
      <c r="U166" s="170"/>
      <c r="V166" s="170"/>
      <c r="W166" s="170" t="s">
        <v>156</v>
      </c>
      <c r="X166" s="45"/>
      <c r="Y166" s="45"/>
      <c r="Z166" s="20"/>
      <c r="AB166" s="169" t="s">
        <v>154</v>
      </c>
      <c r="AC166" s="170" t="s">
        <v>155</v>
      </c>
      <c r="AD166" s="170"/>
      <c r="AE166" s="170"/>
      <c r="AF166" s="170" t="s">
        <v>156</v>
      </c>
      <c r="AG166" s="45"/>
      <c r="AH166" s="45"/>
      <c r="AI166" s="20"/>
    </row>
    <row r="167" customFormat="false" ht="17.35" hidden="false" customHeight="false" outlineLevel="0" collapsed="false">
      <c r="A167" s="171" t="n">
        <f aca="false">B95</f>
        <v>2504.93972800316</v>
      </c>
      <c r="B167" s="172" t="n">
        <f aca="false">B94</f>
        <v>29.7916666666667</v>
      </c>
      <c r="C167" s="170"/>
      <c r="D167" s="170"/>
      <c r="E167" s="172" t="n">
        <f aca="false">B96</f>
        <v>2534.73139466983</v>
      </c>
      <c r="F167" s="45"/>
      <c r="G167" s="45"/>
      <c r="H167" s="20"/>
      <c r="J167" s="173" t="e">
        <f aca="false">K95</f>
        <v>#VALUE!</v>
      </c>
      <c r="K167" s="172" t="n">
        <f aca="false">K94</f>
        <v>35.75</v>
      </c>
      <c r="L167" s="170"/>
      <c r="M167" s="170"/>
      <c r="N167" s="172" t="e">
        <f aca="false">K96</f>
        <v>#VALUE!</v>
      </c>
      <c r="O167" s="45"/>
      <c r="P167" s="45"/>
      <c r="Q167" s="20"/>
      <c r="S167" s="173" t="e">
        <f aca="false">T95</f>
        <v>#VALUE!</v>
      </c>
      <c r="T167" s="172" t="n">
        <f aca="false">T94</f>
        <v>30</v>
      </c>
      <c r="U167" s="170"/>
      <c r="V167" s="170"/>
      <c r="W167" s="172" t="e">
        <f aca="false">T96</f>
        <v>#VALUE!</v>
      </c>
      <c r="X167" s="45"/>
      <c r="Y167" s="45"/>
      <c r="Z167" s="20"/>
      <c r="AB167" s="173" t="e">
        <f aca="false">AC95</f>
        <v>#VALUE!</v>
      </c>
      <c r="AC167" s="172" t="n">
        <f aca="false">AC94</f>
        <v>36</v>
      </c>
      <c r="AD167" s="170"/>
      <c r="AE167" s="170"/>
      <c r="AF167" s="172" t="e">
        <f aca="false">AC96</f>
        <v>#VALUE!</v>
      </c>
      <c r="AG167" s="45"/>
      <c r="AH167" s="45"/>
      <c r="AI167" s="20"/>
    </row>
    <row r="168" customFormat="false" ht="17.35" hidden="false" customHeight="false" outlineLevel="0" collapsed="false">
      <c r="A168" s="55"/>
      <c r="B168" s="25"/>
      <c r="C168" s="25"/>
      <c r="D168" s="25"/>
      <c r="E168" s="45"/>
      <c r="F168" s="45"/>
      <c r="G168" s="45"/>
      <c r="H168" s="20"/>
      <c r="J168" s="55"/>
      <c r="K168" s="25"/>
      <c r="L168" s="25"/>
      <c r="M168" s="25"/>
      <c r="N168" s="45"/>
      <c r="O168" s="45"/>
      <c r="P168" s="45"/>
      <c r="Q168" s="20"/>
      <c r="S168" s="55"/>
      <c r="T168" s="25"/>
      <c r="U168" s="25"/>
      <c r="V168" s="25"/>
      <c r="W168" s="45"/>
      <c r="X168" s="45"/>
      <c r="Y168" s="45"/>
      <c r="Z168" s="20"/>
      <c r="AB168" s="55"/>
      <c r="AC168" s="25"/>
      <c r="AD168" s="25"/>
      <c r="AE168" s="25"/>
      <c r="AF168" s="45"/>
      <c r="AG168" s="45"/>
      <c r="AH168" s="45"/>
      <c r="AI168" s="20"/>
    </row>
    <row r="169" customFormat="false" ht="17.35" hidden="false" customHeight="false" outlineLevel="0" collapsed="false">
      <c r="A169" s="55" t="s">
        <v>28</v>
      </c>
      <c r="B169" s="25" t="s">
        <v>33</v>
      </c>
      <c r="C169" s="25"/>
      <c r="D169" s="45"/>
      <c r="E169" s="25" t="s">
        <v>157</v>
      </c>
      <c r="F169" s="45"/>
      <c r="G169" s="45"/>
      <c r="H169" s="20"/>
      <c r="J169" s="55" t="s">
        <v>28</v>
      </c>
      <c r="K169" s="25" t="s">
        <v>33</v>
      </c>
      <c r="L169" s="25"/>
      <c r="M169" s="45"/>
      <c r="N169" s="25" t="s">
        <v>157</v>
      </c>
      <c r="O169" s="45"/>
      <c r="P169" s="45"/>
      <c r="Q169" s="20"/>
      <c r="S169" s="55" t="s">
        <v>28</v>
      </c>
      <c r="T169" s="25" t="s">
        <v>33</v>
      </c>
      <c r="U169" s="25"/>
      <c r="V169" s="45"/>
      <c r="W169" s="25" t="s">
        <v>157</v>
      </c>
      <c r="X169" s="45"/>
      <c r="Y169" s="45"/>
      <c r="Z169" s="20"/>
      <c r="AB169" s="55" t="s">
        <v>28</v>
      </c>
      <c r="AC169" s="25" t="s">
        <v>33</v>
      </c>
      <c r="AD169" s="25"/>
      <c r="AE169" s="45"/>
      <c r="AF169" s="25" t="s">
        <v>157</v>
      </c>
      <c r="AG169" s="45"/>
      <c r="AH169" s="45"/>
      <c r="AI169" s="20"/>
    </row>
    <row r="170" customFormat="false" ht="17.35" hidden="false" customHeight="false" outlineLevel="0" collapsed="false">
      <c r="A170" s="63" t="n">
        <f aca="false">K29</f>
        <v>12</v>
      </c>
      <c r="B170" s="174" t="n">
        <f aca="false">K30</f>
        <v>10000</v>
      </c>
      <c r="C170" s="175"/>
      <c r="D170" s="45"/>
      <c r="E170" s="73" t="n">
        <f aca="false">IF(A111="YES", A40, 0)</f>
        <v>0</v>
      </c>
      <c r="F170" s="45"/>
      <c r="G170" s="45"/>
      <c r="H170" s="20"/>
      <c r="J170" s="63" t="n">
        <f aca="false">K29</f>
        <v>12</v>
      </c>
      <c r="K170" s="176" t="n">
        <f aca="false">K30</f>
        <v>10000</v>
      </c>
      <c r="L170" s="175"/>
      <c r="M170" s="45"/>
      <c r="N170" s="73" t="n">
        <f aca="false">IF(A111="YES", A40, 0)</f>
        <v>0</v>
      </c>
      <c r="O170" s="45"/>
      <c r="P170" s="45"/>
      <c r="Q170" s="20"/>
      <c r="S170" s="63" t="n">
        <f aca="false">K29</f>
        <v>12</v>
      </c>
      <c r="T170" s="176" t="n">
        <f aca="false">K30</f>
        <v>10000</v>
      </c>
      <c r="U170" s="175"/>
      <c r="V170" s="45"/>
      <c r="W170" s="73" t="n">
        <f aca="false">IF(A111="YES", A40, 0)</f>
        <v>0</v>
      </c>
      <c r="X170" s="45"/>
      <c r="Y170" s="45"/>
      <c r="Z170" s="20"/>
      <c r="AB170" s="63" t="n">
        <f aca="false">K29</f>
        <v>12</v>
      </c>
      <c r="AC170" s="176" t="n">
        <f aca="false">K30</f>
        <v>10000</v>
      </c>
      <c r="AD170" s="175"/>
      <c r="AE170" s="45"/>
      <c r="AF170" s="73" t="n">
        <f aca="false">IF(A111="YES", A40, 0)</f>
        <v>0</v>
      </c>
      <c r="AG170" s="45"/>
      <c r="AH170" s="45"/>
      <c r="AI170" s="20"/>
    </row>
    <row r="171" customFormat="false" ht="17.35" hidden="false" customHeight="false" outlineLevel="0" collapsed="false">
      <c r="A171" s="55"/>
      <c r="B171" s="25"/>
      <c r="C171" s="25"/>
      <c r="D171" s="45"/>
      <c r="E171" s="25"/>
      <c r="F171" s="45"/>
      <c r="G171" s="45"/>
      <c r="H171" s="20"/>
      <c r="J171" s="55"/>
      <c r="K171" s="25"/>
      <c r="L171" s="25"/>
      <c r="M171" s="45"/>
      <c r="N171" s="25"/>
      <c r="O171" s="45"/>
      <c r="P171" s="45"/>
      <c r="Q171" s="20"/>
      <c r="S171" s="55"/>
      <c r="T171" s="25"/>
      <c r="U171" s="25"/>
      <c r="V171" s="45"/>
      <c r="W171" s="25"/>
      <c r="X171" s="45"/>
      <c r="Y171" s="45"/>
      <c r="Z171" s="20"/>
      <c r="AB171" s="55"/>
      <c r="AC171" s="25"/>
      <c r="AD171" s="25"/>
      <c r="AE171" s="45"/>
      <c r="AF171" s="25"/>
      <c r="AG171" s="45"/>
      <c r="AH171" s="45"/>
      <c r="AI171" s="20"/>
    </row>
    <row r="172" customFormat="false" ht="17.35" hidden="false" customHeight="false" outlineLevel="0" collapsed="false">
      <c r="A172" s="55" t="s">
        <v>158</v>
      </c>
      <c r="B172" s="25" t="s">
        <v>159</v>
      </c>
      <c r="C172" s="25"/>
      <c r="D172" s="45"/>
      <c r="E172" s="25" t="s">
        <v>160</v>
      </c>
      <c r="F172" s="45"/>
      <c r="G172" s="45"/>
      <c r="H172" s="20"/>
      <c r="J172" s="55" t="s">
        <v>158</v>
      </c>
      <c r="K172" s="25" t="s">
        <v>159</v>
      </c>
      <c r="L172" s="25"/>
      <c r="M172" s="45"/>
      <c r="N172" s="25" t="s">
        <v>160</v>
      </c>
      <c r="O172" s="45"/>
      <c r="P172" s="45"/>
      <c r="Q172" s="20"/>
      <c r="S172" s="55" t="s">
        <v>158</v>
      </c>
      <c r="T172" s="25" t="s">
        <v>159</v>
      </c>
      <c r="U172" s="25"/>
      <c r="V172" s="45"/>
      <c r="W172" s="25" t="s">
        <v>160</v>
      </c>
      <c r="X172" s="45"/>
      <c r="Y172" s="45"/>
      <c r="Z172" s="20"/>
      <c r="AB172" s="55" t="s">
        <v>158</v>
      </c>
      <c r="AC172" s="25" t="s">
        <v>159</v>
      </c>
      <c r="AD172" s="25"/>
      <c r="AE172" s="45"/>
      <c r="AF172" s="25" t="s">
        <v>160</v>
      </c>
      <c r="AG172" s="45"/>
      <c r="AH172" s="45"/>
      <c r="AI172" s="20"/>
    </row>
    <row r="173" customFormat="false" ht="17.35" hidden="false" customHeight="false" outlineLevel="0" collapsed="false">
      <c r="A173" s="69" t="n">
        <f aca="false">H141-H137-H139-H140</f>
        <v>25833.33</v>
      </c>
      <c r="B173" s="37" t="n">
        <f aca="false">H137</f>
        <v>5166.666</v>
      </c>
      <c r="C173" s="67"/>
      <c r="D173" s="45"/>
      <c r="E173" s="73" t="n">
        <f aca="false">H139+H140</f>
        <v>0</v>
      </c>
      <c r="F173" s="45"/>
      <c r="G173" s="45"/>
      <c r="H173" s="20"/>
      <c r="J173" s="69" t="e">
        <f aca="false">Q141-Q137-Q139-Q140</f>
        <v>#VALUE!</v>
      </c>
      <c r="K173" s="37" t="e">
        <f aca="false">Q137</f>
        <v>#VALUE!</v>
      </c>
      <c r="L173" s="67"/>
      <c r="M173" s="45"/>
      <c r="N173" s="73" t="n">
        <f aca="false">Q139+Q140</f>
        <v>55</v>
      </c>
      <c r="O173" s="45"/>
      <c r="P173" s="45"/>
      <c r="Q173" s="20"/>
      <c r="S173" s="69" t="e">
        <f aca="false">Z141-Z137-Z139-Z140</f>
        <v>#VALUE!</v>
      </c>
      <c r="T173" s="37" t="e">
        <f aca="false">Z137</f>
        <v>#VALUE!</v>
      </c>
      <c r="U173" s="67"/>
      <c r="V173" s="45"/>
      <c r="W173" s="73" t="n">
        <f aca="false">Z139+Z140</f>
        <v>55</v>
      </c>
      <c r="X173" s="45"/>
      <c r="Y173" s="45"/>
      <c r="Z173" s="20"/>
      <c r="AB173" s="69" t="e">
        <f aca="false">AI141-AI137-AI139-AI140</f>
        <v>#VALUE!</v>
      </c>
      <c r="AC173" s="37" t="e">
        <f aca="false">AI137</f>
        <v>#VALUE!</v>
      </c>
      <c r="AD173" s="67"/>
      <c r="AE173" s="45"/>
      <c r="AF173" s="73" t="n">
        <f aca="false">AI139+AI140</f>
        <v>55</v>
      </c>
      <c r="AG173" s="45"/>
      <c r="AH173" s="45"/>
      <c r="AI173" s="20"/>
    </row>
    <row r="174" customFormat="false" ht="17.35" hidden="false" customHeight="false" outlineLevel="0" collapsed="false">
      <c r="A174" s="55"/>
      <c r="B174" s="25"/>
      <c r="C174" s="25"/>
      <c r="D174" s="45"/>
      <c r="E174" s="25"/>
      <c r="F174" s="45"/>
      <c r="G174" s="45"/>
      <c r="H174" s="20"/>
      <c r="J174" s="55"/>
      <c r="K174" s="25"/>
      <c r="L174" s="25"/>
      <c r="M174" s="45"/>
      <c r="N174" s="25"/>
      <c r="O174" s="45"/>
      <c r="P174" s="45"/>
      <c r="Q174" s="20"/>
      <c r="S174" s="55"/>
      <c r="T174" s="25"/>
      <c r="U174" s="25"/>
      <c r="V174" s="45"/>
      <c r="W174" s="25"/>
      <c r="X174" s="45"/>
      <c r="Y174" s="45"/>
      <c r="Z174" s="20"/>
      <c r="AB174" s="55"/>
      <c r="AC174" s="25"/>
      <c r="AD174" s="25"/>
      <c r="AE174" s="45"/>
      <c r="AF174" s="25"/>
      <c r="AG174" s="45"/>
      <c r="AH174" s="45"/>
      <c r="AI174" s="20"/>
    </row>
    <row r="175" customFormat="false" ht="17.35" hidden="false" customHeight="false" outlineLevel="0" collapsed="false">
      <c r="A175" s="55" t="s">
        <v>161</v>
      </c>
      <c r="B175" s="25" t="s">
        <v>108</v>
      </c>
      <c r="C175" s="25"/>
      <c r="D175" s="45"/>
      <c r="E175" s="25" t="s">
        <v>109</v>
      </c>
      <c r="F175" s="45"/>
      <c r="G175" s="45"/>
      <c r="H175" s="20"/>
      <c r="J175" s="55" t="s">
        <v>161</v>
      </c>
      <c r="K175" s="25" t="s">
        <v>108</v>
      </c>
      <c r="L175" s="25"/>
      <c r="M175" s="45"/>
      <c r="N175" s="25" t="s">
        <v>109</v>
      </c>
      <c r="O175" s="45"/>
      <c r="P175" s="45"/>
      <c r="Q175" s="20"/>
      <c r="S175" s="55" t="s">
        <v>161</v>
      </c>
      <c r="T175" s="25" t="s">
        <v>108</v>
      </c>
      <c r="U175" s="25"/>
      <c r="V175" s="45"/>
      <c r="W175" s="25" t="s">
        <v>109</v>
      </c>
      <c r="X175" s="45"/>
      <c r="Y175" s="45"/>
      <c r="Z175" s="20"/>
      <c r="AB175" s="55" t="s">
        <v>161</v>
      </c>
      <c r="AC175" s="25" t="s">
        <v>108</v>
      </c>
      <c r="AD175" s="25"/>
      <c r="AE175" s="45"/>
      <c r="AF175" s="25" t="s">
        <v>109</v>
      </c>
      <c r="AG175" s="45"/>
      <c r="AH175" s="45"/>
      <c r="AI175" s="20"/>
    </row>
    <row r="176" customFormat="false" ht="17.35" hidden="false" customHeight="false" outlineLevel="0" collapsed="false">
      <c r="A176" s="69" t="n">
        <f aca="false">H147</f>
        <v>30999.996</v>
      </c>
      <c r="B176" s="37" t="n">
        <f aca="false">B111</f>
        <v>1000</v>
      </c>
      <c r="C176" s="37"/>
      <c r="D176" s="45"/>
      <c r="E176" s="37" t="n">
        <f aca="false">E111</f>
        <v>1000</v>
      </c>
      <c r="F176" s="45"/>
      <c r="G176" s="45"/>
      <c r="H176" s="177"/>
      <c r="J176" s="69" t="e">
        <f aca="false">Q141</f>
        <v>#VALUE!</v>
      </c>
      <c r="K176" s="37" t="n">
        <f aca="false">K111</f>
        <v>1000</v>
      </c>
      <c r="L176" s="37"/>
      <c r="M176" s="45"/>
      <c r="N176" s="37" t="n">
        <f aca="false">N111</f>
        <v>0</v>
      </c>
      <c r="O176" s="45"/>
      <c r="P176" s="45"/>
      <c r="Q176" s="177"/>
      <c r="S176" s="69" t="e">
        <f aca="false">Z141</f>
        <v>#VALUE!</v>
      </c>
      <c r="T176" s="37" t="n">
        <f aca="false">T111</f>
        <v>1000</v>
      </c>
      <c r="U176" s="37"/>
      <c r="V176" s="45"/>
      <c r="W176" s="37" t="n">
        <f aca="false">W111</f>
        <v>0</v>
      </c>
      <c r="X176" s="45"/>
      <c r="Y176" s="45"/>
      <c r="Z176" s="177"/>
      <c r="AB176" s="69" t="e">
        <f aca="false">AI141</f>
        <v>#VALUE!</v>
      </c>
      <c r="AC176" s="37" t="n">
        <f aca="false">AC111</f>
        <v>1000</v>
      </c>
      <c r="AD176" s="37"/>
      <c r="AE176" s="45"/>
      <c r="AF176" s="37" t="n">
        <f aca="false">AF111</f>
        <v>0</v>
      </c>
      <c r="AG176" s="45"/>
      <c r="AH176" s="45"/>
      <c r="AI176" s="177"/>
    </row>
    <row r="177" customFormat="false" ht="17.35" hidden="false" customHeight="false" outlineLevel="0" collapsed="false">
      <c r="A177" s="55"/>
      <c r="B177" s="25"/>
      <c r="C177" s="25"/>
      <c r="D177" s="45"/>
      <c r="E177" s="25"/>
      <c r="F177" s="45"/>
      <c r="G177" s="45"/>
      <c r="H177" s="20"/>
      <c r="J177" s="55"/>
      <c r="K177" s="25"/>
      <c r="L177" s="25"/>
      <c r="M177" s="45"/>
      <c r="N177" s="25"/>
      <c r="O177" s="45"/>
      <c r="P177" s="45"/>
      <c r="Q177" s="20"/>
      <c r="S177" s="55"/>
      <c r="T177" s="25"/>
      <c r="U177" s="25"/>
      <c r="V177" s="45"/>
      <c r="W177" s="25"/>
      <c r="X177" s="45"/>
      <c r="Y177" s="45"/>
      <c r="Z177" s="20"/>
      <c r="AB177" s="55"/>
      <c r="AC177" s="25"/>
      <c r="AD177" s="25"/>
      <c r="AE177" s="45"/>
      <c r="AF177" s="25"/>
      <c r="AG177" s="45"/>
      <c r="AH177" s="45"/>
      <c r="AI177" s="20"/>
    </row>
    <row r="178" customFormat="false" ht="17.35" hidden="false" customHeight="false" outlineLevel="0" collapsed="false">
      <c r="A178" s="55" t="s">
        <v>110</v>
      </c>
      <c r="B178" s="25" t="s">
        <v>146</v>
      </c>
      <c r="C178" s="25"/>
      <c r="D178" s="45"/>
      <c r="E178" s="25" t="s">
        <v>151</v>
      </c>
      <c r="F178" s="45"/>
      <c r="G178" s="45"/>
      <c r="H178" s="20"/>
      <c r="J178" s="55" t="s">
        <v>110</v>
      </c>
      <c r="K178" s="25" t="s">
        <v>146</v>
      </c>
      <c r="L178" s="25"/>
      <c r="M178" s="45"/>
      <c r="N178" s="25" t="s">
        <v>151</v>
      </c>
      <c r="O178" s="45"/>
      <c r="P178" s="45"/>
      <c r="Q178" s="20"/>
      <c r="S178" s="55" t="s">
        <v>110</v>
      </c>
      <c r="T178" s="25" t="s">
        <v>146</v>
      </c>
      <c r="U178" s="25"/>
      <c r="V178" s="45"/>
      <c r="W178" s="25" t="s">
        <v>151</v>
      </c>
      <c r="X178" s="45"/>
      <c r="Y178" s="45"/>
      <c r="Z178" s="20"/>
      <c r="AB178" s="55" t="s">
        <v>110</v>
      </c>
      <c r="AC178" s="25" t="s">
        <v>146</v>
      </c>
      <c r="AD178" s="25"/>
      <c r="AE178" s="45"/>
      <c r="AF178" s="25" t="s">
        <v>151</v>
      </c>
      <c r="AG178" s="45"/>
      <c r="AH178" s="45"/>
      <c r="AI178" s="20"/>
    </row>
    <row r="179" customFormat="false" ht="17.35" hidden="false" customHeight="false" outlineLevel="0" collapsed="false">
      <c r="A179" s="70" t="n">
        <f aca="false">B176+E176</f>
        <v>2000</v>
      </c>
      <c r="B179" s="37" t="n">
        <f aca="false">G154</f>
        <v>500</v>
      </c>
      <c r="C179" s="37"/>
      <c r="D179" s="45"/>
      <c r="E179" s="37" t="n">
        <f aca="false">A176-A179-B179</f>
        <v>28499.996</v>
      </c>
      <c r="F179" s="45"/>
      <c r="G179" s="45"/>
      <c r="H179" s="177"/>
      <c r="J179" s="70" t="n">
        <f aca="false">K176+N176</f>
        <v>1000</v>
      </c>
      <c r="K179" s="37" t="n">
        <f aca="false">P154</f>
        <v>-2000</v>
      </c>
      <c r="L179" s="37"/>
      <c r="M179" s="45"/>
      <c r="N179" s="37" t="e">
        <f aca="false">J176-J179-K179</f>
        <v>#VALUE!</v>
      </c>
      <c r="O179" s="45"/>
      <c r="P179" s="45"/>
      <c r="Q179" s="177"/>
      <c r="S179" s="70" t="n">
        <f aca="false">T176+W176</f>
        <v>1000</v>
      </c>
      <c r="T179" s="37" t="n">
        <f aca="false">Y154</f>
        <v>-2000</v>
      </c>
      <c r="U179" s="37"/>
      <c r="V179" s="45"/>
      <c r="W179" s="37" t="e">
        <f aca="false">S176-S179-T179</f>
        <v>#VALUE!</v>
      </c>
      <c r="X179" s="45"/>
      <c r="Y179" s="45"/>
      <c r="Z179" s="177"/>
      <c r="AB179" s="70" t="n">
        <f aca="false">AC176+AF176</f>
        <v>1000</v>
      </c>
      <c r="AC179" s="37" t="n">
        <f aca="false">AH154</f>
        <v>-2000</v>
      </c>
      <c r="AD179" s="37"/>
      <c r="AE179" s="45"/>
      <c r="AF179" s="37" t="e">
        <f aca="false">AB176-AB179-AC179</f>
        <v>#VALUE!</v>
      </c>
      <c r="AG179" s="45"/>
      <c r="AH179" s="45"/>
      <c r="AI179" s="177"/>
    </row>
    <row r="180" customFormat="false" ht="17.35" hidden="false" customHeight="false" outlineLevel="0" collapsed="false">
      <c r="A180" s="55"/>
      <c r="B180" s="25"/>
      <c r="C180" s="25"/>
      <c r="D180" s="45"/>
      <c r="E180" s="25"/>
      <c r="F180" s="45"/>
      <c r="G180" s="45"/>
      <c r="H180" s="20"/>
      <c r="J180" s="55"/>
      <c r="K180" s="25"/>
      <c r="L180" s="25"/>
      <c r="M180" s="45"/>
      <c r="N180" s="25"/>
      <c r="O180" s="45"/>
      <c r="P180" s="45"/>
      <c r="Q180" s="20"/>
      <c r="S180" s="55"/>
      <c r="T180" s="25"/>
      <c r="U180" s="25"/>
      <c r="V180" s="45"/>
      <c r="W180" s="25"/>
      <c r="X180" s="45"/>
      <c r="Y180" s="45"/>
      <c r="Z180" s="20"/>
      <c r="AB180" s="55"/>
      <c r="AC180" s="25"/>
      <c r="AD180" s="25"/>
      <c r="AE180" s="45"/>
      <c r="AF180" s="25"/>
      <c r="AG180" s="45"/>
      <c r="AH180" s="45"/>
      <c r="AI180" s="20"/>
    </row>
    <row r="181" customFormat="false" ht="17.35" hidden="false" customHeight="false" outlineLevel="0" collapsed="false">
      <c r="A181" s="55" t="s">
        <v>162</v>
      </c>
      <c r="B181" s="25" t="s">
        <v>152</v>
      </c>
      <c r="C181" s="25"/>
      <c r="D181" s="45"/>
      <c r="E181" s="25" t="s">
        <v>163</v>
      </c>
      <c r="F181" s="45"/>
      <c r="G181" s="45"/>
      <c r="H181" s="20"/>
      <c r="J181" s="55" t="s">
        <v>162</v>
      </c>
      <c r="K181" s="25" t="s">
        <v>152</v>
      </c>
      <c r="L181" s="25"/>
      <c r="M181" s="45"/>
      <c r="N181" s="25" t="s">
        <v>163</v>
      </c>
      <c r="O181" s="45"/>
      <c r="P181" s="45"/>
      <c r="Q181" s="20"/>
      <c r="S181" s="55" t="s">
        <v>162</v>
      </c>
      <c r="T181" s="25" t="s">
        <v>152</v>
      </c>
      <c r="U181" s="25"/>
      <c r="V181" s="45"/>
      <c r="W181" s="25" t="s">
        <v>163</v>
      </c>
      <c r="X181" s="45"/>
      <c r="Y181" s="45"/>
      <c r="Z181" s="20"/>
      <c r="AB181" s="55" t="s">
        <v>162</v>
      </c>
      <c r="AC181" s="25" t="s">
        <v>152</v>
      </c>
      <c r="AD181" s="25"/>
      <c r="AE181" s="45"/>
      <c r="AF181" s="25" t="s">
        <v>163</v>
      </c>
      <c r="AG181" s="45"/>
      <c r="AH181" s="45"/>
      <c r="AI181" s="20"/>
    </row>
    <row r="182" customFormat="false" ht="17.35" hidden="false" customHeight="false" outlineLevel="0" collapsed="false">
      <c r="A182" s="70" t="n">
        <f aca="false">(A167*B59)+E185-E179-A185</f>
        <v>1589.07240270463</v>
      </c>
      <c r="B182" s="37" t="str">
        <f aca="false">B114</f>
        <v>199.99</v>
      </c>
      <c r="C182" s="37"/>
      <c r="D182" s="45"/>
      <c r="E182" s="37" t="n">
        <f aca="false">E179+A182+B182+A185</f>
        <v>30299.0584027046</v>
      </c>
      <c r="F182" s="45"/>
      <c r="G182" s="45"/>
      <c r="H182" s="177"/>
      <c r="J182" s="70" t="e">
        <f aca="false">(J167*K59)+N185-N179-J185</f>
        <v>#VALUE!</v>
      </c>
      <c r="K182" s="37" t="n">
        <f aca="false">K114</f>
        <v>239.99</v>
      </c>
      <c r="L182" s="37"/>
      <c r="M182" s="45"/>
      <c r="N182" s="37" t="e">
        <f aca="false">N179+J182+K182+J185</f>
        <v>#VALUE!</v>
      </c>
      <c r="O182" s="45"/>
      <c r="P182" s="45"/>
      <c r="Q182" s="177"/>
      <c r="S182" s="70" t="e">
        <f aca="false">(S167*T59)+W185-W179-S185</f>
        <v>#VALUE!</v>
      </c>
      <c r="T182" s="37" t="n">
        <f aca="false">T114</f>
        <v>199.99</v>
      </c>
      <c r="U182" s="37"/>
      <c r="V182" s="45"/>
      <c r="W182" s="37" t="e">
        <f aca="false">W179+S182+T182+S185</f>
        <v>#VALUE!</v>
      </c>
      <c r="X182" s="45"/>
      <c r="Y182" s="45"/>
      <c r="Z182" s="177"/>
      <c r="AB182" s="70" t="e">
        <f aca="false">(AB167*AC59)+AF185-AF179-AB185</f>
        <v>#VALUE!</v>
      </c>
      <c r="AC182" s="37" t="n">
        <f aca="false">AC114</f>
        <v>239.99</v>
      </c>
      <c r="AD182" s="37"/>
      <c r="AE182" s="45"/>
      <c r="AF182" s="37" t="e">
        <f aca="false">AF179+AB182+AC182+AB185</f>
        <v>#VALUE!</v>
      </c>
      <c r="AG182" s="45"/>
      <c r="AH182" s="45"/>
      <c r="AI182" s="177"/>
    </row>
    <row r="183" customFormat="false" ht="17.35" hidden="false" customHeight="false" outlineLevel="0" collapsed="false">
      <c r="A183" s="55"/>
      <c r="B183" s="25"/>
      <c r="C183" s="25"/>
      <c r="D183" s="45"/>
      <c r="E183" s="25"/>
      <c r="F183" s="45"/>
      <c r="G183" s="45"/>
      <c r="H183" s="20"/>
      <c r="J183" s="55"/>
      <c r="K183" s="25"/>
      <c r="L183" s="25"/>
      <c r="M183" s="45"/>
      <c r="N183" s="25"/>
      <c r="O183" s="45"/>
      <c r="P183" s="45"/>
      <c r="Q183" s="20"/>
      <c r="S183" s="55"/>
      <c r="T183" s="25"/>
      <c r="U183" s="25"/>
      <c r="V183" s="45"/>
      <c r="W183" s="25"/>
      <c r="X183" s="45"/>
      <c r="Y183" s="45"/>
      <c r="Z183" s="20"/>
      <c r="AB183" s="55"/>
      <c r="AC183" s="25"/>
      <c r="AD183" s="25"/>
      <c r="AE183" s="45"/>
      <c r="AF183" s="25"/>
      <c r="AG183" s="45"/>
      <c r="AH183" s="45"/>
      <c r="AI183" s="20"/>
    </row>
    <row r="184" customFormat="false" ht="17.35" hidden="false" customHeight="false" outlineLevel="0" collapsed="false">
      <c r="A184" s="55" t="s">
        <v>164</v>
      </c>
      <c r="B184" s="25" t="s">
        <v>165</v>
      </c>
      <c r="C184" s="25"/>
      <c r="D184" s="45"/>
      <c r="E184" s="25" t="s">
        <v>166</v>
      </c>
      <c r="F184" s="45"/>
      <c r="G184" s="45"/>
      <c r="H184" s="20"/>
      <c r="J184" s="55" t="s">
        <v>164</v>
      </c>
      <c r="K184" s="25" t="s">
        <v>165</v>
      </c>
      <c r="L184" s="25"/>
      <c r="M184" s="45"/>
      <c r="N184" s="25" t="s">
        <v>166</v>
      </c>
      <c r="O184" s="45"/>
      <c r="P184" s="45"/>
      <c r="Q184" s="20"/>
      <c r="S184" s="55" t="s">
        <v>164</v>
      </c>
      <c r="T184" s="25" t="s">
        <v>165</v>
      </c>
      <c r="U184" s="25"/>
      <c r="V184" s="45"/>
      <c r="W184" s="25" t="s">
        <v>166</v>
      </c>
      <c r="X184" s="45"/>
      <c r="Y184" s="45"/>
      <c r="Z184" s="20"/>
      <c r="AB184" s="55" t="s">
        <v>164</v>
      </c>
      <c r="AC184" s="25" t="s">
        <v>165</v>
      </c>
      <c r="AD184" s="25"/>
      <c r="AE184" s="45"/>
      <c r="AF184" s="25" t="s">
        <v>166</v>
      </c>
      <c r="AG184" s="45"/>
      <c r="AH184" s="45"/>
      <c r="AI184" s="20"/>
    </row>
    <row r="185" customFormat="false" ht="17.35" hidden="false" customHeight="false" outlineLevel="0" collapsed="false">
      <c r="A185" s="70" t="n">
        <f aca="false">B60</f>
        <v>10</v>
      </c>
      <c r="B185" s="37" t="n">
        <f aca="false">A179+(B182*1.2)</f>
        <v>2239.988</v>
      </c>
      <c r="C185" s="37"/>
      <c r="D185" s="45"/>
      <c r="E185" s="37" t="n">
        <f aca="false">E167+A185</f>
        <v>2544.73139466983</v>
      </c>
      <c r="F185" s="45"/>
      <c r="G185" s="45"/>
      <c r="H185" s="177"/>
      <c r="J185" s="70" t="n">
        <f aca="false">K60</f>
        <v>20</v>
      </c>
      <c r="K185" s="37" t="n">
        <f aca="false">J179+K182</f>
        <v>1239.99</v>
      </c>
      <c r="L185" s="37"/>
      <c r="M185" s="45"/>
      <c r="N185" s="37" t="n">
        <f aca="false">N170+J185</f>
        <v>20</v>
      </c>
      <c r="O185" s="45"/>
      <c r="P185" s="45"/>
      <c r="Q185" s="177"/>
      <c r="S185" s="70" t="n">
        <f aca="false">T60</f>
        <v>10</v>
      </c>
      <c r="T185" s="37" t="n">
        <f aca="false">S179+T182</f>
        <v>1199.99</v>
      </c>
      <c r="U185" s="37"/>
      <c r="V185" s="45"/>
      <c r="W185" s="37" t="n">
        <f aca="false">W170+S185</f>
        <v>10</v>
      </c>
      <c r="X185" s="45"/>
      <c r="Y185" s="45"/>
      <c r="Z185" s="177"/>
      <c r="AB185" s="70" t="n">
        <f aca="false">AC60</f>
        <v>10</v>
      </c>
      <c r="AC185" s="37" t="n">
        <f aca="false">AB179+AC182</f>
        <v>1239.99</v>
      </c>
      <c r="AD185" s="37"/>
      <c r="AE185" s="45"/>
      <c r="AF185" s="37" t="n">
        <f aca="false">AF170+AB185</f>
        <v>10</v>
      </c>
      <c r="AG185" s="45"/>
      <c r="AH185" s="45"/>
      <c r="AI185" s="177"/>
    </row>
    <row r="186" customFormat="false" ht="17.35" hidden="false" customHeight="false" outlineLevel="0" collapsed="false">
      <c r="A186" s="55"/>
      <c r="B186" s="25"/>
      <c r="C186" s="25"/>
      <c r="D186" s="25"/>
      <c r="E186" s="45"/>
      <c r="F186" s="45"/>
      <c r="G186" s="45"/>
      <c r="H186" s="20"/>
      <c r="J186" s="55"/>
      <c r="K186" s="25"/>
      <c r="L186" s="25"/>
      <c r="M186" s="25"/>
      <c r="N186" s="45"/>
      <c r="O186" s="45"/>
      <c r="P186" s="45"/>
      <c r="Q186" s="20"/>
      <c r="S186" s="55"/>
      <c r="T186" s="25"/>
      <c r="U186" s="25"/>
      <c r="V186" s="25"/>
      <c r="W186" s="45"/>
      <c r="X186" s="178"/>
      <c r="Y186" s="178"/>
      <c r="Z186" s="20"/>
      <c r="AB186" s="55"/>
      <c r="AC186" s="25"/>
      <c r="AD186" s="25"/>
      <c r="AE186" s="25"/>
      <c r="AF186" s="45"/>
      <c r="AG186" s="45"/>
      <c r="AH186" s="45"/>
      <c r="AI186" s="20"/>
    </row>
    <row r="187" customFormat="false" ht="17.35" hidden="false" customHeight="false" outlineLevel="0" collapsed="false">
      <c r="A187" s="55" t="s">
        <v>167</v>
      </c>
      <c r="B187" s="25" t="s">
        <v>168</v>
      </c>
      <c r="C187" s="25"/>
      <c r="D187" s="25"/>
      <c r="E187" s="38" t="s">
        <v>169</v>
      </c>
      <c r="F187" s="45"/>
      <c r="G187" s="45"/>
      <c r="H187" s="20"/>
      <c r="J187" s="55" t="s">
        <v>167</v>
      </c>
      <c r="K187" s="25" t="s">
        <v>168</v>
      </c>
      <c r="L187" s="25"/>
      <c r="M187" s="25"/>
      <c r="N187" s="38" t="s">
        <v>169</v>
      </c>
      <c r="O187" s="45"/>
      <c r="P187" s="45"/>
      <c r="Q187" s="20"/>
      <c r="S187" s="55" t="s">
        <v>167</v>
      </c>
      <c r="T187" s="25" t="s">
        <v>168</v>
      </c>
      <c r="U187" s="25"/>
      <c r="V187" s="25"/>
      <c r="W187" s="38" t="s">
        <v>169</v>
      </c>
      <c r="X187" s="178"/>
      <c r="Y187" s="178"/>
      <c r="Z187" s="20"/>
      <c r="AB187" s="55" t="s">
        <v>167</v>
      </c>
      <c r="AC187" s="25" t="s">
        <v>168</v>
      </c>
      <c r="AD187" s="25"/>
      <c r="AE187" s="25"/>
      <c r="AF187" s="38" t="s">
        <v>169</v>
      </c>
      <c r="AG187" s="178"/>
      <c r="AH187" s="178"/>
      <c r="AI187" s="20"/>
    </row>
    <row r="188" customFormat="false" ht="17.35" hidden="false" customHeight="false" outlineLevel="0" collapsed="false">
      <c r="A188" s="70" t="n">
        <f aca="false">IF(E105="YES", B61*0.000002, 0)*100</f>
        <v>7.481</v>
      </c>
      <c r="B188" s="37" t="n">
        <f aca="false">(G158*B67)/1.2</f>
        <v>118.749983333333</v>
      </c>
      <c r="C188" s="25"/>
      <c r="D188" s="25"/>
      <c r="E188" s="37" t="n">
        <f aca="false">(E40*A108)*0.1</f>
        <v>8.25</v>
      </c>
      <c r="F188" s="45"/>
      <c r="G188" s="45"/>
      <c r="H188" s="20"/>
      <c r="J188" s="70" t="n">
        <f aca="false">IF(N105="YES", H15*0.000002, 0)</f>
        <v>0</v>
      </c>
      <c r="K188" s="37" t="e">
        <f aca="false">(P158*K67)/1.2</f>
        <v>#VALUE!</v>
      </c>
      <c r="L188" s="25"/>
      <c r="M188" s="25"/>
      <c r="N188" s="37" t="n">
        <f aca="false">(E40*J108)*0.1</f>
        <v>8.25</v>
      </c>
      <c r="O188" s="45"/>
      <c r="P188" s="45"/>
      <c r="Q188" s="20"/>
      <c r="S188" s="70" t="n">
        <f aca="false">IF(W105="YES", Z15*0.000002, 0)</f>
        <v>0</v>
      </c>
      <c r="T188" s="37" t="e">
        <f aca="false">(Y158*T67)/1.2</f>
        <v>#VALUE!</v>
      </c>
      <c r="U188" s="25"/>
      <c r="V188" s="25"/>
      <c r="W188" s="37" t="n">
        <f aca="false">(E40*S108)*0.1</f>
        <v>5.5</v>
      </c>
      <c r="X188" s="178"/>
      <c r="Y188" s="178"/>
      <c r="Z188" s="20"/>
      <c r="AB188" s="70" t="n">
        <f aca="false">IF(AF105="YES", AI15*0.000002, 0)</f>
        <v>0</v>
      </c>
      <c r="AC188" s="37" t="e">
        <f aca="false">(AH158*AC67)/1.2</f>
        <v>#VALUE!</v>
      </c>
      <c r="AD188" s="25"/>
      <c r="AE188" s="25"/>
      <c r="AF188" s="37" t="n">
        <f aca="false">(E40*AB108)*0.1</f>
        <v>5.5</v>
      </c>
      <c r="AG188" s="178"/>
      <c r="AH188" s="178"/>
      <c r="AI188" s="20"/>
    </row>
    <row r="189" customFormat="false" ht="17.35" hidden="false" customHeight="false" outlineLevel="0" collapsed="false">
      <c r="A189" s="70"/>
      <c r="B189" s="37"/>
      <c r="C189" s="25"/>
      <c r="D189" s="25"/>
      <c r="E189" s="45"/>
      <c r="F189" s="45"/>
      <c r="G189" s="45"/>
      <c r="H189" s="20"/>
      <c r="J189" s="70"/>
      <c r="K189" s="37"/>
      <c r="L189" s="25"/>
      <c r="M189" s="25"/>
      <c r="N189" s="45"/>
      <c r="O189" s="45"/>
      <c r="P189" s="45"/>
      <c r="Q189" s="20"/>
      <c r="S189" s="70"/>
      <c r="T189" s="37"/>
      <c r="U189" s="25"/>
      <c r="V189" s="25"/>
      <c r="W189" s="45"/>
      <c r="X189" s="178"/>
      <c r="Y189" s="178"/>
      <c r="Z189" s="20"/>
      <c r="AB189" s="70"/>
      <c r="AC189" s="37"/>
      <c r="AD189" s="25"/>
      <c r="AE189" s="25"/>
      <c r="AF189" s="45"/>
      <c r="AG189" s="178"/>
      <c r="AH189" s="178"/>
      <c r="AI189" s="20"/>
    </row>
    <row r="190" customFormat="false" ht="17.35" hidden="false" customHeight="false" outlineLevel="0" collapsed="false">
      <c r="A190" s="78" t="s">
        <v>170</v>
      </c>
      <c r="B190" s="38" t="s">
        <v>171</v>
      </c>
      <c r="C190" s="25"/>
      <c r="D190" s="25"/>
      <c r="E190" s="38" t="s">
        <v>172</v>
      </c>
      <c r="F190" s="45"/>
      <c r="G190" s="45"/>
      <c r="H190" s="20"/>
      <c r="J190" s="78" t="s">
        <v>170</v>
      </c>
      <c r="K190" s="38" t="s">
        <v>171</v>
      </c>
      <c r="L190" s="25"/>
      <c r="M190" s="25"/>
      <c r="N190" s="38" t="s">
        <v>172</v>
      </c>
      <c r="O190" s="45"/>
      <c r="P190" s="45"/>
      <c r="Q190" s="20"/>
      <c r="S190" s="78" t="s">
        <v>170</v>
      </c>
      <c r="T190" s="38" t="s">
        <v>171</v>
      </c>
      <c r="U190" s="25"/>
      <c r="V190" s="25"/>
      <c r="W190" s="38" t="s">
        <v>172</v>
      </c>
      <c r="X190" s="178"/>
      <c r="Y190" s="178"/>
      <c r="Z190" s="20"/>
      <c r="AB190" s="78" t="s">
        <v>170</v>
      </c>
      <c r="AC190" s="38" t="s">
        <v>171</v>
      </c>
      <c r="AD190" s="25"/>
      <c r="AE190" s="25"/>
      <c r="AF190" s="38" t="s">
        <v>172</v>
      </c>
      <c r="AG190" s="178"/>
      <c r="AH190" s="178"/>
      <c r="AI190" s="20"/>
    </row>
    <row r="191" customFormat="false" ht="17.35" hidden="false" customHeight="false" outlineLevel="0" collapsed="false">
      <c r="A191" s="70" t="n">
        <f aca="false">B182-100</f>
        <v>99.99</v>
      </c>
      <c r="B191" s="37" t="n">
        <f aca="false">B188+E188+A191</f>
        <v>226.989983333333</v>
      </c>
      <c r="C191" s="25"/>
      <c r="D191" s="25"/>
      <c r="E191" s="37" t="n">
        <f aca="false">H148</f>
        <v>1875</v>
      </c>
      <c r="F191" s="45"/>
      <c r="G191" s="45"/>
      <c r="H191" s="20"/>
      <c r="J191" s="70" t="n">
        <f aca="false">K185-100</f>
        <v>1139.99</v>
      </c>
      <c r="K191" s="37" t="e">
        <f aca="false">K188+N188+J191</f>
        <v>#VALUE!</v>
      </c>
      <c r="L191" s="25"/>
      <c r="M191" s="25"/>
      <c r="N191" s="37" t="e">
        <f aca="false">Q148</f>
        <v>#VALUE!</v>
      </c>
      <c r="O191" s="45"/>
      <c r="P191" s="45"/>
      <c r="Q191" s="20"/>
      <c r="S191" s="70" t="n">
        <f aca="false">T185-100</f>
        <v>1099.99</v>
      </c>
      <c r="T191" s="37" t="e">
        <f aca="false">T188+W188+S191</f>
        <v>#VALUE!</v>
      </c>
      <c r="U191" s="25"/>
      <c r="V191" s="25"/>
      <c r="W191" s="37" t="e">
        <f aca="false">Z148</f>
        <v>#VALUE!</v>
      </c>
      <c r="X191" s="178"/>
      <c r="Y191" s="178"/>
      <c r="Z191" s="20"/>
      <c r="AB191" s="70" t="n">
        <f aca="false">AC185-100</f>
        <v>1139.99</v>
      </c>
      <c r="AC191" s="37" t="e">
        <f aca="false">AC188+AF188+AB191</f>
        <v>#VALUE!</v>
      </c>
      <c r="AD191" s="25"/>
      <c r="AE191" s="25"/>
      <c r="AF191" s="37" t="e">
        <f aca="false">AI148</f>
        <v>#VALUE!</v>
      </c>
      <c r="AG191" s="178"/>
      <c r="AH191" s="178"/>
      <c r="AI191" s="20"/>
    </row>
    <row r="192" customFormat="false" ht="17.35" hidden="false" customHeight="false" outlineLevel="0" collapsed="false">
      <c r="A192" s="55"/>
      <c r="B192" s="25"/>
      <c r="C192" s="25"/>
      <c r="D192" s="25"/>
      <c r="E192" s="45"/>
      <c r="F192" s="45"/>
      <c r="G192" s="45"/>
      <c r="H192" s="20"/>
      <c r="J192" s="55"/>
      <c r="K192" s="25"/>
      <c r="L192" s="25"/>
      <c r="M192" s="25"/>
      <c r="N192" s="45"/>
      <c r="O192" s="45"/>
      <c r="P192" s="45"/>
      <c r="Q192" s="20"/>
      <c r="S192" s="55"/>
      <c r="T192" s="25"/>
      <c r="U192" s="25"/>
      <c r="V192" s="25"/>
      <c r="W192" s="45"/>
      <c r="X192" s="45"/>
      <c r="Y192" s="45"/>
      <c r="Z192" s="20"/>
      <c r="AB192" s="55"/>
      <c r="AC192" s="25"/>
      <c r="AD192" s="25"/>
      <c r="AE192" s="25"/>
      <c r="AF192" s="45"/>
      <c r="AG192" s="45"/>
      <c r="AH192" s="45"/>
      <c r="AI192" s="20"/>
    </row>
    <row r="193" customFormat="false" ht="17.35" hidden="false" customHeight="false" outlineLevel="0" collapsed="false">
      <c r="A193" s="83" t="s">
        <v>173</v>
      </c>
      <c r="B193" s="25"/>
      <c r="C193" s="25"/>
      <c r="D193" s="84"/>
      <c r="E193" s="84"/>
      <c r="F193" s="84"/>
      <c r="G193" s="84"/>
      <c r="H193" s="85"/>
      <c r="J193" s="83" t="s">
        <v>173</v>
      </c>
      <c r="K193" s="25"/>
      <c r="L193" s="25"/>
      <c r="M193" s="84"/>
      <c r="N193" s="84"/>
      <c r="O193" s="84"/>
      <c r="P193" s="84"/>
      <c r="Q193" s="85"/>
      <c r="S193" s="83" t="s">
        <v>173</v>
      </c>
      <c r="T193" s="25"/>
      <c r="U193" s="25"/>
      <c r="V193" s="84"/>
      <c r="W193" s="84"/>
      <c r="X193" s="84"/>
      <c r="Y193" s="84"/>
      <c r="Z193" s="85"/>
      <c r="AB193" s="83" t="s">
        <v>173</v>
      </c>
      <c r="AC193" s="25"/>
      <c r="AD193" s="25"/>
      <c r="AE193" s="84"/>
      <c r="AF193" s="84"/>
      <c r="AG193" s="84"/>
      <c r="AH193" s="84"/>
      <c r="AI193" s="85"/>
    </row>
    <row r="194" customFormat="false" ht="17.35" hidden="false" customHeight="false" outlineLevel="0" collapsed="false">
      <c r="A194" s="55"/>
      <c r="B194" s="87"/>
      <c r="C194" s="87"/>
      <c r="D194" s="25"/>
      <c r="E194" s="45"/>
      <c r="F194" s="45"/>
      <c r="G194" s="45"/>
      <c r="H194" s="20"/>
      <c r="J194" s="55"/>
      <c r="K194" s="87"/>
      <c r="L194" s="87"/>
      <c r="M194" s="25"/>
      <c r="N194" s="45"/>
      <c r="O194" s="45"/>
      <c r="P194" s="45"/>
      <c r="Q194" s="20"/>
      <c r="S194" s="55"/>
      <c r="T194" s="87"/>
      <c r="U194" s="87"/>
      <c r="V194" s="25"/>
      <c r="W194" s="45"/>
      <c r="X194" s="45"/>
      <c r="Y194" s="45"/>
      <c r="Z194" s="20"/>
      <c r="AB194" s="55"/>
      <c r="AC194" s="87"/>
      <c r="AD194" s="87"/>
      <c r="AE194" s="25"/>
      <c r="AF194" s="45"/>
      <c r="AG194" s="45"/>
      <c r="AH194" s="45"/>
      <c r="AI194" s="20"/>
    </row>
    <row r="195" customFormat="false" ht="19.7" hidden="false" customHeight="false" outlineLevel="0" collapsed="false">
      <c r="A195" s="88" t="s">
        <v>28</v>
      </c>
      <c r="B195" s="89" t="s">
        <v>33</v>
      </c>
      <c r="C195" s="89"/>
      <c r="D195" s="89"/>
      <c r="E195" s="45"/>
      <c r="F195" s="45"/>
      <c r="G195" s="45"/>
      <c r="H195" s="20"/>
      <c r="J195" s="88" t="s">
        <v>28</v>
      </c>
      <c r="K195" s="89" t="s">
        <v>33</v>
      </c>
      <c r="L195" s="89"/>
      <c r="M195" s="89"/>
      <c r="N195" s="45"/>
      <c r="O195" s="45"/>
      <c r="P195" s="45"/>
      <c r="Q195" s="20"/>
      <c r="S195" s="88" t="s">
        <v>28</v>
      </c>
      <c r="T195" s="89" t="s">
        <v>33</v>
      </c>
      <c r="U195" s="89"/>
      <c r="V195" s="89"/>
      <c r="W195" s="45"/>
      <c r="X195" s="45"/>
      <c r="Y195" s="45"/>
      <c r="Z195" s="20"/>
      <c r="AB195" s="88" t="s">
        <v>28</v>
      </c>
      <c r="AC195" s="89" t="s">
        <v>33</v>
      </c>
      <c r="AD195" s="89"/>
      <c r="AE195" s="89"/>
      <c r="AF195" s="45"/>
      <c r="AG195" s="45"/>
      <c r="AH195" s="45"/>
      <c r="AI195" s="20"/>
    </row>
    <row r="196" customFormat="false" ht="19.5" hidden="false" customHeight="true" outlineLevel="0" collapsed="false">
      <c r="A196" s="88"/>
      <c r="B196" s="90" t="n">
        <f aca="false">K30</f>
        <v>10000</v>
      </c>
      <c r="C196" s="90"/>
      <c r="D196" s="90"/>
      <c r="E196" s="45"/>
      <c r="F196" s="45"/>
      <c r="G196" s="45"/>
      <c r="H196" s="20"/>
      <c r="J196" s="88"/>
      <c r="K196" s="90" t="n">
        <f aca="false">K30</f>
        <v>10000</v>
      </c>
      <c r="L196" s="90"/>
      <c r="M196" s="90"/>
      <c r="N196" s="45"/>
      <c r="O196" s="45"/>
      <c r="P196" s="45"/>
      <c r="Q196" s="20"/>
      <c r="S196" s="88"/>
      <c r="T196" s="90" t="n">
        <f aca="false">K30</f>
        <v>10000</v>
      </c>
      <c r="U196" s="90"/>
      <c r="V196" s="90"/>
      <c r="W196" s="45"/>
      <c r="X196" s="45"/>
      <c r="Y196" s="45"/>
      <c r="Z196" s="20"/>
      <c r="AB196" s="88"/>
      <c r="AC196" s="90" t="n">
        <f aca="false">K30</f>
        <v>10000</v>
      </c>
      <c r="AD196" s="90"/>
      <c r="AE196" s="90"/>
      <c r="AF196" s="45"/>
      <c r="AG196" s="45"/>
      <c r="AH196" s="45"/>
      <c r="AI196" s="20"/>
    </row>
    <row r="197" customFormat="false" ht="17.35" hidden="false" customHeight="false" outlineLevel="0" collapsed="false">
      <c r="A197" s="91" t="n">
        <f aca="false">K29</f>
        <v>12</v>
      </c>
      <c r="B197" s="92" t="n">
        <f aca="false">B96</f>
        <v>2534.73139466983</v>
      </c>
      <c r="C197" s="92"/>
      <c r="D197" s="92"/>
      <c r="E197" s="45"/>
      <c r="F197" s="45"/>
      <c r="G197" s="45"/>
      <c r="H197" s="20"/>
      <c r="J197" s="91" t="n">
        <f aca="false">K29</f>
        <v>12</v>
      </c>
      <c r="K197" s="92" t="e">
        <f aca="false">K96</f>
        <v>#VALUE!</v>
      </c>
      <c r="L197" s="92"/>
      <c r="M197" s="92"/>
      <c r="N197" s="45"/>
      <c r="O197" s="45"/>
      <c r="P197" s="45"/>
      <c r="Q197" s="20"/>
      <c r="S197" s="91" t="n">
        <f aca="false">K29</f>
        <v>12</v>
      </c>
      <c r="T197" s="92" t="e">
        <f aca="false">T96</f>
        <v>#VALUE!</v>
      </c>
      <c r="U197" s="92"/>
      <c r="V197" s="92"/>
      <c r="W197" s="45"/>
      <c r="X197" s="45"/>
      <c r="Y197" s="45"/>
      <c r="Z197" s="20"/>
      <c r="AB197" s="91" t="n">
        <f aca="false">K29</f>
        <v>12</v>
      </c>
      <c r="AC197" s="92" t="e">
        <f aca="false">AC96</f>
        <v>#VALUE!</v>
      </c>
      <c r="AD197" s="92"/>
      <c r="AE197" s="92"/>
      <c r="AF197" s="45"/>
      <c r="AG197" s="45"/>
      <c r="AH197" s="45"/>
      <c r="AI197" s="20"/>
    </row>
    <row r="198" customFormat="false" ht="17.35" hidden="false" customHeight="false" outlineLevel="0" collapsed="false">
      <c r="A198" s="55"/>
      <c r="B198" s="25"/>
      <c r="C198" s="25"/>
      <c r="D198" s="25"/>
      <c r="E198" s="45"/>
      <c r="F198" s="45"/>
      <c r="G198" s="45"/>
      <c r="H198" s="20"/>
      <c r="J198" s="55"/>
      <c r="K198" s="25"/>
      <c r="L198" s="25"/>
      <c r="M198" s="25"/>
      <c r="N198" s="45"/>
      <c r="O198" s="45"/>
      <c r="P198" s="45"/>
      <c r="Q198" s="20"/>
      <c r="S198" s="55"/>
      <c r="T198" s="25"/>
      <c r="U198" s="25"/>
      <c r="V198" s="25"/>
      <c r="W198" s="45"/>
      <c r="X198" s="45"/>
      <c r="Y198" s="45"/>
      <c r="Z198" s="20"/>
      <c r="AB198" s="55"/>
      <c r="AC198" s="25"/>
      <c r="AD198" s="25"/>
      <c r="AE198" s="25"/>
      <c r="AF198" s="45"/>
      <c r="AG198" s="45"/>
      <c r="AH198" s="45"/>
      <c r="AI198" s="20"/>
    </row>
    <row r="199" customFormat="false" ht="17.35" hidden="false" customHeight="false" outlineLevel="0" collapsed="false">
      <c r="A199" s="55"/>
      <c r="B199" s="25"/>
      <c r="C199" s="25"/>
      <c r="D199" s="25"/>
      <c r="E199" s="45"/>
      <c r="F199" s="45"/>
      <c r="G199" s="45"/>
      <c r="H199" s="20"/>
      <c r="J199" s="55"/>
      <c r="K199" s="25"/>
      <c r="L199" s="25"/>
      <c r="M199" s="25"/>
      <c r="N199" s="45"/>
      <c r="O199" s="45"/>
      <c r="P199" s="45"/>
      <c r="Q199" s="20"/>
      <c r="S199" s="55"/>
      <c r="T199" s="25"/>
      <c r="U199" s="25"/>
      <c r="V199" s="25"/>
      <c r="W199" s="45"/>
      <c r="X199" s="45"/>
      <c r="Y199" s="45"/>
      <c r="Z199" s="20"/>
      <c r="AB199" s="55"/>
      <c r="AC199" s="25"/>
      <c r="AD199" s="25"/>
      <c r="AE199" s="25"/>
      <c r="AF199" s="45"/>
      <c r="AG199" s="45"/>
      <c r="AH199" s="45"/>
      <c r="AI199" s="20"/>
    </row>
    <row r="200" customFormat="false" ht="17.35" hidden="false" customHeight="false" outlineLevel="0" collapsed="false">
      <c r="A200" s="55"/>
      <c r="B200" s="25"/>
      <c r="C200" s="25"/>
      <c r="D200" s="25"/>
      <c r="E200" s="45"/>
      <c r="F200" s="45"/>
      <c r="G200" s="45"/>
      <c r="H200" s="20"/>
      <c r="J200" s="55"/>
      <c r="K200" s="25"/>
      <c r="L200" s="25"/>
      <c r="M200" s="25"/>
      <c r="N200" s="45"/>
      <c r="O200" s="45"/>
      <c r="P200" s="45"/>
      <c r="Q200" s="20"/>
      <c r="S200" s="55"/>
      <c r="T200" s="25"/>
      <c r="U200" s="25"/>
      <c r="V200" s="25"/>
      <c r="W200" s="45"/>
      <c r="X200" s="45"/>
      <c r="Y200" s="45"/>
      <c r="Z200" s="20"/>
      <c r="AB200" s="55"/>
      <c r="AC200" s="25"/>
      <c r="AD200" s="25"/>
      <c r="AE200" s="25"/>
      <c r="AF200" s="45"/>
      <c r="AG200" s="45"/>
      <c r="AH200" s="45"/>
      <c r="AI200" s="20"/>
    </row>
    <row r="201" customFormat="false" ht="17.35" hidden="false" customHeight="false" outlineLevel="0" collapsed="false">
      <c r="A201" s="55"/>
      <c r="B201" s="25"/>
      <c r="C201" s="25"/>
      <c r="D201" s="25"/>
      <c r="E201" s="45"/>
      <c r="F201" s="45"/>
      <c r="G201" s="45"/>
      <c r="H201" s="20"/>
      <c r="J201" s="55"/>
      <c r="K201" s="25"/>
      <c r="L201" s="25"/>
      <c r="M201" s="25"/>
      <c r="N201" s="45"/>
      <c r="O201" s="45"/>
      <c r="P201" s="45"/>
      <c r="Q201" s="20"/>
      <c r="S201" s="55"/>
      <c r="T201" s="25"/>
      <c r="U201" s="25"/>
      <c r="V201" s="25"/>
      <c r="W201" s="45"/>
      <c r="X201" s="45"/>
      <c r="Y201" s="45"/>
      <c r="Z201" s="20"/>
      <c r="AB201" s="55"/>
      <c r="AC201" s="25"/>
      <c r="AD201" s="25"/>
      <c r="AE201" s="25"/>
      <c r="AF201" s="45"/>
      <c r="AG201" s="45"/>
      <c r="AH201" s="45"/>
      <c r="AI201" s="20"/>
    </row>
    <row r="202" customFormat="false" ht="17.35" hidden="false" customHeight="false" outlineLevel="0" collapsed="false">
      <c r="A202" s="74"/>
      <c r="B202" s="75"/>
      <c r="C202" s="75"/>
      <c r="D202" s="75"/>
      <c r="E202" s="75"/>
      <c r="F202" s="75"/>
      <c r="G202" s="75"/>
      <c r="H202" s="82"/>
      <c r="J202" s="74"/>
      <c r="K202" s="75"/>
      <c r="L202" s="75"/>
      <c r="M202" s="75"/>
      <c r="N202" s="75"/>
      <c r="O202" s="75"/>
      <c r="P202" s="75"/>
      <c r="Q202" s="82"/>
      <c r="S202" s="74"/>
      <c r="T202" s="75"/>
      <c r="U202" s="75"/>
      <c r="V202" s="75"/>
      <c r="W202" s="75"/>
      <c r="X202" s="75"/>
      <c r="Y202" s="75"/>
      <c r="Z202" s="82"/>
      <c r="AB202" s="74"/>
      <c r="AC202" s="75"/>
      <c r="AD202" s="75"/>
      <c r="AE202" s="75"/>
      <c r="AF202" s="75"/>
      <c r="AG202" s="75"/>
      <c r="AH202" s="75"/>
      <c r="AI202" s="82"/>
    </row>
    <row r="206" customFormat="false" ht="22.05" hidden="false" customHeight="false" outlineLevel="0" collapsed="false">
      <c r="A206" s="179" t="s">
        <v>153</v>
      </c>
      <c r="B206" s="179"/>
      <c r="C206" s="179"/>
      <c r="D206" s="179"/>
      <c r="E206" s="179"/>
      <c r="F206" s="179"/>
      <c r="G206" s="179"/>
      <c r="H206" s="179"/>
    </row>
    <row r="207" customFormat="false" ht="17.35" hidden="false" customHeight="false" outlineLevel="0" collapsed="false">
      <c r="A207" s="55"/>
      <c r="B207" s="25"/>
      <c r="C207" s="25"/>
      <c r="D207" s="25"/>
      <c r="E207" s="94"/>
      <c r="F207" s="94"/>
      <c r="G207" s="94"/>
      <c r="H207" s="20"/>
    </row>
    <row r="208" customFormat="false" ht="17.35" hidden="false" customHeight="false" outlineLevel="0" collapsed="false">
      <c r="A208" s="180" t="s">
        <v>98</v>
      </c>
      <c r="B208" s="181" t="s">
        <v>174</v>
      </c>
      <c r="C208" s="181"/>
      <c r="D208" s="181"/>
      <c r="E208" s="181" t="s">
        <v>175</v>
      </c>
      <c r="F208" s="182"/>
      <c r="G208" s="94"/>
      <c r="H208" s="20"/>
    </row>
    <row r="209" customFormat="false" ht="17.35" hidden="false" customHeight="false" outlineLevel="0" collapsed="false">
      <c r="A209" s="169" t="s">
        <v>207</v>
      </c>
      <c r="B209" s="170" t="n">
        <f aca="false">A197</f>
        <v>12</v>
      </c>
      <c r="C209" s="170"/>
      <c r="D209" s="170"/>
      <c r="E209" s="170" t="n">
        <f aca="false">B196</f>
        <v>10000</v>
      </c>
      <c r="F209" s="182"/>
      <c r="G209" s="94"/>
      <c r="H209" s="20"/>
    </row>
    <row r="210" customFormat="false" ht="17.35" hidden="false" customHeight="false" outlineLevel="0" collapsed="false">
      <c r="A210" s="55"/>
      <c r="B210" s="25"/>
      <c r="C210" s="25"/>
      <c r="D210" s="25"/>
      <c r="E210" s="94"/>
      <c r="F210" s="94"/>
      <c r="G210" s="94"/>
      <c r="H210" s="20"/>
    </row>
    <row r="211" customFormat="false" ht="17.35" hidden="false" customHeight="false" outlineLevel="0" collapsed="false">
      <c r="A211" s="180" t="s">
        <v>154</v>
      </c>
      <c r="B211" s="181" t="s">
        <v>155</v>
      </c>
      <c r="C211" s="181"/>
      <c r="D211" s="181"/>
      <c r="E211" s="181" t="s">
        <v>156</v>
      </c>
      <c r="F211" s="94"/>
      <c r="G211" s="94"/>
      <c r="H211" s="20"/>
    </row>
    <row r="212" customFormat="false" ht="17.35" hidden="false" customHeight="false" outlineLevel="0" collapsed="false">
      <c r="A212" s="173" t="n">
        <f aca="false">A167</f>
        <v>2504.93972800316</v>
      </c>
      <c r="B212" s="172" t="n">
        <f aca="false">B167</f>
        <v>29.7916666666667</v>
      </c>
      <c r="C212" s="170"/>
      <c r="D212" s="170"/>
      <c r="E212" s="172" t="n">
        <f aca="false">E167</f>
        <v>2534.73139466983</v>
      </c>
      <c r="F212" s="94"/>
      <c r="G212" s="94"/>
      <c r="H212" s="20"/>
    </row>
    <row r="213" customFormat="false" ht="17.35" hidden="false" customHeight="false" outlineLevel="0" collapsed="false">
      <c r="A213" s="55"/>
      <c r="B213" s="25"/>
      <c r="C213" s="25"/>
      <c r="D213" s="25"/>
      <c r="E213" s="94"/>
      <c r="F213" s="94"/>
      <c r="G213" s="94"/>
      <c r="H213" s="20"/>
    </row>
    <row r="214" customFormat="false" ht="17.35" hidden="false" customHeight="false" outlineLevel="0" collapsed="false">
      <c r="A214" s="55" t="s">
        <v>158</v>
      </c>
      <c r="B214" s="25" t="s">
        <v>159</v>
      </c>
      <c r="C214" s="25"/>
      <c r="D214" s="94"/>
      <c r="E214" s="25" t="s">
        <v>160</v>
      </c>
      <c r="F214" s="94"/>
      <c r="G214" s="94"/>
      <c r="H214" s="20"/>
    </row>
    <row r="215" customFormat="false" ht="17.35" hidden="false" customHeight="false" outlineLevel="0" collapsed="false">
      <c r="A215" s="69" t="n">
        <f aca="false">A173</f>
        <v>25833.33</v>
      </c>
      <c r="B215" s="37" t="n">
        <f aca="false">B173</f>
        <v>5166.666</v>
      </c>
      <c r="C215" s="67"/>
      <c r="D215" s="94"/>
      <c r="E215" s="73" t="n">
        <f aca="false">E173</f>
        <v>0</v>
      </c>
      <c r="F215" s="94"/>
      <c r="G215" s="94"/>
      <c r="H215" s="20"/>
    </row>
    <row r="216" customFormat="false" ht="17.35" hidden="false" customHeight="false" outlineLevel="0" collapsed="false">
      <c r="A216" s="55"/>
      <c r="B216" s="25"/>
      <c r="C216" s="25"/>
      <c r="D216" s="94"/>
      <c r="E216" s="25"/>
      <c r="F216" s="94"/>
      <c r="G216" s="94"/>
      <c r="H216" s="20"/>
    </row>
    <row r="217" customFormat="false" ht="17.35" hidden="false" customHeight="false" outlineLevel="0" collapsed="false">
      <c r="A217" s="55" t="s">
        <v>161</v>
      </c>
      <c r="B217" s="25" t="s">
        <v>108</v>
      </c>
      <c r="C217" s="25"/>
      <c r="D217" s="94"/>
      <c r="E217" s="25" t="s">
        <v>109</v>
      </c>
      <c r="F217" s="94"/>
      <c r="G217" s="94"/>
      <c r="H217" s="20"/>
    </row>
    <row r="218" customFormat="false" ht="17.35" hidden="false" customHeight="false" outlineLevel="0" collapsed="false">
      <c r="A218" s="69" t="n">
        <f aca="false">A176</f>
        <v>30999.996</v>
      </c>
      <c r="B218" s="37" t="n">
        <f aca="false">B176</f>
        <v>1000</v>
      </c>
      <c r="C218" s="37"/>
      <c r="D218" s="94"/>
      <c r="E218" s="37" t="n">
        <f aca="false">E176</f>
        <v>1000</v>
      </c>
      <c r="F218" s="94"/>
      <c r="G218" s="94"/>
      <c r="H218" s="177"/>
    </row>
    <row r="219" customFormat="false" ht="17.35" hidden="false" customHeight="false" outlineLevel="0" collapsed="false">
      <c r="A219" s="55"/>
      <c r="B219" s="25"/>
      <c r="C219" s="25"/>
      <c r="D219" s="94"/>
      <c r="E219" s="25"/>
      <c r="F219" s="94"/>
      <c r="G219" s="94"/>
      <c r="H219" s="20"/>
    </row>
    <row r="220" customFormat="false" ht="17.35" hidden="false" customHeight="false" outlineLevel="0" collapsed="false">
      <c r="A220" s="55" t="s">
        <v>110</v>
      </c>
      <c r="B220" s="25" t="s">
        <v>146</v>
      </c>
      <c r="C220" s="25"/>
      <c r="D220" s="94"/>
      <c r="E220" s="25" t="s">
        <v>151</v>
      </c>
      <c r="F220" s="94"/>
      <c r="G220" s="94"/>
      <c r="H220" s="20"/>
    </row>
    <row r="221" customFormat="false" ht="17.35" hidden="false" customHeight="false" outlineLevel="0" collapsed="false">
      <c r="A221" s="70" t="n">
        <f aca="false">A179</f>
        <v>2000</v>
      </c>
      <c r="B221" s="37" t="n">
        <f aca="false">B179</f>
        <v>500</v>
      </c>
      <c r="C221" s="37"/>
      <c r="D221" s="94"/>
      <c r="E221" s="37" t="n">
        <f aca="false">E179</f>
        <v>28499.996</v>
      </c>
      <c r="F221" s="94"/>
      <c r="G221" s="94"/>
      <c r="H221" s="177"/>
    </row>
    <row r="222" customFormat="false" ht="17.35" hidden="false" customHeight="false" outlineLevel="0" collapsed="false">
      <c r="A222" s="55"/>
      <c r="B222" s="25"/>
      <c r="C222" s="25"/>
      <c r="D222" s="94"/>
      <c r="E222" s="25"/>
      <c r="F222" s="94"/>
      <c r="G222" s="94"/>
      <c r="H222" s="20"/>
    </row>
    <row r="223" customFormat="false" ht="17.35" hidden="false" customHeight="false" outlineLevel="0" collapsed="false">
      <c r="A223" s="55" t="s">
        <v>162</v>
      </c>
      <c r="B223" s="25" t="s">
        <v>152</v>
      </c>
      <c r="C223" s="25"/>
      <c r="D223" s="94"/>
      <c r="E223" s="25" t="s">
        <v>163</v>
      </c>
      <c r="F223" s="94"/>
      <c r="G223" s="94"/>
      <c r="H223" s="20"/>
    </row>
    <row r="224" customFormat="false" ht="17.35" hidden="false" customHeight="false" outlineLevel="0" collapsed="false">
      <c r="A224" s="70" t="n">
        <f aca="false">A182</f>
        <v>1589.07240270463</v>
      </c>
      <c r="B224" s="37" t="str">
        <f aca="false">B182</f>
        <v>199.99</v>
      </c>
      <c r="C224" s="37"/>
      <c r="D224" s="94"/>
      <c r="E224" s="37" t="n">
        <f aca="false">E182</f>
        <v>30299.0584027046</v>
      </c>
      <c r="F224" s="94"/>
      <c r="G224" s="94"/>
      <c r="H224" s="177"/>
    </row>
    <row r="225" customFormat="false" ht="17.35" hidden="false" customHeight="false" outlineLevel="0" collapsed="false">
      <c r="A225" s="55"/>
      <c r="B225" s="25"/>
      <c r="C225" s="25"/>
      <c r="D225" s="94"/>
      <c r="E225" s="25"/>
      <c r="F225" s="94"/>
      <c r="G225" s="94"/>
      <c r="H225" s="20"/>
    </row>
    <row r="226" customFormat="false" ht="17.35" hidden="false" customHeight="false" outlineLevel="0" collapsed="false">
      <c r="A226" s="55" t="s">
        <v>164</v>
      </c>
      <c r="B226" s="25" t="s">
        <v>165</v>
      </c>
      <c r="C226" s="25"/>
      <c r="D226" s="94"/>
      <c r="E226" s="25" t="s">
        <v>177</v>
      </c>
      <c r="F226" s="94"/>
      <c r="G226" s="94"/>
      <c r="H226" s="20"/>
    </row>
    <row r="227" customFormat="false" ht="17.35" hidden="false" customHeight="false" outlineLevel="0" collapsed="false">
      <c r="A227" s="70" t="n">
        <f aca="false">A185</f>
        <v>10</v>
      </c>
      <c r="B227" s="37" t="n">
        <f aca="false">B185</f>
        <v>2239.988</v>
      </c>
      <c r="C227" s="37"/>
      <c r="D227" s="94"/>
      <c r="E227" s="37" t="n">
        <f aca="false">B59</f>
        <v>11</v>
      </c>
      <c r="F227" s="94"/>
      <c r="G227" s="94"/>
      <c r="H227" s="177"/>
    </row>
    <row r="228" customFormat="false" ht="17.35" hidden="false" customHeight="false" outlineLevel="0" collapsed="false">
      <c r="A228" s="55"/>
      <c r="B228" s="25"/>
      <c r="C228" s="25"/>
      <c r="D228" s="25"/>
      <c r="E228" s="94"/>
      <c r="F228" s="94"/>
      <c r="G228" s="94"/>
      <c r="H228" s="20"/>
    </row>
    <row r="229" customFormat="false" ht="17.35" hidden="false" customHeight="false" outlineLevel="0" collapsed="false">
      <c r="A229" s="55" t="s">
        <v>154</v>
      </c>
      <c r="B229" s="25" t="s">
        <v>155</v>
      </c>
      <c r="C229" s="25"/>
      <c r="D229" s="25"/>
      <c r="E229" s="25" t="s">
        <v>156</v>
      </c>
      <c r="F229" s="94"/>
      <c r="G229" s="94"/>
      <c r="H229" s="20"/>
    </row>
    <row r="230" customFormat="false" ht="17.35" hidden="false" customHeight="false" outlineLevel="0" collapsed="false">
      <c r="A230" s="70" t="n">
        <f aca="false">A167</f>
        <v>2504.93972800316</v>
      </c>
      <c r="B230" s="37" t="n">
        <f aca="false">B167</f>
        <v>29.7916666666667</v>
      </c>
      <c r="C230" s="67"/>
      <c r="D230" s="67"/>
      <c r="E230" s="37" t="n">
        <f aca="false">E167</f>
        <v>2534.73139466983</v>
      </c>
      <c r="F230" s="94"/>
      <c r="G230" s="94"/>
      <c r="H230" s="20"/>
    </row>
    <row r="231" customFormat="false" ht="17.35" hidden="false" customHeight="false" outlineLevel="0" collapsed="false">
      <c r="A231" s="55"/>
      <c r="B231" s="25"/>
      <c r="C231" s="25"/>
      <c r="D231" s="25"/>
      <c r="E231" s="94"/>
      <c r="F231" s="94"/>
      <c r="G231" s="94"/>
      <c r="H231" s="20"/>
    </row>
    <row r="232" customFormat="false" ht="17.35" hidden="false" customHeight="false" outlineLevel="0" collapsed="false">
      <c r="A232" s="55" t="s">
        <v>157</v>
      </c>
      <c r="B232" s="25" t="s">
        <v>179</v>
      </c>
      <c r="C232" s="25"/>
      <c r="D232" s="25"/>
      <c r="E232" s="25" t="s">
        <v>181</v>
      </c>
      <c r="F232" s="94"/>
      <c r="G232" s="94"/>
      <c r="H232" s="20"/>
    </row>
    <row r="233" customFormat="false" ht="17.35" hidden="false" customHeight="false" outlineLevel="0" collapsed="false">
      <c r="A233" s="70" t="n">
        <f aca="false">E170</f>
        <v>0</v>
      </c>
      <c r="B233" s="37" t="n">
        <f aca="false">E185</f>
        <v>2544.73139466983</v>
      </c>
      <c r="C233" s="25"/>
      <c r="D233" s="25"/>
      <c r="E233" s="37" t="n">
        <f aca="false">A188</f>
        <v>7.481</v>
      </c>
      <c r="F233" s="94"/>
      <c r="G233" s="94"/>
      <c r="H233" s="20"/>
    </row>
    <row r="234" customFormat="false" ht="17.35" hidden="false" customHeight="false" outlineLevel="0" collapsed="false">
      <c r="A234" s="70"/>
      <c r="B234" s="37"/>
      <c r="C234" s="25"/>
      <c r="D234" s="25"/>
      <c r="E234" s="37"/>
      <c r="F234" s="94"/>
      <c r="G234" s="94"/>
      <c r="H234" s="20"/>
    </row>
    <row r="235" customFormat="false" ht="17.35" hidden="false" customHeight="false" outlineLevel="0" collapsed="false">
      <c r="A235" s="78" t="s">
        <v>102</v>
      </c>
      <c r="B235" s="37"/>
      <c r="C235" s="25"/>
      <c r="D235" s="25"/>
      <c r="E235" s="37"/>
      <c r="F235" s="94"/>
      <c r="G235" s="94"/>
      <c r="H235" s="20"/>
    </row>
    <row r="236" customFormat="false" ht="17.35" hidden="false" customHeight="false" outlineLevel="0" collapsed="false">
      <c r="A236" s="70"/>
      <c r="B236" s="37"/>
      <c r="C236" s="25"/>
      <c r="D236" s="25"/>
      <c r="E236" s="37"/>
      <c r="F236" s="94"/>
      <c r="G236" s="94"/>
      <c r="H236" s="20"/>
    </row>
    <row r="237" customFormat="false" ht="17.35" hidden="false" customHeight="false" outlineLevel="0" collapsed="false">
      <c r="A237" s="70"/>
      <c r="B237" s="37"/>
      <c r="C237" s="25"/>
      <c r="D237" s="25"/>
      <c r="E237" s="37"/>
      <c r="F237" s="94"/>
      <c r="G237" s="94"/>
      <c r="H237" s="20"/>
    </row>
    <row r="238" customFormat="false" ht="22.05" hidden="false" customHeight="false" outlineLevel="0" collapsed="false">
      <c r="A238" s="184" t="s">
        <v>183</v>
      </c>
      <c r="B238" s="184"/>
      <c r="C238" s="184"/>
      <c r="D238" s="184"/>
      <c r="E238" s="184"/>
      <c r="F238" s="184"/>
      <c r="G238" s="184"/>
      <c r="H238" s="184"/>
    </row>
    <row r="239" customFormat="false" ht="17.35" hidden="false" customHeight="false" outlineLevel="0" collapsed="false">
      <c r="A239" s="55" t="s">
        <v>184</v>
      </c>
      <c r="B239" s="25" t="s">
        <v>168</v>
      </c>
      <c r="C239" s="25"/>
      <c r="D239" s="25"/>
      <c r="E239" s="38" t="s">
        <v>169</v>
      </c>
      <c r="F239" s="94"/>
      <c r="G239" s="94"/>
      <c r="H239" s="20"/>
    </row>
    <row r="240" customFormat="false" ht="17.35" hidden="false" customHeight="false" outlineLevel="0" collapsed="false">
      <c r="A240" s="70" t="n">
        <f aca="false">H148</f>
        <v>1875</v>
      </c>
      <c r="B240" s="37" t="n">
        <f aca="false">B68</f>
        <v>118.749983333333</v>
      </c>
      <c r="C240" s="25"/>
      <c r="D240" s="25"/>
      <c r="E240" s="37" t="n">
        <f aca="false">E188</f>
        <v>8.25</v>
      </c>
      <c r="F240" s="94"/>
      <c r="G240" s="94"/>
      <c r="H240" s="20"/>
    </row>
    <row r="241" customFormat="false" ht="17.35" hidden="false" customHeight="false" outlineLevel="0" collapsed="false">
      <c r="A241" s="70"/>
      <c r="B241" s="37"/>
      <c r="C241" s="25"/>
      <c r="D241" s="25"/>
      <c r="E241" s="94"/>
      <c r="F241" s="94"/>
      <c r="G241" s="94"/>
      <c r="H241" s="20"/>
    </row>
    <row r="242" customFormat="false" ht="17.35" hidden="false" customHeight="false" outlineLevel="0" collapsed="false">
      <c r="A242" s="78" t="s">
        <v>170</v>
      </c>
      <c r="B242" s="38" t="s">
        <v>171</v>
      </c>
      <c r="C242" s="25"/>
      <c r="D242" s="25"/>
      <c r="E242" s="38"/>
      <c r="F242" s="94"/>
      <c r="G242" s="94"/>
      <c r="H242" s="20"/>
    </row>
    <row r="243" customFormat="false" ht="17.35" hidden="false" customHeight="false" outlineLevel="0" collapsed="false">
      <c r="A243" s="70" t="n">
        <f aca="false">A191</f>
        <v>99.99</v>
      </c>
      <c r="B243" s="37" t="n">
        <f aca="false">B240+E240+A243+A240</f>
        <v>2101.98998333333</v>
      </c>
      <c r="C243" s="25"/>
      <c r="D243" s="25"/>
      <c r="E243" s="37"/>
      <c r="F243" s="94"/>
      <c r="G243" s="94"/>
      <c r="H243" s="20"/>
    </row>
    <row r="244" customFormat="false" ht="17.35" hidden="false" customHeight="false" outlineLevel="0" collapsed="false">
      <c r="A244" s="55"/>
      <c r="B244" s="25"/>
      <c r="C244" s="25"/>
      <c r="D244" s="25"/>
      <c r="E244" s="94"/>
      <c r="F244" s="94"/>
      <c r="G244" s="94"/>
      <c r="H244" s="20"/>
    </row>
    <row r="245" customFormat="false" ht="17.35" hidden="false" customHeight="false" outlineLevel="0" collapsed="false">
      <c r="A245" s="74"/>
      <c r="B245" s="75"/>
      <c r="C245" s="75"/>
      <c r="D245" s="75"/>
      <c r="E245" s="75"/>
      <c r="F245" s="75"/>
      <c r="G245" s="75"/>
      <c r="H245" s="82"/>
    </row>
    <row r="251" customFormat="false" ht="22.05" hidden="false" customHeight="false" outlineLevel="0" collapsed="false">
      <c r="A251" s="179" t="s">
        <v>185</v>
      </c>
      <c r="B251" s="179"/>
      <c r="C251" s="179"/>
      <c r="D251" s="179"/>
      <c r="E251" s="179"/>
      <c r="F251" s="179"/>
      <c r="G251" s="179"/>
      <c r="H251" s="179"/>
    </row>
    <row r="252" customFormat="false" ht="17.35" hidden="false" customHeight="false" outlineLevel="0" collapsed="false">
      <c r="A252" s="55"/>
      <c r="B252" s="178"/>
      <c r="C252" s="178"/>
      <c r="D252" s="178"/>
      <c r="E252" s="45"/>
      <c r="F252" s="45"/>
      <c r="G252" s="45"/>
      <c r="H252" s="20"/>
    </row>
    <row r="253" customFormat="false" ht="17.35" hidden="false" customHeight="false" outlineLevel="0" collapsed="false">
      <c r="A253" s="180" t="s">
        <v>186</v>
      </c>
      <c r="B253" s="185" t="n">
        <f aca="false">K35</f>
        <v>0.065</v>
      </c>
      <c r="C253" s="186"/>
      <c r="D253" s="187" t="s">
        <v>187</v>
      </c>
      <c r="E253" s="187"/>
      <c r="F253" s="185" t="n">
        <f aca="false">B83</f>
        <v>0.0995</v>
      </c>
      <c r="G253" s="45"/>
      <c r="H253" s="20"/>
    </row>
    <row r="254" customFormat="false" ht="17.35" hidden="false" customHeight="false" outlineLevel="0" collapsed="false">
      <c r="A254" s="180" t="s">
        <v>188</v>
      </c>
      <c r="B254" s="188"/>
      <c r="C254" s="186"/>
      <c r="D254" s="187" t="s">
        <v>189</v>
      </c>
      <c r="E254" s="187"/>
      <c r="F254" s="188" t="n">
        <f aca="false">F261+F267+F269+B270+B271</f>
        <v>142.49998</v>
      </c>
      <c r="G254" s="45"/>
      <c r="H254" s="20"/>
    </row>
    <row r="255" customFormat="false" ht="17.35" hidden="false" customHeight="false" outlineLevel="0" collapsed="false">
      <c r="A255" s="180" t="s">
        <v>190</v>
      </c>
      <c r="B255" s="188" t="n">
        <f aca="false">F262+B263</f>
        <v>182.49</v>
      </c>
      <c r="C255" s="186"/>
      <c r="D255" s="187" t="s">
        <v>191</v>
      </c>
      <c r="E255" s="187"/>
      <c r="F255" s="188" t="n">
        <f aca="false">(B254-F254)+B255</f>
        <v>39.99002</v>
      </c>
      <c r="G255" s="45"/>
      <c r="H255" s="20"/>
    </row>
    <row r="256" customFormat="false" ht="17.35" hidden="false" customHeight="false" outlineLevel="0" collapsed="false">
      <c r="A256" s="189"/>
      <c r="B256" s="187"/>
      <c r="C256" s="190"/>
      <c r="D256" s="190"/>
      <c r="E256" s="190"/>
      <c r="F256" s="190"/>
      <c r="G256" s="191"/>
      <c r="H256" s="192"/>
    </row>
    <row r="257" customFormat="false" ht="17.35" hidden="false" customHeight="false" outlineLevel="0" collapsed="false">
      <c r="A257" s="55" t="s">
        <v>186</v>
      </c>
      <c r="B257" s="193" t="n">
        <f aca="false">B253</f>
        <v>0.065</v>
      </c>
      <c r="C257" s="186"/>
      <c r="D257" s="186"/>
      <c r="E257" s="186"/>
      <c r="F257" s="186"/>
      <c r="G257" s="45"/>
      <c r="H257" s="20"/>
    </row>
    <row r="258" customFormat="false" ht="17.35" hidden="false" customHeight="false" outlineLevel="0" collapsed="false">
      <c r="A258" s="194"/>
      <c r="B258" s="195"/>
      <c r="C258" s="196"/>
      <c r="D258" s="196"/>
      <c r="E258" s="191"/>
      <c r="F258" s="191"/>
      <c r="G258" s="191"/>
      <c r="H258" s="192"/>
    </row>
    <row r="259" customFormat="false" ht="17.35" hidden="false" customHeight="false" outlineLevel="0" collapsed="false">
      <c r="A259" s="55" t="s">
        <v>192</v>
      </c>
      <c r="B259" s="193" t="n">
        <f aca="false">B64</f>
        <v>0.024</v>
      </c>
      <c r="C259" s="178"/>
      <c r="D259" s="38" t="s">
        <v>193</v>
      </c>
      <c r="E259" s="38"/>
      <c r="F259" s="193" t="n">
        <v>0</v>
      </c>
      <c r="G259" s="45"/>
      <c r="H259" s="20"/>
    </row>
    <row r="260" customFormat="false" ht="17.35" hidden="false" customHeight="false" outlineLevel="0" collapsed="false">
      <c r="A260" s="123" t="s">
        <v>187</v>
      </c>
      <c r="B260" s="197" t="n">
        <f aca="false">B83</f>
        <v>0.0995</v>
      </c>
      <c r="C260" s="198"/>
      <c r="D260" s="38" t="s">
        <v>188</v>
      </c>
      <c r="E260" s="38"/>
      <c r="F260" s="199" t="n">
        <f aca="false">(B89*B59)-(C89*B59)</f>
        <v>27554.3370080348</v>
      </c>
      <c r="G260" s="45"/>
      <c r="H260" s="20"/>
    </row>
    <row r="261" customFormat="false" ht="17.35" hidden="false" customHeight="false" outlineLevel="0" collapsed="false">
      <c r="A261" s="55" t="s">
        <v>194</v>
      </c>
      <c r="B261" s="197" t="n">
        <f aca="false">B67</f>
        <v>0.005</v>
      </c>
      <c r="C261" s="178"/>
      <c r="D261" s="38" t="s">
        <v>194</v>
      </c>
      <c r="E261" s="38"/>
      <c r="F261" s="152" t="n">
        <f aca="false">B68*1.2</f>
        <v>142.49998</v>
      </c>
      <c r="G261" s="45"/>
      <c r="H261" s="20"/>
    </row>
    <row r="262" customFormat="false" ht="17.35" hidden="false" customHeight="false" outlineLevel="0" collapsed="false">
      <c r="A262" s="55" t="s">
        <v>195</v>
      </c>
      <c r="B262" s="193" t="n">
        <f aca="false">A108</f>
        <v>0.3</v>
      </c>
      <c r="C262" s="178"/>
      <c r="D262" s="38" t="s">
        <v>195</v>
      </c>
      <c r="E262" s="38"/>
      <c r="F262" s="199" t="n">
        <f aca="false">E240*10</f>
        <v>82.5</v>
      </c>
      <c r="G262" s="45"/>
      <c r="H262" s="20"/>
    </row>
    <row r="263" customFormat="false" ht="17.35" hidden="false" customHeight="false" outlineLevel="0" collapsed="false">
      <c r="A263" s="55" t="s">
        <v>196</v>
      </c>
      <c r="B263" s="199" t="n">
        <f aca="false">A243</f>
        <v>99.99</v>
      </c>
      <c r="C263" s="178"/>
      <c r="D263" s="200" t="s">
        <v>191</v>
      </c>
      <c r="E263" s="200"/>
      <c r="F263" s="199" t="n">
        <f aca="false">(B254-F254)+B255</f>
        <v>39.99002</v>
      </c>
      <c r="G263" s="45"/>
      <c r="H263" s="20"/>
    </row>
    <row r="264" customFormat="false" ht="17.35" hidden="false" customHeight="false" outlineLevel="0" collapsed="false">
      <c r="A264" s="70"/>
      <c r="B264" s="201"/>
      <c r="C264" s="178"/>
      <c r="D264" s="178"/>
      <c r="E264" s="201"/>
      <c r="F264" s="45"/>
      <c r="G264" s="45"/>
      <c r="H264" s="20"/>
    </row>
    <row r="265" customFormat="false" ht="22.05" hidden="false" customHeight="false" outlineLevel="0" collapsed="false">
      <c r="A265" s="184" t="s">
        <v>197</v>
      </c>
      <c r="B265" s="184"/>
      <c r="C265" s="184"/>
      <c r="D265" s="184"/>
      <c r="E265" s="184"/>
      <c r="F265" s="184"/>
      <c r="G265" s="184"/>
      <c r="H265" s="184"/>
    </row>
    <row r="266" customFormat="false" ht="17.35" hidden="false" customHeight="false" outlineLevel="0" collapsed="false">
      <c r="A266" s="55" t="s">
        <v>198</v>
      </c>
      <c r="B266" s="152" t="n">
        <v>0</v>
      </c>
      <c r="C266" s="178"/>
      <c r="D266" s="202" t="s">
        <v>199</v>
      </c>
      <c r="E266" s="202"/>
      <c r="F266" s="152" t="n">
        <v>0</v>
      </c>
      <c r="G266" s="45"/>
      <c r="H266" s="20"/>
    </row>
    <row r="267" customFormat="false" ht="17.35" hidden="false" customHeight="false" outlineLevel="0" collapsed="false">
      <c r="A267" s="70"/>
      <c r="B267" s="199"/>
      <c r="C267" s="178"/>
      <c r="D267" s="38" t="s">
        <v>200</v>
      </c>
      <c r="E267" s="38"/>
      <c r="F267" s="199" t="n">
        <f aca="false">B266+F266*B209</f>
        <v>0</v>
      </c>
      <c r="G267" s="45"/>
      <c r="H267" s="20"/>
    </row>
    <row r="268" customFormat="false" ht="17.35" hidden="false" customHeight="false" outlineLevel="0" collapsed="false">
      <c r="A268" s="78" t="s">
        <v>201</v>
      </c>
      <c r="B268" s="203" t="s">
        <v>4</v>
      </c>
      <c r="C268" s="178"/>
      <c r="D268" s="38" t="s">
        <v>202</v>
      </c>
      <c r="E268" s="38"/>
      <c r="F268" s="203" t="n">
        <f aca="false">B70</f>
        <v>0</v>
      </c>
      <c r="G268" s="45"/>
      <c r="H268" s="20"/>
    </row>
    <row r="269" customFormat="false" ht="17.35" hidden="false" customHeight="false" outlineLevel="0" collapsed="false">
      <c r="A269" s="78"/>
      <c r="B269" s="204"/>
      <c r="C269" s="178"/>
      <c r="D269" s="38" t="s">
        <v>203</v>
      </c>
      <c r="E269" s="38"/>
      <c r="F269" s="199" t="n">
        <f aca="false">B91</f>
        <v>0</v>
      </c>
      <c r="G269" s="45"/>
      <c r="H269" s="20"/>
    </row>
    <row r="270" customFormat="false" ht="17.35" hidden="false" customHeight="false" outlineLevel="0" collapsed="false">
      <c r="A270" s="78" t="s">
        <v>204</v>
      </c>
      <c r="B270" s="152" t="n">
        <v>0</v>
      </c>
      <c r="C270" s="178"/>
      <c r="D270" s="178"/>
      <c r="E270" s="201"/>
      <c r="F270" s="45"/>
      <c r="G270" s="45"/>
      <c r="H270" s="20"/>
    </row>
    <row r="271" customFormat="false" ht="17.35" hidden="false" customHeight="false" outlineLevel="0" collapsed="false">
      <c r="A271" s="55" t="s">
        <v>205</v>
      </c>
      <c r="B271" s="152" t="n">
        <v>0</v>
      </c>
      <c r="C271" s="178"/>
      <c r="D271" s="178"/>
      <c r="E271" s="45"/>
      <c r="F271" s="45"/>
      <c r="G271" s="45"/>
      <c r="H271" s="20"/>
      <c r="J271" s="1" t="n">
        <v>4</v>
      </c>
    </row>
    <row r="272" customFormat="false" ht="17.35" hidden="false" customHeight="false" outlineLevel="0" collapsed="false">
      <c r="A272" s="74"/>
      <c r="B272" s="75"/>
      <c r="C272" s="75"/>
      <c r="D272" s="75"/>
      <c r="E272" s="75"/>
      <c r="F272" s="75"/>
      <c r="G272" s="75"/>
      <c r="H272" s="82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60">
    <mergeCell ref="A1:F1"/>
    <mergeCell ref="D7:E18"/>
    <mergeCell ref="A16:C18"/>
    <mergeCell ref="A19:D19"/>
    <mergeCell ref="A21:D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operator="between" showDropDown="false" showErrorMessage="true" showInputMessage="true" sqref="B105 K105 T105 AC105" type="list">
      <formula1>#ref!</formula1>
      <formula2>0</formula2>
    </dataValidation>
    <dataValidation allowBlank="true" operator="between" showDropDown="false" showErrorMessage="true" showInputMessage="true" sqref="A144:A146 J144:J146 S144:S146 AB144:AB146" type="list">
      <formula1>#ref!</formula1>
      <formula2>0</formula2>
    </dataValidation>
    <dataValidation allowBlank="true" operator="between" showDropDown="false" showErrorMessage="true" showInputMessage="true" sqref="B108:D108 K108:M108 T108:V108 AC108:AE108" type="list">
      <formula1>#ref!</formula1>
      <formula2>0</formula2>
    </dataValidation>
    <dataValidation allowBlank="true" operator="between" showDropDown="false" showErrorMessage="true" showInputMessage="true" sqref="N105 W105 AF105 J111 S111 AB111" type="list">
      <formula1>#ref!</formula1>
      <formula2>0</formula2>
    </dataValidation>
    <dataValidation allowBlank="true" operator="between" showDropDown="false" showErrorMessage="true" showInputMessage="true" sqref="B26 E105 A111" type="list">
      <formula1>HirePurchaseNonRegulated!$K$9:$K$10</formula1>
      <formula2>0</formula2>
    </dataValidation>
    <dataValidation allowBlank="true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9" colorId="64" zoomScale="75" zoomScaleNormal="75" zoomScalePageLayoutView="100" workbookViewId="0">
      <selection pane="topLeft" activeCell="D121" activeCellId="0" sqref="D121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3" t="s">
        <v>0</v>
      </c>
      <c r="B1" s="3"/>
      <c r="C1" s="3"/>
      <c r="D1" s="3"/>
      <c r="E1" s="3"/>
      <c r="F1" s="3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8.75" hidden="false" customHeight="true" outlineLevel="0" collapsed="false">
      <c r="A2" s="5" t="s">
        <v>1</v>
      </c>
      <c r="B2" s="6" t="n">
        <f aca="false">B9+B11</f>
        <v>23958.33</v>
      </c>
      <c r="C2" s="5" t="s">
        <v>2</v>
      </c>
      <c r="D2" s="6" t="n">
        <f aca="false">C9</f>
        <v>4791.666</v>
      </c>
      <c r="E2" s="5" t="s">
        <v>3</v>
      </c>
      <c r="F2" s="7" t="n">
        <f aca="false">B13</f>
        <v>0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8.75" hidden="false" customHeight="true" outlineLevel="0" collapsed="false">
      <c r="A3" s="10"/>
      <c r="B3" s="11"/>
      <c r="C3" s="11"/>
      <c r="D3" s="11"/>
      <c r="E3" s="11"/>
      <c r="F3" s="12" t="s">
        <v>4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8.75" hidden="false" customHeight="true" outlineLevel="0" collapsed="false">
      <c r="A4" s="5" t="s">
        <v>5</v>
      </c>
      <c r="B4" s="6" t="n">
        <f aca="false">B15+C15</f>
        <v>28749.996</v>
      </c>
      <c r="C4" s="15"/>
      <c r="D4" s="15"/>
      <c r="E4" s="15"/>
      <c r="F4" s="16" t="s">
        <v>4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8.75" hidden="false" customHeight="true" outlineLevel="0" collapsed="false">
      <c r="A5" s="19"/>
      <c r="B5" s="19"/>
      <c r="C5" s="19"/>
      <c r="D5" s="19"/>
      <c r="E5" s="19"/>
      <c r="F5" s="19" t="s">
        <v>4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8.75" hidden="false" customHeight="true" outlineLevel="0" collapsed="false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8.75" hidden="false" customHeight="true" outlineLevel="0" collapsed="false">
      <c r="A7" s="22" t="s">
        <v>6</v>
      </c>
      <c r="B7" s="22" t="s">
        <v>7</v>
      </c>
      <c r="C7" s="22" t="s">
        <v>2</v>
      </c>
      <c r="D7" s="23"/>
      <c r="E7" s="23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8.75" hidden="false" customHeight="true" outlineLevel="0" collapsed="false">
      <c r="A8" s="24"/>
      <c r="B8" s="19"/>
      <c r="C8" s="19"/>
      <c r="D8" s="23"/>
      <c r="E8" s="23"/>
      <c r="F8" s="19"/>
      <c r="G8" s="19"/>
      <c r="H8" s="19"/>
      <c r="I8" s="26" t="s">
        <v>3</v>
      </c>
      <c r="J8" s="27" t="n">
        <f aca="false">E13+E14</f>
        <v>0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8.75" hidden="false" customHeight="true" outlineLevel="0" collapsed="false">
      <c r="A9" s="22" t="s">
        <v>8</v>
      </c>
      <c r="B9" s="28" t="n">
        <v>23958.33</v>
      </c>
      <c r="C9" s="27" t="n">
        <f aca="false">B9*0.2</f>
        <v>4791.666</v>
      </c>
      <c r="D9" s="23"/>
      <c r="E9" s="23"/>
      <c r="F9" s="19"/>
      <c r="G9" s="19"/>
      <c r="H9" s="19"/>
      <c r="I9" s="27"/>
      <c r="J9" s="27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8.75" hidden="false" customHeight="true" outlineLevel="0" collapsed="false">
      <c r="A10" s="31"/>
      <c r="B10" s="19"/>
      <c r="C10" s="19"/>
      <c r="D10" s="23"/>
      <c r="E10" s="23"/>
      <c r="F10" s="19"/>
      <c r="G10" s="19"/>
      <c r="H10" s="19"/>
      <c r="I10" s="32" t="s">
        <v>1</v>
      </c>
      <c r="J10" s="27" t="n">
        <f aca="false">E15-E11-J8</f>
        <v>0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8.75" hidden="false" customHeight="true" outlineLevel="0" collapsed="false">
      <c r="A11" s="22" t="s">
        <v>11</v>
      </c>
      <c r="B11" s="28" t="n">
        <v>0</v>
      </c>
      <c r="C11" s="28" t="n">
        <f aca="false">B11*0.2</f>
        <v>0</v>
      </c>
      <c r="D11" s="23"/>
      <c r="E11" s="23"/>
      <c r="F11" s="19"/>
      <c r="G11" s="19"/>
      <c r="H11" s="19"/>
      <c r="I11" s="27"/>
      <c r="J11" s="27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8.75" hidden="false" customHeight="true" outlineLevel="0" collapsed="false">
      <c r="A12" s="31"/>
      <c r="B12" s="19"/>
      <c r="C12" s="19"/>
      <c r="D12" s="23"/>
      <c r="E12" s="23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8.75" hidden="false" customHeight="true" outlineLevel="0" collapsed="false">
      <c r="A13" s="22" t="s">
        <v>12</v>
      </c>
      <c r="B13" s="28" t="n">
        <v>0</v>
      </c>
      <c r="C13" s="27"/>
      <c r="D13" s="23"/>
      <c r="E13" s="23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8.75" hidden="false" customHeight="true" outlineLevel="0" collapsed="false">
      <c r="A14" s="31"/>
      <c r="B14" s="19"/>
      <c r="C14" s="19"/>
      <c r="D14" s="23"/>
      <c r="E14" s="23"/>
      <c r="F14" s="19"/>
      <c r="G14" s="19" t="s">
        <v>13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8.75" hidden="false" customHeight="true" outlineLevel="0" collapsed="false">
      <c r="A15" s="22" t="s">
        <v>14</v>
      </c>
      <c r="B15" s="27" t="n">
        <f aca="false">SUM(B9:B13)</f>
        <v>23958.33</v>
      </c>
      <c r="C15" s="27" t="n">
        <f aca="false">SUM(C9:C13)</f>
        <v>4791.666</v>
      </c>
      <c r="D15" s="23"/>
      <c r="E15" s="23"/>
      <c r="F15" s="19"/>
      <c r="G15" s="205" t="n">
        <f aca="false">E15</f>
        <v>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8.75" hidden="false" customHeight="true" outlineLevel="0" collapsed="false">
      <c r="A16" s="35"/>
      <c r="B16" s="35"/>
      <c r="C16" s="35"/>
      <c r="D16" s="23"/>
      <c r="E16" s="23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6" t="s">
        <v>15</v>
      </c>
      <c r="Z16" s="19"/>
    </row>
    <row r="17" customFormat="false" ht="18.75" hidden="false" customHeight="true" outlineLevel="0" collapsed="false">
      <c r="A17" s="35"/>
      <c r="B17" s="35"/>
      <c r="C17" s="35"/>
      <c r="D17" s="23"/>
      <c r="E17" s="23"/>
      <c r="F17" s="19"/>
      <c r="G17" s="19" t="s">
        <v>16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6" t="s">
        <v>17</v>
      </c>
      <c r="Z17" s="19"/>
    </row>
    <row r="18" customFormat="false" ht="18.75" hidden="false" customHeight="true" outlineLevel="0" collapsed="false">
      <c r="A18" s="35"/>
      <c r="B18" s="35"/>
      <c r="C18" s="35"/>
      <c r="D18" s="23"/>
      <c r="E18" s="23"/>
      <c r="F18" s="19"/>
      <c r="G18" s="205" t="n">
        <f aca="false">(B3+C3+D3+E3+E10)*1.2</f>
        <v>0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6" t="s">
        <v>18</v>
      </c>
      <c r="Z18" s="19"/>
    </row>
    <row r="19" customFormat="false" ht="18.75" hidden="false" customHeight="true" outlineLevel="0" collapsed="false">
      <c r="A19" s="40" t="s">
        <v>19</v>
      </c>
      <c r="B19" s="40"/>
      <c r="C19" s="40"/>
      <c r="D19" s="40"/>
      <c r="E19" s="27" t="n">
        <f aca="false">B4</f>
        <v>28749.996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 t="s">
        <v>9</v>
      </c>
    </row>
    <row r="20" customFormat="false" ht="18.75" hidden="false" customHeight="true" outlineLevel="0" collapsed="false">
      <c r="A20" s="41"/>
      <c r="B20" s="19"/>
      <c r="C20" s="19"/>
      <c r="D20" s="19"/>
      <c r="E20" s="42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 t="s">
        <v>10</v>
      </c>
    </row>
    <row r="21" customFormat="false" ht="18.75" hidden="false" customHeight="true" outlineLevel="0" collapsed="false">
      <c r="A21" s="40" t="s">
        <v>20</v>
      </c>
      <c r="B21" s="40"/>
      <c r="C21" s="40"/>
      <c r="D21" s="40"/>
      <c r="E21" s="27" t="n">
        <f aca="false">B15</f>
        <v>23958.33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8.75" hidden="false" customHeight="true" outlineLevel="0" collapsed="false">
      <c r="A22" s="207"/>
      <c r="B22" s="207"/>
      <c r="C22" s="207"/>
      <c r="D22" s="207"/>
      <c r="E22" s="207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7.35" hidden="false" customHeight="false" outlineLevel="0" collapsed="false">
      <c r="A23" s="207"/>
      <c r="B23" s="207"/>
      <c r="C23" s="207"/>
      <c r="D23" s="207"/>
      <c r="E23" s="207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56.7" hidden="false" customHeight="true" outlineLevel="0" collapsed="false">
      <c r="A24" s="208" t="s">
        <v>208</v>
      </c>
      <c r="B24" s="208"/>
      <c r="C24" s="208"/>
      <c r="D24" s="208"/>
      <c r="E24" s="20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8.75" hidden="false" customHeight="true" outlineLevel="0" collapsed="false">
      <c r="A25" s="209"/>
      <c r="B25" s="207"/>
      <c r="C25" s="207"/>
      <c r="D25" s="207"/>
      <c r="E25" s="21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8.75" hidden="false" customHeight="true" outlineLevel="0" collapsed="false">
      <c r="A26" s="211" t="s">
        <v>209</v>
      </c>
      <c r="B26" s="211"/>
      <c r="C26" s="211"/>
      <c r="D26" s="211"/>
      <c r="E26" s="211"/>
      <c r="F26" s="19"/>
      <c r="G26" s="212"/>
      <c r="H26" s="212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8.75" hidden="false" customHeight="true" outlineLevel="0" collapsed="false">
      <c r="A27" s="209"/>
      <c r="B27" s="207"/>
      <c r="C27" s="207"/>
      <c r="D27" s="207"/>
      <c r="E27" s="210"/>
      <c r="F27" s="19"/>
      <c r="G27" s="213" t="s">
        <v>46</v>
      </c>
      <c r="H27" s="213" t="n">
        <f aca="false">IF(A32=Y103,1,IF(A32=Y104,1,IF(A32=Y105,3,IF(A32=Y106,6,IF(A32=Y107,9,IF(A32=Y108,12,IF(A32=Y109,3,IF(A32=Y110,6,IF(A32=Y111,9,0)))))))))</f>
        <v>0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8.75" hidden="false" customHeight="true" outlineLevel="0" collapsed="false">
      <c r="A28" s="214" t="s">
        <v>210</v>
      </c>
      <c r="B28" s="215" t="s">
        <v>211</v>
      </c>
      <c r="C28" s="207"/>
      <c r="D28" s="215" t="s">
        <v>212</v>
      </c>
      <c r="E28" s="210"/>
      <c r="F28" s="19"/>
      <c r="G28" s="213" t="s">
        <v>60</v>
      </c>
      <c r="H28" s="213" t="n">
        <f aca="false">IF(A32=Y103,H29-H37,IF(A32=Y104,H29-H37,IF(A32=Y105,H29-1,IF(A32=Y106,H29-1,IF(A32=Y107,H29-1,IF(A32=Y108,H29-1,IF(A32=Y109,H29-H37,IF(A32=Y110,H29-H37,IF(A32=Y111,H29-H37,0)))))))))</f>
        <v>0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8.75" hidden="false" customHeight="true" outlineLevel="0" collapsed="false">
      <c r="A29" s="216" t="s">
        <v>213</v>
      </c>
      <c r="B29" s="217" t="n">
        <v>12345</v>
      </c>
      <c r="C29" s="217"/>
      <c r="D29" s="218" t="n">
        <f aca="true">TODAY()+1</f>
        <v>45008</v>
      </c>
      <c r="E29" s="218"/>
      <c r="F29" s="19"/>
      <c r="G29" s="212" t="s">
        <v>214</v>
      </c>
      <c r="H29" s="212" t="n">
        <f aca="false">B35</f>
        <v>12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8.75" hidden="false" customHeight="true" outlineLevel="0" collapsed="false">
      <c r="A30" s="209"/>
      <c r="B30" s="21"/>
      <c r="C30" s="21"/>
      <c r="D30" s="207"/>
      <c r="E30" s="210"/>
      <c r="F30" s="19"/>
      <c r="G30" s="212" t="s">
        <v>31</v>
      </c>
      <c r="H30" s="212" t="n">
        <f aca="false">D35</f>
        <v>5000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8.75" hidden="false" customHeight="true" outlineLevel="0" collapsed="false">
      <c r="A31" s="214" t="s">
        <v>23</v>
      </c>
      <c r="B31" s="215" t="s">
        <v>215</v>
      </c>
      <c r="C31" s="207"/>
      <c r="D31" s="215" t="s">
        <v>216</v>
      </c>
      <c r="E31" s="210"/>
      <c r="F31" s="19"/>
      <c r="G31" s="212" t="s">
        <v>217</v>
      </c>
      <c r="H31" s="219" t="str">
        <f aca="false">D38</f>
        <v>500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8.75" hidden="false" customHeight="true" outlineLevel="0" collapsed="false">
      <c r="A32" s="216" t="s">
        <v>100</v>
      </c>
      <c r="B32" s="220" t="str">
        <f aca="false">IF(A32=Z103,D38,IF(A32=Z104,D38,IF(A32=Z105,(D38*3),IF(A32=Z106,(D38*6),IF(A32=Z107,(D38*9),IF(A32=Z108,(D38*12),IF(A32=Z109,D38,IF(A32=Z110,D38,IF(A32=Z111,D38,0)))))))))</f>
        <v>500</v>
      </c>
      <c r="C32" s="220"/>
      <c r="D32" s="220" t="n">
        <f aca="false">IF(A32=Z103,A41,IF(A32=Z104,A41,IF(A32=Z105,(A41*3),IF(A32=Z106,(A41*6),IF(A32=Z107,(A41*9),IF(A32=Z108,(A41*12),IF(A32=Z109,A41,IF(A32=Z110,A41,IF(A32=Z111,A41,0)))))))))</f>
        <v>21.04</v>
      </c>
      <c r="E32" s="220"/>
      <c r="F32" s="19"/>
      <c r="G32" s="221" t="s">
        <v>218</v>
      </c>
      <c r="H32" s="219" t="n">
        <f aca="false">A41</f>
        <v>21.04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18.75" hidden="false" customHeight="true" outlineLevel="0" collapsed="false">
      <c r="A33" s="222"/>
      <c r="B33" s="174"/>
      <c r="C33" s="223"/>
      <c r="D33" s="176"/>
      <c r="E33" s="210"/>
      <c r="F33" s="19"/>
      <c r="G33" s="221" t="s">
        <v>219</v>
      </c>
      <c r="H33" s="219" t="n">
        <f aca="false">D41</f>
        <v>6000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8.75" hidden="false" customHeight="true" outlineLevel="0" collapsed="false">
      <c r="A34" s="222" t="s">
        <v>220</v>
      </c>
      <c r="B34" s="224" t="s">
        <v>221</v>
      </c>
      <c r="C34" s="223"/>
      <c r="D34" s="64" t="s">
        <v>175</v>
      </c>
      <c r="E34" s="210"/>
      <c r="F34" s="19"/>
      <c r="G34" s="221" t="s">
        <v>222</v>
      </c>
      <c r="H34" s="219" t="str">
        <f aca="false">A44</f>
        <v>12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8.75" hidden="false" customHeight="true" outlineLevel="0" collapsed="false">
      <c r="A35" s="220" t="n">
        <f aca="false">B32+D32</f>
        <v>521.04</v>
      </c>
      <c r="B35" s="217" t="n">
        <v>12</v>
      </c>
      <c r="C35" s="217"/>
      <c r="D35" s="217" t="n">
        <v>5000</v>
      </c>
      <c r="E35" s="217"/>
      <c r="F35" s="19"/>
      <c r="G35" s="225"/>
      <c r="H35" s="226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8.75" hidden="false" customHeight="true" outlineLevel="0" collapsed="false">
      <c r="A36" s="209"/>
      <c r="B36" s="207"/>
      <c r="C36" s="207"/>
      <c r="D36" s="207"/>
      <c r="E36" s="210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8.75" hidden="false" customHeight="true" outlineLevel="0" collapsed="false">
      <c r="A37" s="214" t="s">
        <v>223</v>
      </c>
      <c r="B37" s="215" t="s">
        <v>224</v>
      </c>
      <c r="C37" s="207"/>
      <c r="D37" s="215" t="s">
        <v>225</v>
      </c>
      <c r="E37" s="210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8.75" hidden="false" customHeight="true" outlineLevel="0" collapsed="false">
      <c r="A38" s="227" t="n">
        <f aca="false">(B35/12)*D35</f>
        <v>5000</v>
      </c>
      <c r="B38" s="217" t="s">
        <v>10</v>
      </c>
      <c r="C38" s="217"/>
      <c r="D38" s="60" t="s">
        <v>226</v>
      </c>
      <c r="E38" s="60"/>
      <c r="F38" s="19"/>
      <c r="G38" s="19"/>
      <c r="H38" s="19"/>
      <c r="I38" s="22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8.75" hidden="false" customHeight="true" outlineLevel="0" collapsed="false">
      <c r="A39" s="229"/>
      <c r="B39" s="223"/>
      <c r="C39" s="223"/>
      <c r="D39" s="207"/>
      <c r="E39" s="210"/>
      <c r="F39" s="19"/>
      <c r="G39" s="19"/>
      <c r="H39" s="228"/>
      <c r="I39" s="228"/>
      <c r="J39" s="22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8.75" hidden="false" customHeight="true" outlineLevel="0" collapsed="false">
      <c r="A40" s="230" t="s">
        <v>227</v>
      </c>
      <c r="B40" s="231" t="s">
        <v>93</v>
      </c>
      <c r="C40" s="223"/>
      <c r="D40" s="232" t="s">
        <v>228</v>
      </c>
      <c r="E40" s="210"/>
      <c r="F40" s="19"/>
      <c r="G40" s="19"/>
      <c r="H40" s="228"/>
      <c r="I40" s="228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8.75" hidden="false" customHeight="true" outlineLevel="0" collapsed="false">
      <c r="A41" s="60" t="n">
        <v>21.04</v>
      </c>
      <c r="B41" s="233" t="str">
        <f aca="false">IF(B38="YES", D38+A41, D38)</f>
        <v>500</v>
      </c>
      <c r="C41" s="233"/>
      <c r="D41" s="234" t="n">
        <v>6000</v>
      </c>
      <c r="E41" s="234"/>
      <c r="F41" s="19"/>
      <c r="G41" s="19"/>
      <c r="H41" s="235"/>
      <c r="I41" s="22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8.75" hidden="false" customHeight="true" outlineLevel="0" collapsed="false">
      <c r="A42" s="229"/>
      <c r="B42" s="223"/>
      <c r="C42" s="223"/>
      <c r="D42" s="223"/>
      <c r="E42" s="236"/>
      <c r="F42" s="19"/>
      <c r="G42" s="237" t="s">
        <v>42</v>
      </c>
      <c r="H42" s="237"/>
      <c r="I42" s="22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8.75" hidden="false" customHeight="true" outlineLevel="0" collapsed="false">
      <c r="A43" s="230" t="s">
        <v>111</v>
      </c>
      <c r="B43" s="231" t="s">
        <v>229</v>
      </c>
      <c r="C43" s="223"/>
      <c r="D43" s="231" t="s">
        <v>230</v>
      </c>
      <c r="E43" s="236"/>
      <c r="F43" s="19"/>
      <c r="G43" s="19" t="s">
        <v>231</v>
      </c>
      <c r="H43" s="228" t="n">
        <f aca="false">((((D38*(B35-1))+B32)/B35) + (A44/B35))</f>
        <v>501</v>
      </c>
      <c r="I43" s="22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8.75" hidden="false" customHeight="true" outlineLevel="0" collapsed="false">
      <c r="A44" s="60" t="s">
        <v>232</v>
      </c>
      <c r="B44" s="234" t="n">
        <v>0</v>
      </c>
      <c r="C44" s="234"/>
      <c r="D44" s="234" t="n">
        <v>0</v>
      </c>
      <c r="E44" s="234"/>
      <c r="F44" s="19"/>
      <c r="G44" s="19" t="s">
        <v>233</v>
      </c>
      <c r="H44" s="228" t="n">
        <f aca="false">H32</f>
        <v>21.04</v>
      </c>
      <c r="I44" s="238" t="n">
        <f aca="false">((A41*(B35-1))+D32)/B35</f>
        <v>21.04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8.75" hidden="false" customHeight="true" outlineLevel="0" collapsed="false">
      <c r="A45" s="229"/>
      <c r="B45" s="223"/>
      <c r="C45" s="223"/>
      <c r="D45" s="223"/>
      <c r="E45" s="236"/>
      <c r="F45" s="19"/>
      <c r="G45" s="19" t="s">
        <v>234</v>
      </c>
      <c r="H45" s="239" t="n">
        <f aca="false">H43+H44</f>
        <v>522.04</v>
      </c>
      <c r="I45" s="22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8.75" hidden="false" customHeight="true" outlineLevel="0" collapsed="false">
      <c r="A46" s="230" t="s">
        <v>235</v>
      </c>
      <c r="B46" s="231" t="s">
        <v>236</v>
      </c>
      <c r="C46" s="223"/>
      <c r="D46" s="231" t="s">
        <v>237</v>
      </c>
      <c r="E46" s="236"/>
      <c r="F46" s="19"/>
      <c r="G46" s="19" t="s">
        <v>238</v>
      </c>
      <c r="H46" s="228" t="n">
        <f aca="false">H43</f>
        <v>501</v>
      </c>
      <c r="I46" s="22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8.75" hidden="false" customHeight="true" outlineLevel="0" collapsed="false">
      <c r="A47" s="240" t="n">
        <v>0</v>
      </c>
      <c r="B47" s="241" t="n">
        <v>0</v>
      </c>
      <c r="C47" s="241"/>
      <c r="D47" s="234" t="n">
        <v>0</v>
      </c>
      <c r="E47" s="234"/>
      <c r="F47" s="19"/>
      <c r="G47" s="19"/>
      <c r="H47" s="228"/>
      <c r="I47" s="22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8.75" hidden="false" customHeight="true" outlineLevel="0" collapsed="false">
      <c r="A48" s="229"/>
      <c r="B48" s="223"/>
      <c r="C48" s="223"/>
      <c r="D48" s="223"/>
      <c r="E48" s="236"/>
      <c r="F48" s="19"/>
      <c r="G48" s="19"/>
      <c r="H48" s="228"/>
      <c r="I48" s="22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8.75" hidden="false" customHeight="true" outlineLevel="0" collapsed="false">
      <c r="A49" s="229"/>
      <c r="B49" s="223"/>
      <c r="C49" s="223"/>
      <c r="D49" s="223"/>
      <c r="E49" s="236"/>
      <c r="F49" s="19"/>
      <c r="G49" s="19"/>
      <c r="H49" s="228"/>
      <c r="I49" s="22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8.75" hidden="false" customHeight="true" outlineLevel="0" collapsed="false">
      <c r="B50" s="223"/>
      <c r="C50" s="223"/>
      <c r="D50" s="223"/>
      <c r="E50" s="236"/>
      <c r="F50" s="19"/>
      <c r="G50" s="19"/>
      <c r="H50" s="228"/>
      <c r="I50" s="22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8.75" hidden="false" customHeight="true" outlineLevel="0" collapsed="false">
      <c r="A51" s="229"/>
      <c r="B51" s="223"/>
      <c r="C51" s="223"/>
      <c r="D51" s="223"/>
      <c r="E51" s="236"/>
      <c r="F51" s="19"/>
      <c r="G51" s="19"/>
      <c r="H51" s="228"/>
      <c r="I51" s="22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8.75" hidden="false" customHeight="true" outlineLevel="0" collapsed="false">
      <c r="A52" s="242" t="s">
        <v>239</v>
      </c>
      <c r="B52" s="223"/>
      <c r="C52" s="223"/>
      <c r="D52" s="223"/>
      <c r="E52" s="236"/>
      <c r="F52" s="19"/>
      <c r="G52" s="19"/>
      <c r="H52" s="228"/>
      <c r="I52" s="22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8.75" hidden="false" customHeight="true" outlineLevel="0" collapsed="false">
      <c r="A53" s="229"/>
      <c r="B53" s="223"/>
      <c r="C53" s="223"/>
      <c r="D53" s="223"/>
      <c r="E53" s="236"/>
      <c r="F53" s="19"/>
      <c r="G53" s="19"/>
      <c r="H53" s="228"/>
      <c r="I53" s="22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8.75" hidden="false" customHeight="true" outlineLevel="0" collapsed="false">
      <c r="A54" s="243" t="s">
        <v>239</v>
      </c>
      <c r="B54" s="207"/>
      <c r="C54" s="207"/>
      <c r="D54" s="244"/>
      <c r="E54" s="245"/>
      <c r="F54" s="19"/>
      <c r="G54" s="19"/>
      <c r="H54" s="228"/>
      <c r="I54" s="22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8.75" hidden="false" customHeight="true" outlineLevel="0" collapsed="false">
      <c r="A55" s="209"/>
      <c r="B55" s="246"/>
      <c r="C55" s="246"/>
      <c r="D55" s="207"/>
      <c r="E55" s="210"/>
      <c r="F55" s="19"/>
      <c r="G55" s="19"/>
      <c r="H55" s="247"/>
      <c r="I55" s="22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8.75" hidden="false" customHeight="true" outlineLevel="0" collapsed="false">
      <c r="A56" s="248" t="s">
        <v>28</v>
      </c>
      <c r="B56" s="249" t="s">
        <v>33</v>
      </c>
      <c r="C56" s="249"/>
      <c r="D56" s="207"/>
      <c r="E56" s="210"/>
      <c r="F56" s="19"/>
      <c r="G56" s="19"/>
      <c r="H56" s="19"/>
      <c r="I56" s="22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8.75" hidden="false" customHeight="true" outlineLevel="0" collapsed="false">
      <c r="A57" s="248"/>
      <c r="B57" s="250" t="n">
        <f aca="false">H30</f>
        <v>5000</v>
      </c>
      <c r="C57" s="250"/>
      <c r="D57" s="207"/>
      <c r="E57" s="210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8.75" hidden="false" customHeight="true" outlineLevel="0" collapsed="false">
      <c r="A58" s="251" t="n">
        <f aca="false">H29</f>
        <v>12</v>
      </c>
      <c r="B58" s="92" t="n">
        <f aca="false">H45</f>
        <v>522.04</v>
      </c>
      <c r="C58" s="92"/>
      <c r="D58" s="207"/>
      <c r="E58" s="210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8.75" hidden="false" customHeight="true" outlineLevel="0" collapsed="false">
      <c r="A59" s="209"/>
      <c r="B59" s="207"/>
      <c r="C59" s="207"/>
      <c r="D59" s="207"/>
      <c r="E59" s="210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8.75" hidden="false" customHeight="true" outlineLevel="0" collapsed="false">
      <c r="A60" s="252"/>
      <c r="B60" s="253"/>
      <c r="C60" s="253"/>
      <c r="D60" s="253"/>
      <c r="E60" s="254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8.75" hidden="false" customHeight="true" outlineLevel="0" collapsed="false">
      <c r="A61" s="207"/>
      <c r="B61" s="207"/>
      <c r="C61" s="207"/>
      <c r="D61" s="207"/>
      <c r="E61" s="207"/>
      <c r="F61" s="19"/>
      <c r="G61" s="207"/>
      <c r="H61" s="207"/>
      <c r="I61" s="207"/>
      <c r="J61" s="207"/>
      <c r="K61" s="207"/>
      <c r="L61" s="19"/>
      <c r="M61" s="207"/>
      <c r="N61" s="207"/>
      <c r="O61" s="207"/>
      <c r="P61" s="207"/>
      <c r="Q61" s="207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8.75" hidden="false" customHeight="true" outlineLevel="0" collapsed="false">
      <c r="A62" s="255"/>
      <c r="B62" s="256"/>
      <c r="C62" s="256"/>
      <c r="D62" s="256"/>
      <c r="E62" s="257"/>
      <c r="F62" s="19"/>
      <c r="G62" s="255"/>
      <c r="H62" s="256"/>
      <c r="I62" s="256"/>
      <c r="J62" s="256"/>
      <c r="K62" s="257"/>
      <c r="L62" s="19"/>
      <c r="M62" s="255"/>
      <c r="N62" s="256"/>
      <c r="O62" s="256"/>
      <c r="P62" s="256"/>
      <c r="Q62" s="257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8.75" hidden="false" customHeight="true" outlineLevel="0" collapsed="false">
      <c r="A63" s="209" t="s">
        <v>46</v>
      </c>
      <c r="B63" s="207" t="n">
        <f aca="false">IF(B105=Z103,1,IF(B105=Z104,1,IF(B105=Z105,3,IF(B105=Z106,6,IF(B105=Z107,9,IF(B105=Z108,12,IF(B105=Z109,3,IF(B105=Z110,6,IF(B105=Z111,9,0)))))))))</f>
        <v>1</v>
      </c>
      <c r="C63" s="207"/>
      <c r="D63" s="207"/>
      <c r="E63" s="210"/>
      <c r="F63" s="19"/>
      <c r="G63" s="209" t="s">
        <v>46</v>
      </c>
      <c r="H63" s="207" t="n">
        <f aca="false">IF(H105=Y103,1,IF(H105=Y104,1,IF(H105=Y105,3,IF(H105=Y106,6,IF(H105=Y107,9,IF(H105=Y108,12,IF(H105=Y109,3,IF(H105=Y110,6,IF(H105=Y111,9,0)))))))))</f>
        <v>0</v>
      </c>
      <c r="I63" s="207"/>
      <c r="J63" s="207"/>
      <c r="K63" s="210"/>
      <c r="L63" s="19"/>
      <c r="M63" s="209" t="s">
        <v>46</v>
      </c>
      <c r="N63" s="207" t="n">
        <f aca="false">IF(N105=Y103,1,IF(N105=Y104,1,IF(N105=Y105,3,IF(N105=Y106,6,IF(N105=Y107,9,IF(N105=Y108,12,IF(N105=Y109,3,IF(N105=Y110,6,IF(N105=Y111,9,0)))))))))</f>
        <v>0</v>
      </c>
      <c r="O63" s="207"/>
      <c r="P63" s="207"/>
      <c r="Q63" s="210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8.75" hidden="false" customHeight="true" outlineLevel="0" collapsed="false">
      <c r="A64" s="209" t="s">
        <v>60</v>
      </c>
      <c r="B64" s="207" t="n">
        <f aca="false">IF(B105=Z103,H29-B63,IF(B105=Z104,H29-B63,IF(B105=Z105,H29-1,IF(B105=Z106,H29-1,IF(B105=Z107,H29-1,IF(B105=Z108,H29-1,IF(B105=Z109,H29-B63,IF(B105=Z110,H29-B63,IF(B105=Z111,H29-B63,0)))))))))</f>
        <v>11</v>
      </c>
      <c r="C64" s="207"/>
      <c r="D64" s="207"/>
      <c r="E64" s="210"/>
      <c r="F64" s="19"/>
      <c r="G64" s="209" t="s">
        <v>60</v>
      </c>
      <c r="H64" s="207" t="n">
        <f aca="false">IF(H105=Y103,H29-H63,IF(H105=Y104,H29-H63,IF(H105=Y105,H29-1,IF(H105=Y106,H29-1,IF(H105=Y107,H29-1,IF(H105=Y108,H29-1,IF(H105=Y109,H29-H63,IF(H105=Y110,H29-H63,IF(H105=Y111,H29-H63,0)))))))))</f>
        <v>0</v>
      </c>
      <c r="I64" s="207"/>
      <c r="J64" s="207"/>
      <c r="K64" s="210"/>
      <c r="L64" s="19"/>
      <c r="M64" s="209" t="s">
        <v>60</v>
      </c>
      <c r="N64" s="207" t="n">
        <f aca="false">IF(N105=Y103,H29-N63,IF(N105=Y104,H29-N63,IF(N105=Y105,H29-1,IF(N105=Y106,H29-1,IF(N105=Y107,H29-1,IF(N105=Y108,H29-1,IF(N105=Y109,H29-N63,IF(N105=Y110,H29-N63,IF(N105=Y111,H29-N63,0)))))))))</f>
        <v>0</v>
      </c>
      <c r="O64" s="207"/>
      <c r="P64" s="207"/>
      <c r="Q64" s="210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8.75" hidden="false" customHeight="true" outlineLevel="0" collapsed="false">
      <c r="A65" s="209"/>
      <c r="C65" s="207"/>
      <c r="D65" s="207"/>
      <c r="E65" s="210"/>
      <c r="F65" s="19"/>
      <c r="G65" s="209"/>
      <c r="H65" s="207"/>
      <c r="I65" s="207"/>
      <c r="J65" s="207"/>
      <c r="K65" s="210"/>
      <c r="L65" s="19"/>
      <c r="M65" s="209"/>
      <c r="N65" s="207"/>
      <c r="O65" s="207"/>
      <c r="P65" s="207"/>
      <c r="Q65" s="210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8.75" hidden="false" customHeight="true" outlineLevel="0" collapsed="false">
      <c r="A66" s="209" t="s">
        <v>240</v>
      </c>
      <c r="B66" s="207" t="n">
        <f aca="false">E19</f>
        <v>28749.996</v>
      </c>
      <c r="C66" s="207"/>
      <c r="D66" s="207"/>
      <c r="E66" s="210"/>
      <c r="F66" s="19"/>
      <c r="G66" s="209"/>
      <c r="H66" s="207"/>
      <c r="I66" s="207"/>
      <c r="J66" s="207"/>
      <c r="K66" s="210"/>
      <c r="L66" s="19"/>
      <c r="M66" s="209"/>
      <c r="N66" s="207"/>
      <c r="O66" s="207"/>
      <c r="P66" s="207"/>
      <c r="Q66" s="210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8.75" hidden="false" customHeight="true" outlineLevel="0" collapsed="false">
      <c r="A67" s="209" t="s">
        <v>16</v>
      </c>
      <c r="B67" s="79" t="n">
        <v>37404</v>
      </c>
      <c r="C67" s="207"/>
      <c r="D67" s="207"/>
      <c r="E67" s="210"/>
      <c r="F67" s="19"/>
      <c r="G67" s="209" t="s">
        <v>16</v>
      </c>
      <c r="H67" s="79" t="n">
        <f aca="false">G18</f>
        <v>0</v>
      </c>
      <c r="I67" s="207"/>
      <c r="J67" s="207"/>
      <c r="K67" s="210"/>
      <c r="L67" s="19"/>
      <c r="M67" s="209" t="s">
        <v>16</v>
      </c>
      <c r="N67" s="79" t="n">
        <f aca="false">G18</f>
        <v>0</v>
      </c>
      <c r="O67" s="207"/>
      <c r="P67" s="207"/>
      <c r="Q67" s="210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8.75" hidden="false" customHeight="true" outlineLevel="0" collapsed="false">
      <c r="A68" s="258" t="s">
        <v>241</v>
      </c>
      <c r="B68" s="259" t="n">
        <v>0.07</v>
      </c>
      <c r="C68" s="207"/>
      <c r="D68" s="207"/>
      <c r="E68" s="210"/>
      <c r="F68" s="19"/>
      <c r="G68" s="258" t="s">
        <v>241</v>
      </c>
      <c r="H68" s="259" t="n">
        <v>0.07</v>
      </c>
      <c r="I68" s="207"/>
      <c r="J68" s="207"/>
      <c r="K68" s="210"/>
      <c r="L68" s="19"/>
      <c r="M68" s="258" t="s">
        <v>241</v>
      </c>
      <c r="N68" s="259" t="n">
        <v>0.07</v>
      </c>
      <c r="O68" s="207"/>
      <c r="P68" s="207"/>
      <c r="Q68" s="210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8.75" hidden="false" customHeight="true" outlineLevel="0" collapsed="false">
      <c r="A69" s="209" t="s">
        <v>242</v>
      </c>
      <c r="B69" s="260" t="n">
        <f aca="false">B68+(B68*0.25*(H29/12-1))</f>
        <v>0.07</v>
      </c>
      <c r="C69" s="207"/>
      <c r="D69" s="207"/>
      <c r="E69" s="210"/>
      <c r="F69" s="19"/>
      <c r="G69" s="209" t="s">
        <v>242</v>
      </c>
      <c r="H69" s="260" t="n">
        <f aca="false">H68+(H68*0.25*(H29/12-1))</f>
        <v>0.07</v>
      </c>
      <c r="I69" s="207"/>
      <c r="J69" s="207"/>
      <c r="K69" s="210"/>
      <c r="L69" s="19"/>
      <c r="M69" s="209" t="s">
        <v>242</v>
      </c>
      <c r="N69" s="260" t="n">
        <f aca="false">N68+(N68*0.25*(H29/12-1))</f>
        <v>0.07</v>
      </c>
      <c r="O69" s="207"/>
      <c r="P69" s="207"/>
      <c r="Q69" s="210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18.75" hidden="false" customHeight="true" outlineLevel="0" collapsed="false">
      <c r="A70" s="252" t="s">
        <v>65</v>
      </c>
      <c r="B70" s="139" t="n">
        <f aca="false">B66*B69</f>
        <v>2012.49972</v>
      </c>
      <c r="C70" s="207" t="n">
        <v>10000</v>
      </c>
      <c r="D70" s="79" t="n">
        <f aca="false">B70-A149</f>
        <v>2012.49972</v>
      </c>
      <c r="E70" s="210" t="n">
        <f aca="false">D70/12</f>
        <v>167.70831</v>
      </c>
      <c r="F70" s="19"/>
      <c r="G70" s="252" t="s">
        <v>65</v>
      </c>
      <c r="H70" s="139" t="n">
        <f aca="false">H67*H69</f>
        <v>0</v>
      </c>
      <c r="I70" s="207"/>
      <c r="J70" s="79" t="n">
        <f aca="false">H70-G151</f>
        <v>0</v>
      </c>
      <c r="K70" s="210"/>
      <c r="L70" s="19"/>
      <c r="M70" s="252" t="s">
        <v>65</v>
      </c>
      <c r="N70" s="139" t="n">
        <f aca="false">N67*N69</f>
        <v>0</v>
      </c>
      <c r="O70" s="207"/>
      <c r="P70" s="79" t="n">
        <f aca="false">N70-M151</f>
        <v>0</v>
      </c>
      <c r="Q70" s="210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18.75" hidden="false" customHeight="true" outlineLevel="0" collapsed="false">
      <c r="A71" s="258" t="s">
        <v>66</v>
      </c>
      <c r="B71" s="259" t="n">
        <v>0.01</v>
      </c>
      <c r="C71" s="207"/>
      <c r="D71" s="207"/>
      <c r="E71" s="210"/>
      <c r="F71" s="19"/>
      <c r="G71" s="258" t="s">
        <v>66</v>
      </c>
      <c r="H71" s="259" t="n">
        <v>0.005</v>
      </c>
      <c r="I71" s="207"/>
      <c r="J71" s="207"/>
      <c r="K71" s="210"/>
      <c r="L71" s="19"/>
      <c r="M71" s="258" t="s">
        <v>66</v>
      </c>
      <c r="N71" s="259" t="n">
        <v>0.005</v>
      </c>
      <c r="O71" s="207"/>
      <c r="P71" s="207"/>
      <c r="Q71" s="210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8.75" hidden="false" customHeight="true" outlineLevel="0" collapsed="false">
      <c r="A72" s="209" t="s">
        <v>67</v>
      </c>
      <c r="B72" s="260" t="n">
        <f aca="false">B71+(B71*0.5*(H29/12-1))</f>
        <v>0.01</v>
      </c>
      <c r="C72" s="207"/>
      <c r="D72" s="207"/>
      <c r="E72" s="210"/>
      <c r="F72" s="19"/>
      <c r="G72" s="209" t="s">
        <v>67</v>
      </c>
      <c r="H72" s="260" t="n">
        <f aca="false">H71+(H71*0.5*(H29/12-1))</f>
        <v>0.005</v>
      </c>
      <c r="I72" s="207"/>
      <c r="J72" s="207"/>
      <c r="K72" s="210"/>
      <c r="L72" s="19"/>
      <c r="M72" s="209" t="s">
        <v>67</v>
      </c>
      <c r="N72" s="260" t="n">
        <f aca="false">N71+(N71*0.5*(H29/12-1))</f>
        <v>0.005</v>
      </c>
      <c r="O72" s="207"/>
      <c r="P72" s="207"/>
      <c r="Q72" s="210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8.75" hidden="false" customHeight="true" outlineLevel="0" collapsed="false">
      <c r="A73" s="252" t="s">
        <v>68</v>
      </c>
      <c r="B73" s="139" t="n">
        <f aca="false">B67*B72</f>
        <v>374.04</v>
      </c>
      <c r="C73" s="207"/>
      <c r="D73" s="79"/>
      <c r="E73" s="210"/>
      <c r="F73" s="19"/>
      <c r="G73" s="252" t="s">
        <v>68</v>
      </c>
      <c r="H73" s="139" t="n">
        <f aca="false">H67*H72</f>
        <v>0</v>
      </c>
      <c r="I73" s="207"/>
      <c r="J73" s="79"/>
      <c r="K73" s="210"/>
      <c r="L73" s="19"/>
      <c r="M73" s="252" t="s">
        <v>68</v>
      </c>
      <c r="N73" s="139" t="n">
        <f aca="false">N67*N72</f>
        <v>0</v>
      </c>
      <c r="O73" s="207"/>
      <c r="P73" s="79"/>
      <c r="Q73" s="210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8.75" hidden="false" customHeight="true" outlineLevel="0" collapsed="false">
      <c r="A74" s="258" t="s">
        <v>69</v>
      </c>
      <c r="B74" s="259" t="n">
        <v>0.0075</v>
      </c>
      <c r="C74" s="207"/>
      <c r="D74" s="207"/>
      <c r="E74" s="210"/>
      <c r="F74" s="19"/>
      <c r="G74" s="258" t="s">
        <v>69</v>
      </c>
      <c r="H74" s="259" t="n">
        <v>0.0075</v>
      </c>
      <c r="I74" s="207"/>
      <c r="J74" s="207"/>
      <c r="K74" s="210"/>
      <c r="L74" s="19"/>
      <c r="M74" s="258" t="s">
        <v>69</v>
      </c>
      <c r="N74" s="259" t="n">
        <v>0.0075</v>
      </c>
      <c r="O74" s="207"/>
      <c r="P74" s="207"/>
      <c r="Q74" s="210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8.75" hidden="false" customHeight="true" outlineLevel="0" collapsed="false">
      <c r="A75" s="261" t="s">
        <v>70</v>
      </c>
      <c r="B75" s="262" t="n">
        <v>0.12</v>
      </c>
      <c r="C75" s="207"/>
      <c r="D75" s="207"/>
      <c r="E75" s="210"/>
      <c r="F75" s="19"/>
      <c r="G75" s="261" t="s">
        <v>70</v>
      </c>
      <c r="H75" s="262" t="n">
        <v>0.12</v>
      </c>
      <c r="I75" s="207"/>
      <c r="J75" s="207"/>
      <c r="K75" s="210"/>
      <c r="L75" s="19"/>
      <c r="M75" s="261" t="s">
        <v>70</v>
      </c>
      <c r="N75" s="262" t="n">
        <v>0.12</v>
      </c>
      <c r="O75" s="207"/>
      <c r="P75" s="207"/>
      <c r="Q75" s="210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8.75" hidden="false" customHeight="true" outlineLevel="0" collapsed="false">
      <c r="A76" s="252" t="s">
        <v>71</v>
      </c>
      <c r="B76" s="263" t="n">
        <f aca="false">B74*(1+B75)</f>
        <v>0.0084</v>
      </c>
      <c r="C76" s="207"/>
      <c r="D76" s="207"/>
      <c r="E76" s="210"/>
      <c r="F76" s="19"/>
      <c r="G76" s="252" t="s">
        <v>71</v>
      </c>
      <c r="H76" s="263" t="n">
        <f aca="false">H74*(1+H75)</f>
        <v>0.0084</v>
      </c>
      <c r="I76" s="207"/>
      <c r="J76" s="207"/>
      <c r="K76" s="210"/>
      <c r="L76" s="19"/>
      <c r="M76" s="252" t="s">
        <v>71</v>
      </c>
      <c r="N76" s="263" t="n">
        <f aca="false">N74*(1+N75)</f>
        <v>0.0084</v>
      </c>
      <c r="O76" s="207"/>
      <c r="P76" s="207"/>
      <c r="Q76" s="210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8.75" hidden="false" customHeight="true" outlineLevel="0" collapsed="false">
      <c r="A77" s="258" t="s">
        <v>72</v>
      </c>
      <c r="B77" s="264" t="n">
        <v>200</v>
      </c>
      <c r="C77" s="207"/>
      <c r="D77" s="207"/>
      <c r="E77" s="210"/>
      <c r="F77" s="19"/>
      <c r="G77" s="258" t="s">
        <v>72</v>
      </c>
      <c r="H77" s="264" t="n">
        <v>160</v>
      </c>
      <c r="I77" s="207"/>
      <c r="J77" s="207"/>
      <c r="K77" s="210"/>
      <c r="L77" s="19"/>
      <c r="M77" s="258" t="s">
        <v>72</v>
      </c>
      <c r="N77" s="264" t="n">
        <v>160</v>
      </c>
      <c r="O77" s="207"/>
      <c r="P77" s="207"/>
      <c r="Q77" s="210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8.75" hidden="false" customHeight="true" outlineLevel="0" collapsed="false">
      <c r="A78" s="261" t="s">
        <v>73</v>
      </c>
      <c r="B78" s="265" t="n">
        <v>5</v>
      </c>
      <c r="C78" s="207"/>
      <c r="D78" s="207"/>
      <c r="E78" s="210"/>
      <c r="F78" s="19"/>
      <c r="G78" s="261" t="s">
        <v>73</v>
      </c>
      <c r="H78" s="265" t="n">
        <v>4.5</v>
      </c>
      <c r="I78" s="207"/>
      <c r="J78" s="207"/>
      <c r="K78" s="210"/>
      <c r="L78" s="19"/>
      <c r="M78" s="261" t="s">
        <v>73</v>
      </c>
      <c r="N78" s="265" t="n">
        <v>4.5</v>
      </c>
      <c r="O78" s="207"/>
      <c r="P78" s="207"/>
      <c r="Q78" s="210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8.75" hidden="false" customHeight="true" outlineLevel="0" collapsed="false">
      <c r="A79" s="252" t="s">
        <v>74</v>
      </c>
      <c r="B79" s="139" t="n">
        <f aca="false">B78*H29</f>
        <v>60</v>
      </c>
      <c r="C79" s="207"/>
      <c r="D79" s="79" t="n">
        <f aca="false">B79+B77</f>
        <v>260</v>
      </c>
      <c r="E79" s="266" t="n">
        <f aca="false">D79+D85+D86</f>
        <v>660</v>
      </c>
      <c r="F79" s="19"/>
      <c r="G79" s="252" t="s">
        <v>74</v>
      </c>
      <c r="H79" s="139" t="n">
        <f aca="false">H78*H29</f>
        <v>54</v>
      </c>
      <c r="I79" s="207"/>
      <c r="J79" s="79" t="n">
        <f aca="false">H79+H77</f>
        <v>214</v>
      </c>
      <c r="K79" s="210"/>
      <c r="L79" s="19"/>
      <c r="M79" s="252" t="s">
        <v>74</v>
      </c>
      <c r="N79" s="139" t="n">
        <f aca="false">N78*H29</f>
        <v>54</v>
      </c>
      <c r="O79" s="207"/>
      <c r="P79" s="79" t="n">
        <f aca="false">N79+N77</f>
        <v>214</v>
      </c>
      <c r="Q79" s="210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8.75" hidden="false" customHeight="true" outlineLevel="0" collapsed="false">
      <c r="A80" s="258" t="s">
        <v>243</v>
      </c>
      <c r="B80" s="264" t="n">
        <v>165</v>
      </c>
      <c r="C80" s="207"/>
      <c r="D80" s="207"/>
      <c r="E80" s="266" t="n">
        <f aca="false">E79+D82</f>
        <v>838.75</v>
      </c>
      <c r="F80" s="19"/>
      <c r="G80" s="258" t="s">
        <v>243</v>
      </c>
      <c r="H80" s="264" t="n">
        <v>150</v>
      </c>
      <c r="I80" s="207"/>
      <c r="J80" s="207"/>
      <c r="K80" s="210"/>
      <c r="L80" s="19"/>
      <c r="M80" s="267" t="s">
        <v>243</v>
      </c>
      <c r="N80" s="268" t="n">
        <v>0</v>
      </c>
      <c r="O80" s="207"/>
      <c r="P80" s="207"/>
      <c r="Q80" s="210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18.75" hidden="false" customHeight="true" outlineLevel="0" collapsed="false">
      <c r="A81" s="261" t="s">
        <v>244</v>
      </c>
      <c r="B81" s="265" t="n">
        <v>0</v>
      </c>
      <c r="C81" s="207"/>
      <c r="D81" s="207"/>
      <c r="E81" s="210" t="n">
        <f aca="false">E80/12</f>
        <v>69.8958333333333</v>
      </c>
      <c r="F81" s="19"/>
      <c r="G81" s="261" t="s">
        <v>244</v>
      </c>
      <c r="H81" s="265" t="n">
        <f aca="false">IF(G18&gt;40000, 325, 0)</f>
        <v>0</v>
      </c>
      <c r="I81" s="207"/>
      <c r="J81" s="207"/>
      <c r="K81" s="210"/>
      <c r="L81" s="19"/>
      <c r="M81" s="269" t="s">
        <v>244</v>
      </c>
      <c r="N81" s="270" t="n">
        <v>0</v>
      </c>
      <c r="O81" s="207"/>
      <c r="P81" s="207"/>
      <c r="Q81" s="210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18.75" hidden="false" customHeight="true" outlineLevel="0" collapsed="false">
      <c r="A82" s="252" t="s">
        <v>245</v>
      </c>
      <c r="B82" s="139" t="n">
        <f aca="false">((B80+B81)/12)*(H29+1)</f>
        <v>178.75</v>
      </c>
      <c r="C82" s="207"/>
      <c r="D82" s="79" t="n">
        <f aca="false">IF(A50="YES", 0, B82)</f>
        <v>178.75</v>
      </c>
      <c r="E82" s="210"/>
      <c r="F82" s="19"/>
      <c r="G82" s="252" t="s">
        <v>245</v>
      </c>
      <c r="H82" s="139" t="n">
        <f aca="false">((H80+H81)/12)*(H29-11)</f>
        <v>12.5</v>
      </c>
      <c r="I82" s="207"/>
      <c r="J82" s="79" t="n">
        <f aca="false">IF(A50="YES", 0, H82)</f>
        <v>12.5</v>
      </c>
      <c r="K82" s="210"/>
      <c r="L82" s="19"/>
      <c r="M82" s="271" t="s">
        <v>245</v>
      </c>
      <c r="N82" s="272" t="n">
        <f aca="false">((N80+N81)/12)*(H29-11)</f>
        <v>0</v>
      </c>
      <c r="O82" s="207"/>
      <c r="P82" s="79" t="n">
        <f aca="false">IF(A50="YES", 0, N82)</f>
        <v>0</v>
      </c>
      <c r="Q82" s="210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8.75" hidden="false" customHeight="true" outlineLevel="0" collapsed="false">
      <c r="A83" s="258" t="s">
        <v>246</v>
      </c>
      <c r="B83" s="264" t="n">
        <f aca="false">B108/(1-0.1)</f>
        <v>0</v>
      </c>
      <c r="C83" s="207"/>
      <c r="D83" s="79" t="n">
        <f aca="false">B83</f>
        <v>0</v>
      </c>
      <c r="E83" s="210" t="n">
        <f aca="false">D83/12</f>
        <v>0</v>
      </c>
      <c r="F83" s="19"/>
      <c r="G83" s="258" t="s">
        <v>246</v>
      </c>
      <c r="H83" s="264" t="n">
        <f aca="false">H108</f>
        <v>1200</v>
      </c>
      <c r="I83" s="207"/>
      <c r="J83" s="79" t="n">
        <f aca="false">H83</f>
        <v>1200</v>
      </c>
      <c r="K83" s="210"/>
      <c r="L83" s="19"/>
      <c r="M83" s="258" t="s">
        <v>246</v>
      </c>
      <c r="N83" s="264" t="n">
        <f aca="false">N108</f>
        <v>1200</v>
      </c>
      <c r="O83" s="207"/>
      <c r="P83" s="79" t="n">
        <f aca="false">N83</f>
        <v>1200</v>
      </c>
      <c r="Q83" s="210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18.75" hidden="false" customHeight="true" outlineLevel="0" collapsed="false">
      <c r="A84" s="209" t="s">
        <v>247</v>
      </c>
      <c r="B84" s="273" t="n">
        <f aca="false">D108/(1-0.1)</f>
        <v>0</v>
      </c>
      <c r="C84" s="207"/>
      <c r="D84" s="79" t="n">
        <f aca="false">B84</f>
        <v>0</v>
      </c>
      <c r="E84" s="210"/>
      <c r="F84" s="19"/>
      <c r="G84" s="209" t="s">
        <v>248</v>
      </c>
      <c r="H84" s="273" t="n">
        <f aca="false">J108</f>
        <v>1500</v>
      </c>
      <c r="I84" s="207"/>
      <c r="J84" s="79" t="n">
        <f aca="false">H84</f>
        <v>1500</v>
      </c>
      <c r="K84" s="210"/>
      <c r="L84" s="19"/>
      <c r="M84" s="209" t="s">
        <v>248</v>
      </c>
      <c r="N84" s="273" t="n">
        <f aca="false">P108</f>
        <v>1500</v>
      </c>
      <c r="O84" s="207"/>
      <c r="P84" s="79" t="n">
        <f aca="false">N84</f>
        <v>1500</v>
      </c>
      <c r="Q84" s="210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8.75" hidden="false" customHeight="true" outlineLevel="0" collapsed="false">
      <c r="A85" s="261" t="s">
        <v>75</v>
      </c>
      <c r="B85" s="265" t="n">
        <v>200</v>
      </c>
      <c r="C85" s="207"/>
      <c r="D85" s="79" t="n">
        <f aca="false">B85</f>
        <v>200</v>
      </c>
      <c r="E85" s="210"/>
      <c r="F85" s="19"/>
      <c r="G85" s="261" t="s">
        <v>75</v>
      </c>
      <c r="H85" s="265" t="n">
        <v>100</v>
      </c>
      <c r="I85" s="207"/>
      <c r="J85" s="79" t="n">
        <f aca="false">H85</f>
        <v>100</v>
      </c>
      <c r="K85" s="210"/>
      <c r="L85" s="19"/>
      <c r="M85" s="261" t="s">
        <v>75</v>
      </c>
      <c r="N85" s="265" t="n">
        <v>100</v>
      </c>
      <c r="O85" s="207"/>
      <c r="P85" s="79" t="n">
        <f aca="false">N85</f>
        <v>100</v>
      </c>
      <c r="Q85" s="210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8.75" hidden="false" customHeight="true" outlineLevel="0" collapsed="false">
      <c r="A86" s="274" t="s">
        <v>76</v>
      </c>
      <c r="B86" s="275" t="n">
        <v>200</v>
      </c>
      <c r="C86" s="207"/>
      <c r="D86" s="79" t="n">
        <f aca="false">B86</f>
        <v>200</v>
      </c>
      <c r="E86" s="210"/>
      <c r="F86" s="19"/>
      <c r="G86" s="274" t="s">
        <v>76</v>
      </c>
      <c r="H86" s="275" t="n">
        <v>100</v>
      </c>
      <c r="I86" s="207"/>
      <c r="J86" s="79" t="n">
        <f aca="false">H86</f>
        <v>100</v>
      </c>
      <c r="K86" s="210"/>
      <c r="L86" s="19"/>
      <c r="M86" s="274" t="s">
        <v>76</v>
      </c>
      <c r="N86" s="275" t="n">
        <v>100</v>
      </c>
      <c r="O86" s="207"/>
      <c r="P86" s="79" t="n">
        <f aca="false">N86</f>
        <v>100</v>
      </c>
      <c r="Q86" s="210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8.75" hidden="false" customHeight="true" outlineLevel="0" collapsed="false">
      <c r="A87" s="276" t="s">
        <v>77</v>
      </c>
      <c r="B87" s="277" t="n">
        <f aca="false">SUM(D70:D86)</f>
        <v>2851.24972</v>
      </c>
      <c r="C87" s="207"/>
      <c r="D87" s="207"/>
      <c r="E87" s="210"/>
      <c r="F87" s="19"/>
      <c r="G87" s="276" t="s">
        <v>77</v>
      </c>
      <c r="H87" s="277" t="n">
        <f aca="false">SUM(J70:J86)</f>
        <v>3126.5</v>
      </c>
      <c r="I87" s="207"/>
      <c r="J87" s="207"/>
      <c r="K87" s="210"/>
      <c r="L87" s="19"/>
      <c r="M87" s="276" t="s">
        <v>77</v>
      </c>
      <c r="N87" s="277" t="n">
        <f aca="false">SUM(P70:P86)</f>
        <v>3114</v>
      </c>
      <c r="O87" s="207"/>
      <c r="P87" s="207"/>
      <c r="Q87" s="210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8.75" hidden="false" customHeight="true" outlineLevel="0" collapsed="false">
      <c r="A88" s="209" t="s">
        <v>78</v>
      </c>
      <c r="B88" s="273" t="n">
        <f aca="false">B87/H29</f>
        <v>237.604143333333</v>
      </c>
      <c r="C88" s="207"/>
      <c r="D88" s="207"/>
      <c r="E88" s="210"/>
      <c r="F88" s="19"/>
      <c r="G88" s="209" t="s">
        <v>78</v>
      </c>
      <c r="H88" s="273" t="n">
        <f aca="false">H87/H29</f>
        <v>260.541666666667</v>
      </c>
      <c r="I88" s="207"/>
      <c r="J88" s="207"/>
      <c r="K88" s="210"/>
      <c r="L88" s="19"/>
      <c r="M88" s="209" t="s">
        <v>78</v>
      </c>
      <c r="N88" s="273" t="n">
        <f aca="false">N87/H29</f>
        <v>259.5</v>
      </c>
      <c r="O88" s="207"/>
      <c r="P88" s="207"/>
      <c r="Q88" s="210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8.75" hidden="false" customHeight="true" outlineLevel="0" collapsed="false">
      <c r="A89" s="278" t="s">
        <v>79</v>
      </c>
      <c r="B89" s="279" t="n">
        <f aca="false">H46</f>
        <v>501</v>
      </c>
      <c r="C89" s="207"/>
      <c r="D89" s="207"/>
      <c r="E89" s="210"/>
      <c r="F89" s="19"/>
      <c r="G89" s="278" t="s">
        <v>79</v>
      </c>
      <c r="H89" s="279" t="n">
        <f aca="false">H46</f>
        <v>501</v>
      </c>
      <c r="I89" s="207"/>
      <c r="J89" s="207"/>
      <c r="K89" s="210"/>
      <c r="L89" s="19"/>
      <c r="M89" s="278" t="s">
        <v>79</v>
      </c>
      <c r="N89" s="279" t="n">
        <f aca="false">H46</f>
        <v>501</v>
      </c>
      <c r="O89" s="207"/>
      <c r="P89" s="207"/>
      <c r="Q89" s="210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8.75" hidden="false" customHeight="true" outlineLevel="0" collapsed="false">
      <c r="A90" s="209"/>
      <c r="B90" s="79"/>
      <c r="C90" s="207"/>
      <c r="D90" s="207"/>
      <c r="E90" s="210"/>
      <c r="F90" s="19"/>
      <c r="G90" s="209"/>
      <c r="H90" s="79"/>
      <c r="I90" s="207"/>
      <c r="J90" s="207"/>
      <c r="K90" s="210"/>
      <c r="L90" s="19"/>
      <c r="M90" s="209"/>
      <c r="N90" s="79"/>
      <c r="O90" s="207"/>
      <c r="P90" s="207"/>
      <c r="Q90" s="210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8.75" hidden="false" customHeight="true" outlineLevel="0" collapsed="false">
      <c r="A91" s="255" t="s">
        <v>88</v>
      </c>
      <c r="B91" s="137" t="n">
        <f aca="false">((B89*H29)+B87)</f>
        <v>8863.24972</v>
      </c>
      <c r="C91" s="207"/>
      <c r="D91" s="207"/>
      <c r="E91" s="210"/>
      <c r="F91" s="19"/>
      <c r="G91" s="255" t="s">
        <v>88</v>
      </c>
      <c r="H91" s="137" t="n">
        <f aca="false">((H89*H29)+H87)*1.2</f>
        <v>10966.2</v>
      </c>
      <c r="I91" s="207"/>
      <c r="J91" s="207"/>
      <c r="K91" s="210"/>
      <c r="L91" s="19"/>
      <c r="M91" s="255" t="s">
        <v>88</v>
      </c>
      <c r="N91" s="137" t="n">
        <f aca="false">((N89*H29)+N87)</f>
        <v>9126</v>
      </c>
      <c r="O91" s="207"/>
      <c r="P91" s="207"/>
      <c r="Q91" s="210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8.75" hidden="false" customHeight="true" outlineLevel="0" collapsed="false">
      <c r="A92" s="209" t="s">
        <v>89</v>
      </c>
      <c r="B92" s="273" t="n">
        <f aca="false">(((B89*H29)+B87)/(1-B76))*B76</f>
        <v>75.0819863331989</v>
      </c>
      <c r="C92" s="207"/>
      <c r="D92" s="207"/>
      <c r="E92" s="280"/>
      <c r="F92" s="19"/>
      <c r="G92" s="209" t="s">
        <v>89</v>
      </c>
      <c r="H92" s="273" t="n">
        <f aca="false">(((H89*H29)+H87)/(1-H76))*H76</f>
        <v>77.4136748688988</v>
      </c>
      <c r="I92" s="207"/>
      <c r="J92" s="207"/>
      <c r="K92" s="210"/>
      <c r="L92" s="19"/>
      <c r="M92" s="209" t="s">
        <v>89</v>
      </c>
      <c r="N92" s="273" t="n">
        <f aca="false">(N91/(1-N76))*N76</f>
        <v>77.3077853973376</v>
      </c>
      <c r="O92" s="207"/>
      <c r="P92" s="207"/>
      <c r="Q92" s="210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8.75" hidden="false" customHeight="true" outlineLevel="0" collapsed="false">
      <c r="A93" s="252" t="s">
        <v>90</v>
      </c>
      <c r="B93" s="139" t="n">
        <f aca="false">IF(B116="YES",((B91+B92)-E120),(B91+B92))</f>
        <v>8938.3317063332</v>
      </c>
      <c r="C93" s="207"/>
      <c r="D93" s="207"/>
      <c r="E93" s="210"/>
      <c r="F93" s="19"/>
      <c r="G93" s="252" t="s">
        <v>90</v>
      </c>
      <c r="H93" s="139" t="n">
        <f aca="false">IF(H116="YES",((H91+H92)-K120),(H91+H92))</f>
        <v>13043.6136748689</v>
      </c>
      <c r="I93" s="207"/>
      <c r="J93" s="207"/>
      <c r="K93" s="210"/>
      <c r="L93" s="19"/>
      <c r="M93" s="252" t="s">
        <v>90</v>
      </c>
      <c r="N93" s="139" t="n">
        <f aca="false">IF(N116="YES",((N91+N92)-K120),(N91+N92))</f>
        <v>11203.3077853973</v>
      </c>
      <c r="O93" s="207"/>
      <c r="P93" s="207"/>
      <c r="Q93" s="210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18.75" hidden="false" customHeight="true" outlineLevel="0" collapsed="false">
      <c r="A94" s="209"/>
      <c r="B94" s="79"/>
      <c r="C94" s="207"/>
      <c r="D94" s="207"/>
      <c r="E94" s="210"/>
      <c r="F94" s="19"/>
      <c r="G94" s="209"/>
      <c r="H94" s="79"/>
      <c r="I94" s="207"/>
      <c r="J94" s="207"/>
      <c r="K94" s="210"/>
      <c r="L94" s="19"/>
      <c r="M94" s="209"/>
      <c r="N94" s="79"/>
      <c r="O94" s="207"/>
      <c r="P94" s="207"/>
      <c r="Q94" s="210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8.75" hidden="false" customHeight="true" outlineLevel="0" collapsed="false">
      <c r="A95" s="276" t="s">
        <v>91</v>
      </c>
      <c r="B95" s="277" t="n">
        <f aca="false">IF(B105=Z104,(((H44*B35)+(H44*B35)*(B111/100))/(B64)),(((H44*B35)+(H44*B35)*(B111/100))/(B63+B64)))</f>
        <v>21.04</v>
      </c>
      <c r="C95" s="207"/>
      <c r="D95" s="207"/>
      <c r="E95" s="210"/>
      <c r="F95" s="19"/>
      <c r="G95" s="276" t="s">
        <v>91</v>
      </c>
      <c r="H95" s="277" t="e">
        <f aca="false">(((H44*B35)+((H44*B35)*H111))/(H63+H64))*1.2</f>
        <v>#DIV/0!</v>
      </c>
      <c r="I95" s="207"/>
      <c r="J95" s="207"/>
      <c r="K95" s="210"/>
      <c r="L95" s="19"/>
      <c r="M95" s="276" t="s">
        <v>91</v>
      </c>
      <c r="N95" s="277" t="e">
        <f aca="false">((H44*B35)+((H44*B35)*N111))/(N63+N64)</f>
        <v>#DIV/0!</v>
      </c>
      <c r="O95" s="207"/>
      <c r="P95" s="207"/>
      <c r="Q95" s="210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8.75" hidden="false" customHeight="true" outlineLevel="0" collapsed="false">
      <c r="A96" s="281" t="s">
        <v>92</v>
      </c>
      <c r="B96" s="282" t="n">
        <f aca="false">IF(B105=Z104, (B93-D111)/(B64), B93/(B63+B64))</f>
        <v>744.860975527767</v>
      </c>
      <c r="C96" s="207"/>
      <c r="D96" s="207"/>
      <c r="E96" s="210"/>
      <c r="F96" s="19"/>
      <c r="G96" s="281" t="s">
        <v>92</v>
      </c>
      <c r="H96" s="282" t="e">
        <f aca="false">IF(H105=Y104, (H93-J111)/(H64), H93/(H63+H64))</f>
        <v>#DIV/0!</v>
      </c>
      <c r="I96" s="207"/>
      <c r="J96" s="207"/>
      <c r="K96" s="210"/>
      <c r="L96" s="19"/>
      <c r="M96" s="281" t="s">
        <v>92</v>
      </c>
      <c r="N96" s="282" t="e">
        <f aca="false">IF(N105=Y104, (N93-P111)/(N64), N93/(N63+N64))</f>
        <v>#DIV/0!</v>
      </c>
      <c r="O96" s="207"/>
      <c r="P96" s="207"/>
      <c r="Q96" s="210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8.75" hidden="false" customHeight="true" outlineLevel="0" collapsed="false">
      <c r="A97" s="283" t="s">
        <v>93</v>
      </c>
      <c r="B97" s="284" t="n">
        <f aca="false">IF(A111="YES", B96+B95, B96)</f>
        <v>744.860975527767</v>
      </c>
      <c r="C97" s="207"/>
      <c r="D97" s="285"/>
      <c r="E97" s="210"/>
      <c r="F97" s="19"/>
      <c r="G97" s="283" t="s">
        <v>93</v>
      </c>
      <c r="H97" s="284" t="e">
        <f aca="false">IF(G111="YES", H96+H95, H96)</f>
        <v>#DIV/0!</v>
      </c>
      <c r="I97" s="207"/>
      <c r="J97" s="207"/>
      <c r="K97" s="210"/>
      <c r="L97" s="19"/>
      <c r="M97" s="283" t="s">
        <v>93</v>
      </c>
      <c r="N97" s="284" t="e">
        <f aca="false">IF(M111="YES", N96+N95, N96)</f>
        <v>#DIV/0!</v>
      </c>
      <c r="O97" s="207"/>
      <c r="P97" s="207"/>
      <c r="Q97" s="210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18.75" hidden="false" customHeight="true" outlineLevel="0" collapsed="false">
      <c r="A98" s="252"/>
      <c r="B98" s="253"/>
      <c r="C98" s="253"/>
      <c r="D98" s="253"/>
      <c r="E98" s="254"/>
      <c r="F98" s="19"/>
      <c r="G98" s="252"/>
      <c r="H98" s="253"/>
      <c r="I98" s="253"/>
      <c r="J98" s="253"/>
      <c r="K98" s="254"/>
      <c r="L98" s="19"/>
      <c r="M98" s="252"/>
      <c r="N98" s="253"/>
      <c r="O98" s="253"/>
      <c r="P98" s="253"/>
      <c r="Q98" s="254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18.75" hidden="false" customHeight="true" outlineLevel="0" collapsed="false">
      <c r="A99" s="207"/>
      <c r="B99" s="207"/>
      <c r="C99" s="207"/>
      <c r="D99" s="207"/>
      <c r="E99" s="207"/>
      <c r="F99" s="19"/>
      <c r="G99" s="207"/>
      <c r="H99" s="207"/>
      <c r="I99" s="207"/>
      <c r="J99" s="207"/>
      <c r="K99" s="207"/>
      <c r="L99" s="19"/>
      <c r="M99" s="207"/>
      <c r="N99" s="207"/>
      <c r="O99" s="207"/>
      <c r="P99" s="207"/>
      <c r="Q99" s="207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48.75" hidden="false" customHeight="true" outlineLevel="0" collapsed="false">
      <c r="A100" s="208" t="s">
        <v>249</v>
      </c>
      <c r="B100" s="208"/>
      <c r="C100" s="208"/>
      <c r="D100" s="208"/>
      <c r="E100" s="208"/>
      <c r="F100" s="19"/>
      <c r="G100" s="208" t="s">
        <v>250</v>
      </c>
      <c r="H100" s="208"/>
      <c r="I100" s="208"/>
      <c r="J100" s="208"/>
      <c r="K100" s="208"/>
      <c r="L100" s="19"/>
      <c r="M100" s="208" t="s">
        <v>251</v>
      </c>
      <c r="N100" s="208"/>
      <c r="O100" s="208"/>
      <c r="P100" s="208"/>
      <c r="Q100" s="208"/>
      <c r="R100" s="19"/>
      <c r="S100" s="19"/>
      <c r="T100" s="19"/>
      <c r="U100" s="19"/>
      <c r="V100" s="19"/>
      <c r="W100" s="19"/>
      <c r="X100" s="19"/>
      <c r="Y100" s="19"/>
      <c r="Z100" s="19"/>
    </row>
    <row r="101" customFormat="false" ht="18.75" hidden="false" customHeight="true" outlineLevel="0" collapsed="false">
      <c r="A101" s="209"/>
      <c r="B101" s="207"/>
      <c r="C101" s="207"/>
      <c r="D101" s="207"/>
      <c r="E101" s="210"/>
      <c r="F101" s="19"/>
      <c r="G101" s="209"/>
      <c r="H101" s="207"/>
      <c r="I101" s="207"/>
      <c r="J101" s="207"/>
      <c r="K101" s="210"/>
      <c r="L101" s="19"/>
      <c r="M101" s="209"/>
      <c r="N101" s="207"/>
      <c r="O101" s="207"/>
      <c r="P101" s="207"/>
      <c r="Q101" s="210"/>
      <c r="R101" s="19"/>
      <c r="S101" s="19"/>
      <c r="T101" s="19"/>
      <c r="U101" s="19"/>
      <c r="V101" s="19"/>
      <c r="W101" s="19"/>
      <c r="X101" s="19"/>
      <c r="Y101" s="19"/>
      <c r="Z101" s="19"/>
    </row>
    <row r="102" customFormat="false" ht="18.75" hidden="false" customHeight="true" outlineLevel="0" collapsed="false">
      <c r="A102" s="211" t="s">
        <v>26</v>
      </c>
      <c r="B102" s="211"/>
      <c r="C102" s="211"/>
      <c r="D102" s="211"/>
      <c r="E102" s="211"/>
      <c r="F102" s="19"/>
      <c r="G102" s="211" t="s">
        <v>26</v>
      </c>
      <c r="H102" s="211"/>
      <c r="I102" s="211"/>
      <c r="J102" s="211"/>
      <c r="K102" s="211"/>
      <c r="L102" s="19"/>
      <c r="M102" s="211" t="s">
        <v>26</v>
      </c>
      <c r="N102" s="211"/>
      <c r="O102" s="211"/>
      <c r="P102" s="211"/>
      <c r="Q102" s="211"/>
      <c r="R102" s="19"/>
      <c r="S102" s="19"/>
      <c r="T102" s="19"/>
      <c r="U102" s="19"/>
      <c r="V102" s="19"/>
      <c r="W102" s="19"/>
      <c r="X102" s="19"/>
      <c r="Y102" s="19"/>
      <c r="Z102" s="19"/>
    </row>
    <row r="103" customFormat="false" ht="18.75" hidden="false" customHeight="true" outlineLevel="0" collapsed="false">
      <c r="A103" s="209"/>
      <c r="B103" s="207"/>
      <c r="C103" s="207"/>
      <c r="D103" s="207"/>
      <c r="E103" s="210"/>
      <c r="F103" s="19"/>
      <c r="G103" s="209"/>
      <c r="H103" s="207"/>
      <c r="I103" s="207"/>
      <c r="J103" s="207"/>
      <c r="K103" s="210"/>
      <c r="L103" s="19"/>
      <c r="M103" s="209"/>
      <c r="N103" s="207"/>
      <c r="O103" s="207"/>
      <c r="P103" s="207"/>
      <c r="Q103" s="210"/>
      <c r="R103" s="19"/>
      <c r="S103" s="19"/>
      <c r="T103" s="19"/>
      <c r="U103" s="19"/>
      <c r="V103" s="19"/>
      <c r="W103" s="19"/>
      <c r="X103" s="19"/>
      <c r="Y103" s="19"/>
      <c r="Z103" s="19" t="s">
        <v>100</v>
      </c>
    </row>
    <row r="104" customFormat="false" ht="18.75" hidden="false" customHeight="true" outlineLevel="0" collapsed="false">
      <c r="A104" s="209" t="s">
        <v>98</v>
      </c>
      <c r="B104" s="207" t="s">
        <v>23</v>
      </c>
      <c r="C104" s="207"/>
      <c r="D104" s="207" t="s">
        <v>252</v>
      </c>
      <c r="E104" s="210"/>
      <c r="F104" s="19"/>
      <c r="G104" s="209" t="s">
        <v>98</v>
      </c>
      <c r="H104" s="207" t="s">
        <v>23</v>
      </c>
      <c r="I104" s="207"/>
      <c r="J104" s="207" t="s">
        <v>252</v>
      </c>
      <c r="K104" s="210"/>
      <c r="L104" s="19"/>
      <c r="M104" s="209" t="s">
        <v>98</v>
      </c>
      <c r="N104" s="207" t="s">
        <v>23</v>
      </c>
      <c r="O104" s="207"/>
      <c r="P104" s="207" t="s">
        <v>252</v>
      </c>
      <c r="Q104" s="210"/>
      <c r="R104" s="19"/>
      <c r="S104" s="19"/>
      <c r="T104" s="19"/>
      <c r="U104" s="19"/>
      <c r="V104" s="19"/>
      <c r="W104" s="19"/>
      <c r="X104" s="19"/>
      <c r="Y104" s="19"/>
      <c r="Z104" s="19" t="s">
        <v>253</v>
      </c>
    </row>
    <row r="105" customFormat="false" ht="18.75" hidden="false" customHeight="true" outlineLevel="0" collapsed="false">
      <c r="A105" s="214"/>
      <c r="B105" s="286" t="s">
        <v>100</v>
      </c>
      <c r="C105" s="286"/>
      <c r="D105" s="287" t="n">
        <v>1000</v>
      </c>
      <c r="E105" s="287"/>
      <c r="F105" s="19"/>
      <c r="G105" s="214" t="s">
        <v>254</v>
      </c>
      <c r="H105" s="286" t="s">
        <v>255</v>
      </c>
      <c r="I105" s="286"/>
      <c r="J105" s="287" t="n">
        <v>5000</v>
      </c>
      <c r="K105" s="287"/>
      <c r="L105" s="19"/>
      <c r="M105" s="214" t="s">
        <v>254</v>
      </c>
      <c r="N105" s="286" t="s">
        <v>256</v>
      </c>
      <c r="O105" s="286"/>
      <c r="P105" s="287" t="n">
        <v>0</v>
      </c>
      <c r="Q105" s="287"/>
      <c r="R105" s="19"/>
      <c r="S105" s="19"/>
      <c r="T105" s="19"/>
      <c r="U105" s="19"/>
      <c r="V105" s="19"/>
      <c r="W105" s="19"/>
      <c r="X105" s="19"/>
      <c r="Y105" s="19"/>
      <c r="Z105" s="19" t="s">
        <v>257</v>
      </c>
    </row>
    <row r="106" customFormat="false" ht="18.75" hidden="false" customHeight="true" outlineLevel="0" collapsed="false">
      <c r="A106" s="209"/>
      <c r="B106" s="207"/>
      <c r="C106" s="207"/>
      <c r="D106" s="207"/>
      <c r="E106" s="210"/>
      <c r="F106" s="19"/>
      <c r="G106" s="209"/>
      <c r="H106" s="207"/>
      <c r="I106" s="207"/>
      <c r="J106" s="207"/>
      <c r="K106" s="210"/>
      <c r="L106" s="19"/>
      <c r="M106" s="209"/>
      <c r="N106" s="207"/>
      <c r="O106" s="207"/>
      <c r="P106" s="207"/>
      <c r="Q106" s="210"/>
      <c r="R106" s="19"/>
      <c r="S106" s="19"/>
      <c r="T106" s="19"/>
      <c r="U106" s="19"/>
      <c r="V106" s="19"/>
      <c r="W106" s="19"/>
      <c r="X106" s="19"/>
      <c r="Y106" s="19"/>
      <c r="Z106" s="19" t="s">
        <v>258</v>
      </c>
    </row>
    <row r="107" customFormat="false" ht="18.75" hidden="false" customHeight="true" outlineLevel="0" collapsed="false">
      <c r="A107" s="209" t="s">
        <v>259</v>
      </c>
      <c r="B107" s="207" t="s">
        <v>260</v>
      </c>
      <c r="C107" s="207"/>
      <c r="D107" s="207" t="s">
        <v>261</v>
      </c>
      <c r="E107" s="210"/>
      <c r="F107" s="19"/>
      <c r="G107" s="209" t="s">
        <v>259</v>
      </c>
      <c r="H107" s="207" t="s">
        <v>260</v>
      </c>
      <c r="I107" s="207"/>
      <c r="J107" s="207" t="s">
        <v>261</v>
      </c>
      <c r="K107" s="210"/>
      <c r="L107" s="19"/>
      <c r="M107" s="209" t="s">
        <v>259</v>
      </c>
      <c r="N107" s="207" t="s">
        <v>260</v>
      </c>
      <c r="O107" s="207"/>
      <c r="P107" s="207" t="s">
        <v>261</v>
      </c>
      <c r="Q107" s="210"/>
      <c r="R107" s="19"/>
      <c r="S107" s="19"/>
      <c r="T107" s="19"/>
      <c r="U107" s="19"/>
      <c r="V107" s="19"/>
      <c r="W107" s="19"/>
      <c r="X107" s="19"/>
      <c r="Y107" s="19"/>
      <c r="Z107" s="19" t="s">
        <v>262</v>
      </c>
    </row>
    <row r="108" customFormat="false" ht="18.75" hidden="false" customHeight="true" outlineLevel="0" collapsed="false">
      <c r="A108" s="288" t="n">
        <v>199.99</v>
      </c>
      <c r="B108" s="72" t="n">
        <v>0</v>
      </c>
      <c r="C108" s="72"/>
      <c r="D108" s="72" t="n">
        <v>0</v>
      </c>
      <c r="E108" s="72"/>
      <c r="F108" s="19"/>
      <c r="G108" s="288" t="n">
        <f aca="false">199.99*1.2</f>
        <v>239.988</v>
      </c>
      <c r="H108" s="72" t="n">
        <v>1200</v>
      </c>
      <c r="I108" s="72"/>
      <c r="J108" s="72" t="n">
        <v>1500</v>
      </c>
      <c r="K108" s="72"/>
      <c r="L108" s="19"/>
      <c r="M108" s="288" t="n">
        <v>199.99</v>
      </c>
      <c r="N108" s="72" t="n">
        <v>1200</v>
      </c>
      <c r="O108" s="72"/>
      <c r="P108" s="72" t="n">
        <v>1500</v>
      </c>
      <c r="Q108" s="72"/>
      <c r="R108" s="19"/>
      <c r="S108" s="19"/>
      <c r="T108" s="19"/>
      <c r="U108" s="19"/>
      <c r="V108" s="19"/>
      <c r="W108" s="19"/>
      <c r="X108" s="19"/>
      <c r="Y108" s="19"/>
      <c r="Z108" s="19" t="s">
        <v>256</v>
      </c>
    </row>
    <row r="109" customFormat="false" ht="18.75" hidden="false" customHeight="true" outlineLevel="0" collapsed="false">
      <c r="A109" s="209"/>
      <c r="B109" s="207"/>
      <c r="C109" s="207"/>
      <c r="D109" s="207"/>
      <c r="E109" s="210"/>
      <c r="F109" s="19"/>
      <c r="G109" s="209"/>
      <c r="H109" s="207"/>
      <c r="I109" s="207"/>
      <c r="J109" s="207"/>
      <c r="K109" s="210"/>
      <c r="L109" s="19"/>
      <c r="M109" s="209"/>
      <c r="N109" s="207"/>
      <c r="O109" s="207"/>
      <c r="P109" s="207"/>
      <c r="Q109" s="210"/>
      <c r="R109" s="19"/>
      <c r="S109" s="19"/>
      <c r="T109" s="19"/>
      <c r="U109" s="19"/>
      <c r="V109" s="19"/>
      <c r="W109" s="19"/>
      <c r="X109" s="19"/>
      <c r="Y109" s="19"/>
      <c r="Z109" s="19" t="s">
        <v>255</v>
      </c>
    </row>
    <row r="110" customFormat="false" ht="18.75" hidden="false" customHeight="true" outlineLevel="0" collapsed="false">
      <c r="A110" s="214" t="s">
        <v>22</v>
      </c>
      <c r="B110" s="19" t="s">
        <v>101</v>
      </c>
      <c r="C110" s="207"/>
      <c r="D110" s="207" t="s">
        <v>112</v>
      </c>
      <c r="E110" s="210"/>
      <c r="F110" s="19"/>
      <c r="G110" s="214" t="s">
        <v>22</v>
      </c>
      <c r="H110" s="19" t="s">
        <v>101</v>
      </c>
      <c r="I110" s="207"/>
      <c r="J110" s="207" t="s">
        <v>112</v>
      </c>
      <c r="K110" s="210"/>
      <c r="L110" s="19"/>
      <c r="M110" s="214" t="s">
        <v>22</v>
      </c>
      <c r="N110" s="19" t="s">
        <v>101</v>
      </c>
      <c r="O110" s="207"/>
      <c r="P110" s="207" t="s">
        <v>112</v>
      </c>
      <c r="Q110" s="210"/>
      <c r="R110" s="19"/>
      <c r="S110" s="19"/>
      <c r="T110" s="19"/>
      <c r="U110" s="19"/>
      <c r="V110" s="19"/>
      <c r="W110" s="19"/>
      <c r="X110" s="19"/>
      <c r="Y110" s="19"/>
      <c r="Z110" s="19" t="s">
        <v>263</v>
      </c>
    </row>
    <row r="111" customFormat="false" ht="18.75" hidden="false" customHeight="true" outlineLevel="0" collapsed="false">
      <c r="A111" s="216" t="s">
        <v>10</v>
      </c>
      <c r="B111" s="286" t="n">
        <v>0</v>
      </c>
      <c r="C111" s="286"/>
      <c r="D111" s="72" t="s">
        <v>264</v>
      </c>
      <c r="E111" s="72"/>
      <c r="F111" s="19"/>
      <c r="G111" s="216" t="s">
        <v>9</v>
      </c>
      <c r="H111" s="289" t="n">
        <v>0.2</v>
      </c>
      <c r="I111" s="289"/>
      <c r="J111" s="72" t="n">
        <v>5000</v>
      </c>
      <c r="K111" s="72"/>
      <c r="L111" s="19"/>
      <c r="M111" s="216" t="s">
        <v>9</v>
      </c>
      <c r="N111" s="289" t="n">
        <v>0.2</v>
      </c>
      <c r="O111" s="289"/>
      <c r="P111" s="72" t="n">
        <v>5000</v>
      </c>
      <c r="Q111" s="72"/>
      <c r="R111" s="19"/>
      <c r="S111" s="19"/>
      <c r="T111" s="19"/>
      <c r="U111" s="19"/>
      <c r="V111" s="19"/>
      <c r="W111" s="19"/>
      <c r="X111" s="19"/>
      <c r="Y111" s="19"/>
      <c r="Z111" s="19" t="s">
        <v>265</v>
      </c>
    </row>
    <row r="112" customFormat="false" ht="18.75" hidden="false" customHeight="true" outlineLevel="0" collapsed="false">
      <c r="A112" s="209"/>
      <c r="B112" s="207"/>
      <c r="C112" s="207"/>
      <c r="D112" s="207" t="s">
        <v>4</v>
      </c>
      <c r="E112" s="210"/>
      <c r="F112" s="19"/>
      <c r="G112" s="209"/>
      <c r="H112" s="207"/>
      <c r="I112" s="207"/>
      <c r="J112" s="207"/>
      <c r="K112" s="210"/>
      <c r="L112" s="19"/>
      <c r="M112" s="209"/>
      <c r="N112" s="207"/>
      <c r="O112" s="207"/>
      <c r="P112" s="207"/>
      <c r="Q112" s="210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8.75" hidden="false" customHeight="true" outlineLevel="0" collapsed="false">
      <c r="A113" s="209"/>
      <c r="B113" s="207"/>
      <c r="C113" s="207"/>
      <c r="D113" s="207"/>
      <c r="E113" s="210"/>
      <c r="F113" s="19"/>
      <c r="G113" s="209"/>
      <c r="H113" s="207"/>
      <c r="I113" s="207"/>
      <c r="J113" s="207"/>
      <c r="K113" s="210"/>
      <c r="L113" s="19"/>
      <c r="M113" s="209"/>
      <c r="N113" s="207" t="s">
        <v>266</v>
      </c>
      <c r="O113" s="216" t="s">
        <v>9</v>
      </c>
      <c r="P113" s="207"/>
      <c r="Q113" s="210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8.75" hidden="false" customHeight="true" outlineLevel="0" collapsed="false">
      <c r="A114" s="211" t="s">
        <v>267</v>
      </c>
      <c r="B114" s="211"/>
      <c r="C114" s="211"/>
      <c r="D114" s="211"/>
      <c r="E114" s="211"/>
      <c r="F114" s="19"/>
      <c r="G114" s="211" t="s">
        <v>267</v>
      </c>
      <c r="H114" s="211"/>
      <c r="I114" s="211"/>
      <c r="J114" s="211"/>
      <c r="K114" s="211"/>
      <c r="L114" s="19"/>
      <c r="M114" s="211" t="s">
        <v>267</v>
      </c>
      <c r="N114" s="211"/>
      <c r="O114" s="211"/>
      <c r="P114" s="211"/>
      <c r="Q114" s="211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8.75" hidden="false" customHeight="true" outlineLevel="0" collapsed="false">
      <c r="A115" s="209"/>
      <c r="B115" s="207"/>
      <c r="C115" s="207"/>
      <c r="D115" s="207"/>
      <c r="E115" s="210"/>
      <c r="F115" s="19"/>
      <c r="G115" s="209"/>
      <c r="H115" s="207"/>
      <c r="I115" s="207"/>
      <c r="J115" s="207"/>
      <c r="K115" s="210"/>
      <c r="L115" s="19"/>
      <c r="M115" s="209"/>
      <c r="N115" s="207"/>
      <c r="O115" s="207"/>
      <c r="P115" s="207"/>
      <c r="Q115" s="210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8.75" hidden="false" customHeight="true" outlineLevel="0" collapsed="false">
      <c r="A116" s="209" t="s">
        <v>268</v>
      </c>
      <c r="B116" s="216" t="s">
        <v>9</v>
      </c>
      <c r="C116" s="207"/>
      <c r="D116" s="207"/>
      <c r="E116" s="210"/>
      <c r="F116" s="19"/>
      <c r="G116" s="209" t="s">
        <v>268</v>
      </c>
      <c r="H116" s="216" t="s">
        <v>9</v>
      </c>
      <c r="I116" s="207"/>
      <c r="J116" s="207"/>
      <c r="K116" s="210"/>
      <c r="L116" s="19"/>
      <c r="M116" s="209" t="s">
        <v>268</v>
      </c>
      <c r="N116" s="216" t="s">
        <v>9</v>
      </c>
      <c r="O116" s="207"/>
      <c r="P116" s="207"/>
      <c r="Q116" s="210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8.75" hidden="false" customHeight="true" outlineLevel="0" collapsed="false">
      <c r="A117" s="209"/>
      <c r="B117" s="207"/>
      <c r="C117" s="207"/>
      <c r="D117" s="207"/>
      <c r="E117" s="210"/>
      <c r="F117" s="19"/>
      <c r="G117" s="209"/>
      <c r="H117" s="207"/>
      <c r="I117" s="207"/>
      <c r="J117" s="207"/>
      <c r="K117" s="210"/>
      <c r="L117" s="19"/>
      <c r="M117" s="209"/>
      <c r="N117" s="207"/>
      <c r="O117" s="207"/>
      <c r="P117" s="207"/>
      <c r="Q117" s="210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8.75" hidden="false" customHeight="true" outlineLevel="0" collapsed="false">
      <c r="A118" s="209" t="s">
        <v>146</v>
      </c>
      <c r="B118" s="207"/>
      <c r="C118" s="207"/>
      <c r="D118" s="288" t="n">
        <v>0</v>
      </c>
      <c r="E118" s="72" t="n">
        <v>0</v>
      </c>
      <c r="F118" s="19"/>
      <c r="G118" s="209" t="s">
        <v>146</v>
      </c>
      <c r="H118" s="207"/>
      <c r="I118" s="207"/>
      <c r="J118" s="288" t="n">
        <v>10000</v>
      </c>
      <c r="K118" s="72" t="n">
        <v>5000</v>
      </c>
      <c r="L118" s="19"/>
      <c r="M118" s="209" t="s">
        <v>146</v>
      </c>
      <c r="N118" s="207"/>
      <c r="O118" s="207"/>
      <c r="P118" s="288" t="n">
        <v>10000</v>
      </c>
      <c r="Q118" s="72" t="n">
        <v>5000</v>
      </c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8.75" hidden="false" customHeight="true" outlineLevel="0" collapsed="false">
      <c r="A119" s="209" t="s">
        <v>147</v>
      </c>
      <c r="B119" s="207"/>
      <c r="C119" s="207"/>
      <c r="D119" s="38" t="n">
        <f aca="false">E119</f>
        <v>0</v>
      </c>
      <c r="E119" s="72" t="n">
        <v>0</v>
      </c>
      <c r="F119" s="19"/>
      <c r="G119" s="209" t="s">
        <v>147</v>
      </c>
      <c r="H119" s="207"/>
      <c r="I119" s="207"/>
      <c r="J119" s="38" t="n">
        <f aca="false">K119</f>
        <v>7000</v>
      </c>
      <c r="K119" s="72" t="n">
        <v>7000</v>
      </c>
      <c r="L119" s="19"/>
      <c r="M119" s="209" t="s">
        <v>147</v>
      </c>
      <c r="N119" s="207"/>
      <c r="O119" s="207"/>
      <c r="P119" s="38" t="n">
        <f aca="false">Q119</f>
        <v>7000</v>
      </c>
      <c r="Q119" s="72" t="n">
        <v>7000</v>
      </c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8.75" hidden="false" customHeight="true" outlineLevel="0" collapsed="false">
      <c r="A120" s="209" t="s">
        <v>148</v>
      </c>
      <c r="B120" s="207"/>
      <c r="C120" s="207"/>
      <c r="D120" s="38" t="n">
        <f aca="false">D118-D119</f>
        <v>0</v>
      </c>
      <c r="E120" s="163" t="n">
        <f aca="false">E118-E119</f>
        <v>0</v>
      </c>
      <c r="F120" s="19"/>
      <c r="G120" s="209" t="s">
        <v>148</v>
      </c>
      <c r="H120" s="207"/>
      <c r="I120" s="207"/>
      <c r="J120" s="38" t="n">
        <f aca="false">J118-J119</f>
        <v>3000</v>
      </c>
      <c r="K120" s="163" t="n">
        <f aca="false">K118-K119</f>
        <v>-2000</v>
      </c>
      <c r="L120" s="19"/>
      <c r="M120" s="209" t="s">
        <v>148</v>
      </c>
      <c r="N120" s="207"/>
      <c r="O120" s="207"/>
      <c r="P120" s="38" t="n">
        <f aca="false">P118-P119</f>
        <v>3000</v>
      </c>
      <c r="Q120" s="163" t="n">
        <f aca="false">Q118-Q119</f>
        <v>-2000</v>
      </c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8.75" hidden="false" customHeight="true" outlineLevel="0" collapsed="false">
      <c r="A121" s="209" t="s">
        <v>149</v>
      </c>
      <c r="B121" s="207"/>
      <c r="C121" s="207"/>
      <c r="D121" s="38" t="n">
        <f aca="false">D120-E120</f>
        <v>0</v>
      </c>
      <c r="E121" s="210"/>
      <c r="F121" s="19"/>
      <c r="G121" s="209" t="s">
        <v>149</v>
      </c>
      <c r="H121" s="207"/>
      <c r="I121" s="207"/>
      <c r="J121" s="38" t="n">
        <f aca="false">J120-K120</f>
        <v>5000</v>
      </c>
      <c r="K121" s="210"/>
      <c r="L121" s="19"/>
      <c r="M121" s="209" t="s">
        <v>149</v>
      </c>
      <c r="N121" s="207"/>
      <c r="O121" s="207"/>
      <c r="P121" s="38" t="n">
        <f aca="false">P120-Q120</f>
        <v>5000</v>
      </c>
      <c r="Q121" s="210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8.75" hidden="false" customHeight="true" outlineLevel="0" collapsed="false">
      <c r="A122" s="209"/>
      <c r="B122" s="207"/>
      <c r="C122" s="207"/>
      <c r="D122" s="207"/>
      <c r="E122" s="210"/>
      <c r="F122" s="19"/>
      <c r="G122" s="209"/>
      <c r="H122" s="207"/>
      <c r="I122" s="207"/>
      <c r="J122" s="207"/>
      <c r="K122" s="210"/>
      <c r="L122" s="19"/>
      <c r="M122" s="209"/>
      <c r="N122" s="207"/>
      <c r="O122" s="207"/>
      <c r="P122" s="207"/>
      <c r="Q122" s="210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8.75" hidden="false" customHeight="true" outlineLevel="0" collapsed="false">
      <c r="A123" s="255" t="s">
        <v>108</v>
      </c>
      <c r="B123" s="256"/>
      <c r="C123" s="256"/>
      <c r="D123" s="256"/>
      <c r="E123" s="137" t="n">
        <f aca="false">D105</f>
        <v>1000</v>
      </c>
      <c r="F123" s="19"/>
      <c r="G123" s="255" t="s">
        <v>108</v>
      </c>
      <c r="H123" s="256"/>
      <c r="I123" s="256"/>
      <c r="J123" s="256"/>
      <c r="K123" s="137" t="n">
        <f aca="false">J105</f>
        <v>5000</v>
      </c>
      <c r="L123" s="19"/>
      <c r="M123" s="255" t="s">
        <v>108</v>
      </c>
      <c r="N123" s="256"/>
      <c r="O123" s="256"/>
      <c r="P123" s="256"/>
      <c r="Q123" s="137" t="n">
        <f aca="false">P105</f>
        <v>0</v>
      </c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8.75" hidden="false" customHeight="true" outlineLevel="0" collapsed="false">
      <c r="A124" s="209" t="s">
        <v>152</v>
      </c>
      <c r="B124" s="207"/>
      <c r="C124" s="207"/>
      <c r="D124" s="207"/>
      <c r="E124" s="273" t="n">
        <f aca="false">A108</f>
        <v>199.99</v>
      </c>
      <c r="F124" s="19"/>
      <c r="G124" s="209" t="s">
        <v>152</v>
      </c>
      <c r="H124" s="207"/>
      <c r="I124" s="207"/>
      <c r="J124" s="207"/>
      <c r="K124" s="273" t="n">
        <f aca="false">G108</f>
        <v>239.988</v>
      </c>
      <c r="L124" s="19"/>
      <c r="M124" s="209" t="s">
        <v>152</v>
      </c>
      <c r="N124" s="207"/>
      <c r="O124" s="207"/>
      <c r="P124" s="207"/>
      <c r="Q124" s="273" t="n">
        <f aca="false">M108</f>
        <v>199.99</v>
      </c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8.75" hidden="false" customHeight="true" outlineLevel="0" collapsed="false">
      <c r="A125" s="290" t="s">
        <v>269</v>
      </c>
      <c r="B125" s="253"/>
      <c r="C125" s="253"/>
      <c r="D125" s="253"/>
      <c r="E125" s="139" t="n">
        <f aca="false">(E124+E123)-E120</f>
        <v>1199.99</v>
      </c>
      <c r="F125" s="19"/>
      <c r="G125" s="290" t="s">
        <v>269</v>
      </c>
      <c r="H125" s="253"/>
      <c r="I125" s="253"/>
      <c r="J125" s="253"/>
      <c r="K125" s="139" t="n">
        <f aca="false">(K124+K123)-K120</f>
        <v>7239.988</v>
      </c>
      <c r="L125" s="19"/>
      <c r="M125" s="290" t="s">
        <v>269</v>
      </c>
      <c r="N125" s="253"/>
      <c r="O125" s="253"/>
      <c r="P125" s="253"/>
      <c r="Q125" s="139" t="n">
        <f aca="false">(Q124+Q123)-Q120</f>
        <v>2199.99</v>
      </c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8.75" hidden="false" customHeight="true" outlineLevel="0" collapsed="false">
      <c r="A126" s="209"/>
      <c r="B126" s="207"/>
      <c r="C126" s="207"/>
      <c r="D126" s="207"/>
      <c r="E126" s="210"/>
      <c r="F126" s="19"/>
      <c r="G126" s="209"/>
      <c r="H126" s="207"/>
      <c r="I126" s="207"/>
      <c r="J126" s="207"/>
      <c r="K126" s="210"/>
      <c r="L126" s="19"/>
      <c r="M126" s="209"/>
      <c r="N126" s="207"/>
      <c r="O126" s="207"/>
      <c r="P126" s="207"/>
      <c r="Q126" s="210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8.75" hidden="false" customHeight="true" outlineLevel="0" collapsed="false">
      <c r="A127" s="209"/>
      <c r="B127" s="207"/>
      <c r="C127" s="207"/>
      <c r="D127" s="207"/>
      <c r="E127" s="210"/>
      <c r="F127" s="19"/>
      <c r="G127" s="209"/>
      <c r="H127" s="207"/>
      <c r="I127" s="207"/>
      <c r="J127" s="207"/>
      <c r="K127" s="210"/>
      <c r="L127" s="19"/>
      <c r="M127" s="209"/>
      <c r="N127" s="207"/>
      <c r="O127" s="207"/>
      <c r="P127" s="207"/>
      <c r="Q127" s="210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8.75" hidden="false" customHeight="true" outlineLevel="0" collapsed="false">
      <c r="A128" s="211" t="s">
        <v>270</v>
      </c>
      <c r="B128" s="211"/>
      <c r="C128" s="211"/>
      <c r="D128" s="211"/>
      <c r="E128" s="211"/>
      <c r="F128" s="19"/>
      <c r="G128" s="211" t="s">
        <v>270</v>
      </c>
      <c r="H128" s="211"/>
      <c r="I128" s="211"/>
      <c r="J128" s="211"/>
      <c r="K128" s="211"/>
      <c r="L128" s="19"/>
      <c r="M128" s="211" t="s">
        <v>270</v>
      </c>
      <c r="N128" s="211"/>
      <c r="O128" s="211"/>
      <c r="P128" s="211"/>
      <c r="Q128" s="211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8.75" hidden="false" customHeight="true" outlineLevel="0" collapsed="false">
      <c r="A129" s="291"/>
      <c r="B129" s="292"/>
      <c r="C129" s="292"/>
      <c r="D129" s="292"/>
      <c r="E129" s="293"/>
      <c r="F129" s="19"/>
      <c r="G129" s="209"/>
      <c r="H129" s="207"/>
      <c r="I129" s="207"/>
      <c r="J129" s="207"/>
      <c r="K129" s="210"/>
      <c r="L129" s="19"/>
      <c r="M129" s="209"/>
      <c r="N129" s="207"/>
      <c r="O129" s="207"/>
      <c r="P129" s="207"/>
      <c r="Q129" s="210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8.75" hidden="false" customHeight="true" outlineLevel="0" collapsed="false">
      <c r="A130" s="294" t="s">
        <v>98</v>
      </c>
      <c r="B130" s="295" t="n">
        <v>0</v>
      </c>
      <c r="C130" s="296"/>
      <c r="D130" s="295" t="s">
        <v>33</v>
      </c>
      <c r="E130" s="297"/>
      <c r="F130" s="19"/>
      <c r="G130" s="209" t="s">
        <v>29</v>
      </c>
      <c r="H130" s="168" t="n">
        <v>0</v>
      </c>
      <c r="I130" s="168"/>
      <c r="J130" s="207"/>
      <c r="K130" s="210"/>
      <c r="L130" s="19"/>
      <c r="M130" s="209" t="s">
        <v>29</v>
      </c>
      <c r="N130" s="168" t="n">
        <v>0</v>
      </c>
      <c r="O130" s="168"/>
      <c r="P130" s="207"/>
      <c r="Q130" s="210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8.75" hidden="false" customHeight="true" outlineLevel="0" collapsed="false">
      <c r="A131" s="298" t="s">
        <v>254</v>
      </c>
      <c r="B131" s="299" t="n">
        <f aca="false">A167</f>
        <v>12</v>
      </c>
      <c r="C131" s="300"/>
      <c r="D131" s="299" t="n">
        <f aca="false">B166</f>
        <v>5000</v>
      </c>
      <c r="E131" s="297"/>
      <c r="F131" s="19"/>
      <c r="G131" s="209"/>
      <c r="H131" s="207"/>
      <c r="I131" s="207"/>
      <c r="J131" s="207"/>
      <c r="K131" s="210"/>
      <c r="L131" s="19"/>
      <c r="M131" s="209"/>
      <c r="N131" s="207"/>
      <c r="O131" s="207"/>
      <c r="P131" s="207"/>
      <c r="Q131" s="210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8.75" hidden="false" customHeight="true" outlineLevel="0" collapsed="false">
      <c r="A132" s="294"/>
      <c r="B132" s="295"/>
      <c r="C132" s="295"/>
      <c r="D132" s="295"/>
      <c r="E132" s="297"/>
      <c r="F132" s="19"/>
      <c r="G132" s="209" t="s">
        <v>28</v>
      </c>
      <c r="H132" s="207" t="s">
        <v>33</v>
      </c>
      <c r="I132" s="207"/>
      <c r="J132" s="207" t="s">
        <v>60</v>
      </c>
      <c r="K132" s="210"/>
      <c r="L132" s="19"/>
      <c r="M132" s="209" t="s">
        <v>28</v>
      </c>
      <c r="N132" s="207" t="s">
        <v>33</v>
      </c>
      <c r="O132" s="207"/>
      <c r="P132" s="207" t="s">
        <v>60</v>
      </c>
      <c r="Q132" s="210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8.75" hidden="false" customHeight="true" outlineLevel="0" collapsed="false">
      <c r="A133" s="294" t="s">
        <v>92</v>
      </c>
      <c r="B133" s="295" t="s">
        <v>271</v>
      </c>
      <c r="C133" s="296"/>
      <c r="D133" s="295" t="s">
        <v>272</v>
      </c>
      <c r="E133" s="297"/>
      <c r="F133" s="19"/>
      <c r="G133" s="222" t="n">
        <f aca="false">G158</f>
        <v>12</v>
      </c>
      <c r="H133" s="174" t="n">
        <f aca="false">B157</f>
        <v>0</v>
      </c>
      <c r="I133" s="223"/>
      <c r="J133" s="174" t="n">
        <f aca="false">B64</f>
        <v>11</v>
      </c>
      <c r="K133" s="210"/>
      <c r="L133" s="19"/>
      <c r="M133" s="222" t="n">
        <f aca="false">M161</f>
        <v>12</v>
      </c>
      <c r="N133" s="174" t="n">
        <f aca="false">B157</f>
        <v>0</v>
      </c>
      <c r="O133" s="223"/>
      <c r="P133" s="174" t="n">
        <f aca="false">B64</f>
        <v>11</v>
      </c>
      <c r="Q133" s="210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8.75" hidden="false" customHeight="true" outlineLevel="0" collapsed="false">
      <c r="A134" s="298" t="n">
        <f aca="false">B96</f>
        <v>744.860975527767</v>
      </c>
      <c r="B134" s="296" t="n">
        <f aca="false">IF(A111="YES", B95, 0)</f>
        <v>0</v>
      </c>
      <c r="C134" s="301"/>
      <c r="D134" s="296" t="n">
        <f aca="false">B97</f>
        <v>744.860975527767</v>
      </c>
      <c r="E134" s="297"/>
      <c r="F134" s="19"/>
      <c r="G134" s="209"/>
      <c r="H134" s="207"/>
      <c r="I134" s="207"/>
      <c r="J134" s="207"/>
      <c r="K134" s="210"/>
      <c r="L134" s="19"/>
      <c r="M134" s="209"/>
      <c r="N134" s="207"/>
      <c r="O134" s="207"/>
      <c r="P134" s="207"/>
      <c r="Q134" s="210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8.75" hidden="false" customHeight="true" outlineLevel="0" collapsed="false">
      <c r="A135" s="291"/>
      <c r="B135" s="292"/>
      <c r="C135" s="292"/>
      <c r="D135" s="292"/>
      <c r="E135" s="293"/>
      <c r="F135" s="19"/>
      <c r="G135" s="302" t="s">
        <v>273</v>
      </c>
      <c r="H135" s="303" t="s">
        <v>274</v>
      </c>
      <c r="I135" s="303"/>
      <c r="J135" s="303" t="s">
        <v>275</v>
      </c>
      <c r="K135" s="210"/>
      <c r="L135" s="19"/>
      <c r="M135" s="302" t="s">
        <v>276</v>
      </c>
      <c r="N135" s="303" t="s">
        <v>227</v>
      </c>
      <c r="O135" s="303"/>
      <c r="P135" s="303" t="s">
        <v>93</v>
      </c>
      <c r="Q135" s="210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8.75" hidden="false" customHeight="true" outlineLevel="0" collapsed="false">
      <c r="A136" s="304" t="s">
        <v>23</v>
      </c>
      <c r="B136" s="305" t="s">
        <v>277</v>
      </c>
      <c r="C136" s="306"/>
      <c r="D136" s="305" t="s">
        <v>278</v>
      </c>
      <c r="E136" s="293"/>
      <c r="F136" s="19"/>
      <c r="G136" s="307" t="e">
        <f aca="false">H96</f>
        <v>#DIV/0!</v>
      </c>
      <c r="H136" s="172" t="e">
        <f aca="false">IF(G111="YES", H95*H63, 0)</f>
        <v>#DIV/0!</v>
      </c>
      <c r="I136" s="172"/>
      <c r="J136" s="308" t="e">
        <f aca="false">H97</f>
        <v>#DIV/0!</v>
      </c>
      <c r="K136" s="210"/>
      <c r="L136" s="19"/>
      <c r="M136" s="307" t="e">
        <f aca="false">N96</f>
        <v>#DIV/0!</v>
      </c>
      <c r="N136" s="172" t="e">
        <f aca="false">IF(M111="YES", N95*N63, 0)</f>
        <v>#DIV/0!</v>
      </c>
      <c r="O136" s="172"/>
      <c r="P136" s="172" t="e">
        <f aca="false">N97</f>
        <v>#DIV/0!</v>
      </c>
      <c r="Q136" s="210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8.75" hidden="false" customHeight="true" outlineLevel="0" collapsed="false">
      <c r="A137" s="309" t="str">
        <f aca="false">B105</f>
        <v>Monthly in advance</v>
      </c>
      <c r="B137" s="201" t="n">
        <f aca="false">B96*B63</f>
        <v>744.860975527767</v>
      </c>
      <c r="C137" s="292"/>
      <c r="D137" s="201" t="n">
        <f aca="false">IF(A111="YES", B95*B63, 0)</f>
        <v>0</v>
      </c>
      <c r="E137" s="293"/>
      <c r="F137" s="19"/>
      <c r="G137" s="209"/>
      <c r="H137" s="207"/>
      <c r="I137" s="207"/>
      <c r="J137" s="207"/>
      <c r="K137" s="210"/>
      <c r="L137" s="19"/>
      <c r="M137" s="209"/>
      <c r="N137" s="207"/>
      <c r="O137" s="207"/>
      <c r="P137" s="207"/>
      <c r="Q137" s="210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8.75" hidden="false" customHeight="true" outlineLevel="0" collapsed="false">
      <c r="A138" s="291"/>
      <c r="B138" s="292"/>
      <c r="C138" s="292"/>
      <c r="D138" s="292"/>
      <c r="E138" s="293"/>
      <c r="F138" s="19"/>
      <c r="G138" s="209" t="s">
        <v>279</v>
      </c>
      <c r="H138" s="207" t="s">
        <v>280</v>
      </c>
      <c r="I138" s="207"/>
      <c r="J138" s="207" t="s">
        <v>281</v>
      </c>
      <c r="K138" s="210"/>
      <c r="L138" s="19"/>
      <c r="M138" s="209" t="s">
        <v>282</v>
      </c>
      <c r="N138" s="207" t="s">
        <v>216</v>
      </c>
      <c r="O138" s="207"/>
      <c r="P138" s="207" t="s">
        <v>220</v>
      </c>
      <c r="Q138" s="210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8.75" hidden="false" customHeight="true" outlineLevel="0" collapsed="false">
      <c r="A139" s="123" t="s">
        <v>283</v>
      </c>
      <c r="B139" s="200" t="s">
        <v>284</v>
      </c>
      <c r="C139" s="310"/>
      <c r="D139" s="240" t="s">
        <v>177</v>
      </c>
      <c r="E139" s="293"/>
      <c r="F139" s="19"/>
      <c r="G139" s="69" t="e">
        <f aca="false">H96*H63</f>
        <v>#DIV/0!</v>
      </c>
      <c r="H139" s="37" t="e">
        <f aca="false">IF(G111="YES", H95*H63, 0)</f>
        <v>#DIV/0!</v>
      </c>
      <c r="I139" s="215"/>
      <c r="J139" s="37" t="e">
        <f aca="false">H97*H63</f>
        <v>#DIV/0!</v>
      </c>
      <c r="K139" s="210"/>
      <c r="L139" s="19"/>
      <c r="M139" s="69" t="e">
        <f aca="false">N96*N63</f>
        <v>#DIV/0!</v>
      </c>
      <c r="N139" s="37" t="e">
        <f aca="false">IF(M111="YES", N95*N63, 0)</f>
        <v>#DIV/0!</v>
      </c>
      <c r="O139" s="215"/>
      <c r="P139" s="232" t="e">
        <f aca="false">N97*N63</f>
        <v>#DIV/0!</v>
      </c>
      <c r="Q139" s="210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8.75" hidden="false" customHeight="true" outlineLevel="0" collapsed="false">
      <c r="A140" s="70" t="n">
        <f aca="false">B97*B63</f>
        <v>744.860975527767</v>
      </c>
      <c r="B140" s="201" t="n">
        <f aca="false">E120</f>
        <v>0</v>
      </c>
      <c r="C140" s="292"/>
      <c r="D140" s="311" t="n">
        <f aca="false">B64</f>
        <v>11</v>
      </c>
      <c r="E140" s="293"/>
      <c r="F140" s="19"/>
      <c r="G140" s="209"/>
      <c r="H140" s="207"/>
      <c r="I140" s="207"/>
      <c r="J140" s="207"/>
      <c r="K140" s="210"/>
      <c r="L140" s="19"/>
      <c r="M140" s="209"/>
      <c r="N140" s="207"/>
      <c r="O140" s="207"/>
      <c r="P140" s="207"/>
      <c r="Q140" s="210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8.75" hidden="false" customHeight="true" outlineLevel="0" collapsed="false">
      <c r="A141" s="70"/>
      <c r="B141" s="312"/>
      <c r="C141" s="292"/>
      <c r="D141" s="292"/>
      <c r="E141" s="293"/>
      <c r="F141" s="19"/>
      <c r="G141" s="209" t="s">
        <v>285</v>
      </c>
      <c r="H141" s="207" t="s">
        <v>286</v>
      </c>
      <c r="I141" s="207"/>
      <c r="J141" s="207" t="s">
        <v>287</v>
      </c>
      <c r="K141" s="210"/>
      <c r="L141" s="19"/>
      <c r="M141" s="209" t="s">
        <v>229</v>
      </c>
      <c r="N141" s="207" t="s">
        <v>230</v>
      </c>
      <c r="O141" s="207"/>
      <c r="P141" s="207" t="s">
        <v>235</v>
      </c>
      <c r="Q141" s="210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8.75" hidden="false" customHeight="true" outlineLevel="0" collapsed="false">
      <c r="A142" s="78" t="s">
        <v>92</v>
      </c>
      <c r="B142" s="313" t="s">
        <v>271</v>
      </c>
      <c r="C142" s="292"/>
      <c r="D142" s="292" t="s">
        <v>272</v>
      </c>
      <c r="E142" s="293"/>
      <c r="F142" s="19"/>
      <c r="G142" s="70" t="n">
        <f aca="false">E15*0.000006</f>
        <v>0</v>
      </c>
      <c r="H142" s="37" t="n">
        <f aca="false">IF(G111="YES", E15*0.000002, 0)</f>
        <v>0</v>
      </c>
      <c r="I142" s="37"/>
      <c r="J142" s="37" t="n">
        <f aca="false">G142+H142</f>
        <v>0</v>
      </c>
      <c r="K142" s="177"/>
      <c r="L142" s="19"/>
      <c r="M142" s="70" t="n">
        <f aca="false">E15*0.000006</f>
        <v>0</v>
      </c>
      <c r="N142" s="37" t="n">
        <f aca="false">IF(M111="YES", E15*0.000002, 0)</f>
        <v>0</v>
      </c>
      <c r="O142" s="37"/>
      <c r="P142" s="37" t="n">
        <f aca="false">M142+N142</f>
        <v>0</v>
      </c>
      <c r="Q142" s="177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8.75" hidden="false" customHeight="true" outlineLevel="0" collapsed="false">
      <c r="A143" s="70" t="n">
        <f aca="false">B96</f>
        <v>744.860975527767</v>
      </c>
      <c r="B143" s="201" t="n">
        <f aca="false">IF(A111="YES", B95, 0)</f>
        <v>0</v>
      </c>
      <c r="C143" s="292"/>
      <c r="D143" s="201" t="n">
        <f aca="false">B97</f>
        <v>744.860975527767</v>
      </c>
      <c r="E143" s="293"/>
      <c r="F143" s="19"/>
      <c r="G143" s="209"/>
      <c r="H143" s="207"/>
      <c r="I143" s="207"/>
      <c r="J143" s="207"/>
      <c r="K143" s="210"/>
      <c r="L143" s="19"/>
      <c r="M143" s="209"/>
      <c r="N143" s="207"/>
      <c r="O143" s="207"/>
      <c r="P143" s="207"/>
      <c r="Q143" s="210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8.75" hidden="false" customHeight="true" outlineLevel="0" collapsed="false">
      <c r="A144" s="291"/>
      <c r="B144" s="292"/>
      <c r="C144" s="292"/>
      <c r="D144" s="292"/>
      <c r="E144" s="293"/>
      <c r="F144" s="19"/>
      <c r="G144" s="209" t="s">
        <v>288</v>
      </c>
      <c r="H144" s="207" t="s">
        <v>289</v>
      </c>
      <c r="I144" s="207"/>
      <c r="J144" s="207" t="s">
        <v>290</v>
      </c>
      <c r="K144" s="210"/>
      <c r="L144" s="19"/>
      <c r="M144" s="209" t="s">
        <v>111</v>
      </c>
      <c r="N144" s="207" t="s">
        <v>289</v>
      </c>
      <c r="O144" s="207"/>
      <c r="P144" s="207" t="s">
        <v>290</v>
      </c>
      <c r="Q144" s="210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8.75" hidden="false" customHeight="true" outlineLevel="0" collapsed="false">
      <c r="A145" s="314" t="s">
        <v>180</v>
      </c>
      <c r="B145" s="315" t="s">
        <v>291</v>
      </c>
      <c r="C145" s="201"/>
      <c r="D145" s="315" t="s">
        <v>182</v>
      </c>
      <c r="E145" s="177"/>
      <c r="F145" s="19"/>
      <c r="G145" s="70" t="n">
        <f aca="false">G108</f>
        <v>239.988</v>
      </c>
      <c r="H145" s="37" t="n">
        <f aca="false">H73/1.2</f>
        <v>0</v>
      </c>
      <c r="I145" s="37"/>
      <c r="J145" s="37" t="n">
        <f aca="false">H108*0.9</f>
        <v>1080</v>
      </c>
      <c r="K145" s="177"/>
      <c r="L145" s="19"/>
      <c r="M145" s="70" t="n">
        <f aca="false">M108</f>
        <v>199.99</v>
      </c>
      <c r="N145" s="37" t="n">
        <f aca="false">N73/1.2</f>
        <v>0</v>
      </c>
      <c r="O145" s="37"/>
      <c r="P145" s="37" t="n">
        <f aca="false">N108*0.9</f>
        <v>1080</v>
      </c>
      <c r="Q145" s="177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8.75" hidden="false" customHeight="true" outlineLevel="0" collapsed="false">
      <c r="A146" s="316" t="n">
        <f aca="false">(G18*0.000006)*1.2*100</f>
        <v>0</v>
      </c>
      <c r="B146" s="317" t="n">
        <f aca="false">G18*0.000002 *1.2*100</f>
        <v>0</v>
      </c>
      <c r="C146" s="292"/>
      <c r="D146" s="317" t="n">
        <f aca="false">A146+B146</f>
        <v>0</v>
      </c>
      <c r="E146" s="293"/>
      <c r="F146" s="19"/>
      <c r="G146" s="209"/>
      <c r="H146" s="207"/>
      <c r="I146" s="207"/>
      <c r="J146" s="207"/>
      <c r="K146" s="210"/>
      <c r="L146" s="19"/>
      <c r="M146" s="209"/>
      <c r="N146" s="207"/>
      <c r="O146" s="207"/>
      <c r="P146" s="207"/>
      <c r="Q146" s="210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8.75" hidden="false" customHeight="true" outlineLevel="0" collapsed="false">
      <c r="A147" s="316"/>
      <c r="B147" s="317"/>
      <c r="C147" s="292"/>
      <c r="D147" s="317"/>
      <c r="E147" s="293"/>
      <c r="F147" s="19"/>
      <c r="G147" s="209" t="s">
        <v>292</v>
      </c>
      <c r="H147" s="207" t="s">
        <v>293</v>
      </c>
      <c r="I147" s="207"/>
      <c r="J147" s="207" t="s">
        <v>294</v>
      </c>
      <c r="K147" s="210"/>
      <c r="L147" s="19"/>
      <c r="M147" s="209" t="s">
        <v>292</v>
      </c>
      <c r="N147" s="207" t="s">
        <v>293</v>
      </c>
      <c r="O147" s="207"/>
      <c r="P147" s="207" t="s">
        <v>294</v>
      </c>
      <c r="Q147" s="210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8.75" hidden="false" customHeight="true" outlineLevel="0" collapsed="false">
      <c r="A148" s="314" t="s">
        <v>295</v>
      </c>
      <c r="B148" s="315" t="s">
        <v>152</v>
      </c>
      <c r="C148" s="201"/>
      <c r="D148" s="315" t="s">
        <v>246</v>
      </c>
      <c r="E148" s="293"/>
      <c r="F148" s="19"/>
      <c r="G148" s="70" t="n">
        <f aca="false">IF(G111="YES", ((A41*H111)*0.1)*(G133), 0)</f>
        <v>5.0496</v>
      </c>
      <c r="H148" s="37" t="n">
        <f aca="false">G108-100</f>
        <v>139.988</v>
      </c>
      <c r="I148" s="37"/>
      <c r="J148" s="37" t="e">
        <f aca="false">(H145+J145+G148+H148)-H151</f>
        <v>#DIV/0!</v>
      </c>
      <c r="K148" s="177"/>
      <c r="L148" s="19"/>
      <c r="M148" s="70" t="n">
        <f aca="false">IF(M111="YES", ((A41*N111)*0.1)*(M133), 0)</f>
        <v>5.0496</v>
      </c>
      <c r="N148" s="37" t="n">
        <f aca="false">M108-100</f>
        <v>99.99</v>
      </c>
      <c r="O148" s="37"/>
      <c r="P148" s="37" t="e">
        <f aca="false">(N145+P145+M148+N148)-N151</f>
        <v>#DIV/0!</v>
      </c>
      <c r="Q148" s="177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8.75" hidden="false" customHeight="true" outlineLevel="0" collapsed="false">
      <c r="A149" s="70" t="n">
        <v>0</v>
      </c>
      <c r="B149" s="201" t="n">
        <f aca="false">E124</f>
        <v>199.99</v>
      </c>
      <c r="C149" s="292"/>
      <c r="D149" s="152" t="n">
        <f aca="false">B108</f>
        <v>0</v>
      </c>
      <c r="E149" s="293"/>
      <c r="F149" s="19"/>
      <c r="G149" s="209"/>
      <c r="H149" s="207"/>
      <c r="I149" s="207"/>
      <c r="J149" s="207"/>
      <c r="K149" s="210"/>
      <c r="L149" s="19"/>
      <c r="M149" s="209"/>
      <c r="N149" s="207"/>
      <c r="O149" s="207"/>
      <c r="P149" s="207"/>
      <c r="Q149" s="210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8.75" hidden="false" customHeight="true" outlineLevel="0" collapsed="false">
      <c r="A150" s="70"/>
      <c r="B150" s="201"/>
      <c r="C150" s="292"/>
      <c r="D150" s="201"/>
      <c r="E150" s="293"/>
      <c r="F150" s="19"/>
      <c r="G150" s="209" t="s">
        <v>296</v>
      </c>
      <c r="H150" s="207" t="s">
        <v>297</v>
      </c>
      <c r="I150" s="207"/>
      <c r="J150" s="207"/>
      <c r="K150" s="210"/>
      <c r="L150" s="19"/>
      <c r="M150" s="209" t="s">
        <v>296</v>
      </c>
      <c r="N150" s="207" t="s">
        <v>297</v>
      </c>
      <c r="O150" s="207"/>
      <c r="P150" s="207"/>
      <c r="Q150" s="210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8.75" hidden="false" customHeight="true" outlineLevel="0" collapsed="false">
      <c r="A151" s="318" t="s">
        <v>298</v>
      </c>
      <c r="B151" s="319"/>
      <c r="C151" s="320"/>
      <c r="D151" s="319"/>
      <c r="E151" s="321"/>
      <c r="F151" s="19"/>
      <c r="G151" s="70" t="n">
        <f aca="false">IF((1200-H108) &lt;= 0, 0, (1200-H108))</f>
        <v>0</v>
      </c>
      <c r="H151" s="37" t="e">
        <f aca="false">(H145+J145+G148+H148)*(G151/H70)</f>
        <v>#DIV/0!</v>
      </c>
      <c r="I151" s="207"/>
      <c r="J151" s="207"/>
      <c r="K151" s="210"/>
      <c r="L151" s="19"/>
      <c r="M151" s="70" t="n">
        <f aca="false">IF((1200-N108) &lt;= 0, 0, (1200-N108))</f>
        <v>0</v>
      </c>
      <c r="N151" s="37" t="e">
        <f aca="false">(N145+P145+M148+N148)*(M151/N70)</f>
        <v>#DIV/0!</v>
      </c>
      <c r="O151" s="207"/>
      <c r="P151" s="207"/>
      <c r="Q151" s="210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8.75" hidden="false" customHeight="true" outlineLevel="0" collapsed="false">
      <c r="A152" s="316"/>
      <c r="B152" s="317"/>
      <c r="C152" s="292"/>
      <c r="D152" s="317"/>
      <c r="E152" s="293"/>
      <c r="F152" s="19"/>
      <c r="G152" s="209"/>
      <c r="H152" s="207"/>
      <c r="I152" s="207"/>
      <c r="J152" s="207"/>
      <c r="K152" s="210"/>
      <c r="L152" s="19"/>
      <c r="M152" s="70"/>
      <c r="N152" s="37"/>
      <c r="O152" s="207"/>
      <c r="P152" s="207"/>
      <c r="Q152" s="210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8.75" hidden="false" customHeight="true" outlineLevel="0" collapsed="false">
      <c r="A153" s="291" t="s">
        <v>299</v>
      </c>
      <c r="B153" s="292" t="s">
        <v>300</v>
      </c>
      <c r="C153" s="292"/>
      <c r="D153" s="292" t="s">
        <v>301</v>
      </c>
      <c r="E153" s="293"/>
      <c r="F153" s="19"/>
      <c r="G153" s="209"/>
      <c r="H153" s="207"/>
      <c r="I153" s="207"/>
      <c r="J153" s="207"/>
      <c r="K153" s="210"/>
      <c r="L153" s="19"/>
      <c r="M153" s="78" t="s">
        <v>302</v>
      </c>
      <c r="N153" s="38" t="s">
        <v>303</v>
      </c>
      <c r="O153" s="207"/>
      <c r="P153" s="207"/>
      <c r="Q153" s="210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8.75" hidden="false" customHeight="true" outlineLevel="0" collapsed="false">
      <c r="A154" s="70" t="n">
        <f aca="false">B73</f>
        <v>374.04</v>
      </c>
      <c r="B154" s="201" t="n">
        <f aca="false">B108</f>
        <v>0</v>
      </c>
      <c r="C154" s="201"/>
      <c r="D154" s="201" t="n">
        <f aca="false">IF(A111="YES", (A41/100*B111)*B131, 0)*0.1</f>
        <v>0</v>
      </c>
      <c r="E154" s="177"/>
      <c r="F154" s="19"/>
      <c r="G154" s="243" t="s">
        <v>304</v>
      </c>
      <c r="H154" s="207"/>
      <c r="I154" s="207"/>
      <c r="J154" s="244"/>
      <c r="K154" s="245"/>
      <c r="L154" s="19"/>
      <c r="M154" s="322" t="n">
        <f aca="false">H40</f>
        <v>0</v>
      </c>
      <c r="N154" s="323" t="n">
        <v>0.99</v>
      </c>
      <c r="O154" s="323"/>
      <c r="P154" s="207"/>
      <c r="Q154" s="210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8.75" hidden="false" customHeight="true" outlineLevel="0" collapsed="false">
      <c r="A155" s="291"/>
      <c r="B155" s="292"/>
      <c r="C155" s="292"/>
      <c r="D155" s="292"/>
      <c r="E155" s="293"/>
      <c r="F155" s="19"/>
      <c r="G155" s="209"/>
      <c r="H155" s="246"/>
      <c r="I155" s="246"/>
      <c r="J155" s="207"/>
      <c r="K155" s="210"/>
      <c r="L155" s="19"/>
      <c r="M155" s="209"/>
      <c r="N155" s="207"/>
      <c r="O155" s="207"/>
      <c r="P155" s="207"/>
      <c r="Q155" s="210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8.75" hidden="false" customHeight="true" outlineLevel="0" collapsed="false">
      <c r="A156" s="291" t="s">
        <v>305</v>
      </c>
      <c r="B156" s="292" t="s">
        <v>297</v>
      </c>
      <c r="C156" s="292"/>
      <c r="D156" s="292" t="s">
        <v>294</v>
      </c>
      <c r="E156" s="293"/>
      <c r="F156" s="19"/>
      <c r="G156" s="248" t="s">
        <v>28</v>
      </c>
      <c r="H156" s="249" t="s">
        <v>33</v>
      </c>
      <c r="I156" s="249"/>
      <c r="J156" s="207"/>
      <c r="K156" s="210"/>
      <c r="L156" s="19"/>
      <c r="M156" s="209"/>
      <c r="N156" s="207"/>
      <c r="O156" s="207"/>
      <c r="P156" s="207"/>
      <c r="Q156" s="210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8.75" hidden="false" customHeight="true" outlineLevel="0" collapsed="false">
      <c r="A157" s="70" t="n">
        <f aca="false">E124-100</f>
        <v>99.99</v>
      </c>
      <c r="B157" s="201" t="n">
        <f aca="false">(A154+B154+D154+A157)*(A149/B70)</f>
        <v>0</v>
      </c>
      <c r="C157" s="201"/>
      <c r="D157" s="201" t="n">
        <f aca="false">(A154+B154+D154+A157)-B157</f>
        <v>474.03</v>
      </c>
      <c r="E157" s="177"/>
      <c r="F157" s="19"/>
      <c r="G157" s="248"/>
      <c r="H157" s="250" t="n">
        <f aca="false">B57</f>
        <v>5000</v>
      </c>
      <c r="I157" s="250"/>
      <c r="J157" s="207"/>
      <c r="K157" s="210"/>
      <c r="L157" s="19"/>
      <c r="M157" s="243" t="s">
        <v>304</v>
      </c>
      <c r="N157" s="207"/>
      <c r="O157" s="207"/>
      <c r="P157" s="244"/>
      <c r="Q157" s="245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8.75" hidden="false" customHeight="true" outlineLevel="0" collapsed="false">
      <c r="A158" s="291"/>
      <c r="B158" s="292"/>
      <c r="C158" s="292"/>
      <c r="D158" s="292"/>
      <c r="E158" s="293"/>
      <c r="F158" s="19"/>
      <c r="G158" s="251" t="n">
        <f aca="false">A58</f>
        <v>12</v>
      </c>
      <c r="H158" s="92" t="e">
        <f aca="false">H97</f>
        <v>#DIV/0!</v>
      </c>
      <c r="I158" s="92"/>
      <c r="J158" s="207"/>
      <c r="K158" s="210"/>
      <c r="L158" s="19"/>
      <c r="M158" s="209"/>
      <c r="N158" s="246"/>
      <c r="O158" s="246"/>
      <c r="P158" s="207"/>
      <c r="Q158" s="210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8.75" hidden="false" customHeight="true" outlineLevel="0" collapsed="false">
      <c r="A159" s="291" t="s">
        <v>306</v>
      </c>
      <c r="B159" s="292"/>
      <c r="C159" s="292"/>
      <c r="D159" s="292"/>
      <c r="E159" s="293"/>
      <c r="F159" s="19"/>
      <c r="G159" s="209"/>
      <c r="H159" s="207"/>
      <c r="I159" s="207"/>
      <c r="J159" s="207"/>
      <c r="K159" s="210"/>
      <c r="L159" s="19"/>
      <c r="M159" s="248" t="s">
        <v>28</v>
      </c>
      <c r="N159" s="249" t="s">
        <v>33</v>
      </c>
      <c r="O159" s="249"/>
      <c r="P159" s="207"/>
      <c r="Q159" s="210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8.75" hidden="false" customHeight="true" outlineLevel="0" collapsed="false">
      <c r="A160" s="70" t="n">
        <f aca="false">D108</f>
        <v>0</v>
      </c>
      <c r="B160" s="201"/>
      <c r="C160" s="292"/>
      <c r="D160" s="292"/>
      <c r="E160" s="293"/>
      <c r="F160" s="19"/>
      <c r="G160" s="209"/>
      <c r="H160" s="207"/>
      <c r="I160" s="207"/>
      <c r="J160" s="207"/>
      <c r="K160" s="210"/>
      <c r="L160" s="19"/>
      <c r="M160" s="248"/>
      <c r="N160" s="250" t="n">
        <f aca="false">B57</f>
        <v>5000</v>
      </c>
      <c r="O160" s="250"/>
      <c r="P160" s="207"/>
      <c r="Q160" s="210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8.75" hidden="false" customHeight="true" outlineLevel="0" collapsed="false">
      <c r="A161" s="291"/>
      <c r="B161" s="292"/>
      <c r="C161" s="292"/>
      <c r="D161" s="292"/>
      <c r="E161" s="293"/>
      <c r="F161" s="19"/>
      <c r="G161" s="209"/>
      <c r="H161" s="207"/>
      <c r="I161" s="207"/>
      <c r="J161" s="207"/>
      <c r="K161" s="210"/>
      <c r="L161" s="19"/>
      <c r="M161" s="251" t="n">
        <f aca="false">A58</f>
        <v>12</v>
      </c>
      <c r="N161" s="92" t="e">
        <f aca="false">N97</f>
        <v>#DIV/0!</v>
      </c>
      <c r="O161" s="92"/>
      <c r="P161" s="207"/>
      <c r="Q161" s="210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8.75" hidden="false" customHeight="true" outlineLevel="0" collapsed="false">
      <c r="A162" s="291"/>
      <c r="B162" s="292"/>
      <c r="C162" s="292"/>
      <c r="D162" s="292"/>
      <c r="E162" s="293"/>
      <c r="F162" s="19"/>
      <c r="G162" s="209"/>
      <c r="H162" s="207"/>
      <c r="I162" s="207"/>
      <c r="J162" s="207"/>
      <c r="K162" s="210"/>
      <c r="L162" s="19"/>
      <c r="M162" s="209"/>
      <c r="N162" s="207"/>
      <c r="O162" s="207"/>
      <c r="P162" s="207"/>
      <c r="Q162" s="210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8.75" hidden="false" customHeight="true" outlineLevel="0" collapsed="false">
      <c r="A163" s="324" t="s">
        <v>304</v>
      </c>
      <c r="B163" s="292"/>
      <c r="C163" s="292"/>
      <c r="D163" s="325"/>
      <c r="E163" s="326"/>
      <c r="F163" s="19"/>
      <c r="G163" s="252"/>
      <c r="H163" s="253"/>
      <c r="I163" s="253"/>
      <c r="J163" s="253"/>
      <c r="K163" s="254"/>
      <c r="L163" s="19"/>
      <c r="M163" s="209"/>
      <c r="N163" s="207"/>
      <c r="O163" s="207"/>
      <c r="P163" s="207"/>
      <c r="Q163" s="210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8.75" hidden="false" customHeight="true" outlineLevel="0" collapsed="false">
      <c r="A164" s="291"/>
      <c r="B164" s="327"/>
      <c r="C164" s="327"/>
      <c r="D164" s="292"/>
      <c r="E164" s="293"/>
      <c r="F164" s="19"/>
      <c r="G164" s="19"/>
      <c r="H164" s="19"/>
      <c r="I164" s="19"/>
      <c r="J164" s="19"/>
      <c r="K164" s="19"/>
      <c r="L164" s="19"/>
      <c r="M164" s="209"/>
      <c r="N164" s="207"/>
      <c r="O164" s="207"/>
      <c r="P164" s="207"/>
      <c r="Q164" s="210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8.75" hidden="false" customHeight="true" outlineLevel="0" collapsed="false">
      <c r="A165" s="248" t="s">
        <v>28</v>
      </c>
      <c r="B165" s="249" t="s">
        <v>33</v>
      </c>
      <c r="C165" s="249"/>
      <c r="D165" s="292"/>
      <c r="E165" s="293"/>
      <c r="F165" s="19"/>
      <c r="G165" s="19"/>
      <c r="H165" s="19"/>
      <c r="I165" s="19"/>
      <c r="J165" s="19"/>
      <c r="K165" s="19"/>
      <c r="L165" s="19"/>
      <c r="M165" s="209"/>
      <c r="N165" s="207"/>
      <c r="O165" s="207"/>
      <c r="P165" s="207"/>
      <c r="Q165" s="210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8.75" hidden="false" customHeight="true" outlineLevel="0" collapsed="false">
      <c r="A166" s="248"/>
      <c r="B166" s="250" t="n">
        <f aca="false">B57</f>
        <v>5000</v>
      </c>
      <c r="C166" s="250"/>
      <c r="D166" s="292"/>
      <c r="E166" s="293"/>
      <c r="F166" s="19"/>
      <c r="G166" s="19"/>
      <c r="H166" s="19"/>
      <c r="I166" s="19"/>
      <c r="J166" s="19"/>
      <c r="K166" s="19"/>
      <c r="L166" s="19"/>
      <c r="M166" s="209"/>
      <c r="N166" s="207"/>
      <c r="O166" s="207"/>
      <c r="P166" s="207"/>
      <c r="Q166" s="210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8.75" hidden="false" customHeight="true" outlineLevel="0" collapsed="false">
      <c r="A167" s="251" t="n">
        <f aca="false">A58</f>
        <v>12</v>
      </c>
      <c r="B167" s="92" t="n">
        <f aca="false">B97</f>
        <v>744.860975527767</v>
      </c>
      <c r="C167" s="92"/>
      <c r="D167" s="292"/>
      <c r="E167" s="293"/>
      <c r="F167" s="19"/>
      <c r="G167" s="19"/>
      <c r="H167" s="19"/>
      <c r="I167" s="19"/>
      <c r="J167" s="19"/>
      <c r="K167" s="19"/>
      <c r="L167" s="19"/>
      <c r="M167" s="209"/>
      <c r="N167" s="207"/>
      <c r="O167" s="207"/>
      <c r="P167" s="207"/>
      <c r="Q167" s="210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8.75" hidden="false" customHeight="true" outlineLevel="0" collapsed="false">
      <c r="A168" s="291"/>
      <c r="B168" s="292"/>
      <c r="C168" s="292"/>
      <c r="D168" s="292"/>
      <c r="E168" s="293"/>
      <c r="F168" s="19"/>
      <c r="G168" s="19"/>
      <c r="H168" s="19"/>
      <c r="I168" s="19"/>
      <c r="J168" s="19"/>
      <c r="K168" s="19"/>
      <c r="L168" s="19"/>
      <c r="M168" s="252"/>
      <c r="N168" s="253"/>
      <c r="O168" s="253"/>
      <c r="P168" s="253"/>
      <c r="Q168" s="254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8.75" hidden="false" customHeight="true" outlineLevel="0" collapsed="false">
      <c r="A169" s="291"/>
      <c r="B169" s="292"/>
      <c r="C169" s="292"/>
      <c r="D169" s="292"/>
      <c r="E169" s="293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8.75" hidden="false" customHeight="true" outlineLevel="0" collapsed="false">
      <c r="A170" s="291"/>
      <c r="B170" s="292"/>
      <c r="C170" s="292"/>
      <c r="D170" s="292"/>
      <c r="E170" s="293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8.75" hidden="false" customHeight="true" outlineLevel="0" collapsed="false">
      <c r="A171" s="328" t="s">
        <v>270</v>
      </c>
      <c r="B171" s="328"/>
      <c r="C171" s="328"/>
      <c r="D171" s="328"/>
      <c r="E171" s="328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8.75" hidden="false" customHeight="true" outlineLevel="0" collapsed="false">
      <c r="A172" s="291"/>
      <c r="B172" s="329"/>
      <c r="C172" s="329"/>
      <c r="D172" s="329"/>
      <c r="E172" s="293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8.75" hidden="false" customHeight="true" outlineLevel="0" collapsed="false">
      <c r="A173" s="294" t="s">
        <v>98</v>
      </c>
      <c r="B173" s="330" t="s">
        <v>174</v>
      </c>
      <c r="C173" s="331"/>
      <c r="D173" s="330" t="s">
        <v>33</v>
      </c>
      <c r="E173" s="297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8.75" hidden="false" customHeight="true" outlineLevel="0" collapsed="false">
      <c r="A174" s="298" t="s">
        <v>254</v>
      </c>
      <c r="B174" s="332" t="n">
        <f aca="false">A167</f>
        <v>12</v>
      </c>
      <c r="C174" s="333"/>
      <c r="D174" s="331" t="n">
        <f aca="false">B166</f>
        <v>5000</v>
      </c>
      <c r="E174" s="297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8.75" hidden="false" customHeight="true" outlineLevel="0" collapsed="false">
      <c r="A175" s="294"/>
      <c r="B175" s="330"/>
      <c r="C175" s="330"/>
      <c r="D175" s="330"/>
      <c r="E175" s="297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8.75" hidden="false" customHeight="true" outlineLevel="0" collapsed="false">
      <c r="A176" s="294" t="s">
        <v>92</v>
      </c>
      <c r="B176" s="330" t="s">
        <v>271</v>
      </c>
      <c r="C176" s="331"/>
      <c r="D176" s="330" t="s">
        <v>272</v>
      </c>
      <c r="E176" s="297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8.75" hidden="false" customHeight="true" outlineLevel="0" collapsed="false">
      <c r="A177" s="298" t="n">
        <f aca="false">B96</f>
        <v>744.860975527767</v>
      </c>
      <c r="B177" s="331" t="n">
        <f aca="false">IF(A111="YES", B95, 0)</f>
        <v>0</v>
      </c>
      <c r="C177" s="334"/>
      <c r="D177" s="331" t="n">
        <f aca="false">B91</f>
        <v>8863.24972</v>
      </c>
      <c r="E177" s="297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8.75" hidden="false" customHeight="true" outlineLevel="0" collapsed="false">
      <c r="A178" s="291"/>
      <c r="B178" s="329"/>
      <c r="C178" s="329"/>
      <c r="D178" s="329"/>
      <c r="E178" s="293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8.75" hidden="false" customHeight="true" outlineLevel="0" collapsed="false">
      <c r="A179" s="304" t="s">
        <v>23</v>
      </c>
      <c r="B179" s="335" t="s">
        <v>277</v>
      </c>
      <c r="C179" s="223"/>
      <c r="D179" s="335" t="s">
        <v>278</v>
      </c>
      <c r="E179" s="293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8.75" hidden="false" customHeight="true" outlineLevel="0" collapsed="false">
      <c r="A180" s="309" t="str">
        <f aca="false">B105</f>
        <v>Monthly in advance</v>
      </c>
      <c r="B180" s="37" t="n">
        <f aca="false">B96*B63</f>
        <v>744.860975527767</v>
      </c>
      <c r="C180" s="329"/>
      <c r="D180" s="37" t="n">
        <f aca="false">IF(A111="YES", B95*B63, 0)</f>
        <v>0</v>
      </c>
      <c r="E180" s="293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8.75" hidden="false" customHeight="true" outlineLevel="0" collapsed="false">
      <c r="A181" s="291"/>
      <c r="B181" s="329"/>
      <c r="C181" s="329"/>
      <c r="D181" s="329"/>
      <c r="E181" s="293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8.75" hidden="false" customHeight="true" outlineLevel="0" collapsed="false">
      <c r="A182" s="123" t="s">
        <v>283</v>
      </c>
      <c r="B182" s="38" t="s">
        <v>284</v>
      </c>
      <c r="C182" s="336"/>
      <c r="D182" s="233" t="s">
        <v>177</v>
      </c>
      <c r="E182" s="293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8.75" hidden="false" customHeight="true" outlineLevel="0" collapsed="false">
      <c r="A183" s="70" t="n">
        <f aca="false">B97*B63</f>
        <v>744.860975527767</v>
      </c>
      <c r="B183" s="37" t="n">
        <f aca="false">E120</f>
        <v>0</v>
      </c>
      <c r="C183" s="329"/>
      <c r="D183" s="337" t="n">
        <f aca="false">B64</f>
        <v>11</v>
      </c>
      <c r="E183" s="293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8.75" hidden="false" customHeight="true" outlineLevel="0" collapsed="false">
      <c r="A184" s="70"/>
      <c r="B184" s="338"/>
      <c r="C184" s="329"/>
      <c r="D184" s="329"/>
      <c r="E184" s="293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8.75" hidden="false" customHeight="true" outlineLevel="0" collapsed="false">
      <c r="A185" s="78" t="s">
        <v>92</v>
      </c>
      <c r="B185" s="339" t="s">
        <v>271</v>
      </c>
      <c r="C185" s="329"/>
      <c r="D185" s="329" t="s">
        <v>272</v>
      </c>
      <c r="E185" s="293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8.75" hidden="false" customHeight="true" outlineLevel="0" collapsed="false">
      <c r="A186" s="70" t="n">
        <f aca="false">B96</f>
        <v>744.860975527767</v>
      </c>
      <c r="B186" s="37" t="n">
        <f aca="false">IF(A111="YES", B95, 0)</f>
        <v>0</v>
      </c>
      <c r="C186" s="329"/>
      <c r="D186" s="37" t="n">
        <f aca="false">B97</f>
        <v>744.860975527767</v>
      </c>
      <c r="E186" s="293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8.75" hidden="false" customHeight="true" outlineLevel="0" collapsed="false">
      <c r="A187" s="291"/>
      <c r="B187" s="329"/>
      <c r="C187" s="329"/>
      <c r="D187" s="329"/>
      <c r="E187" s="293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8.75" hidden="false" customHeight="true" outlineLevel="0" collapsed="false">
      <c r="A188" s="314" t="s">
        <v>180</v>
      </c>
      <c r="B188" s="340" t="s">
        <v>291</v>
      </c>
      <c r="C188" s="37"/>
      <c r="D188" s="340" t="s">
        <v>182</v>
      </c>
      <c r="E188" s="177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8.75" hidden="false" customHeight="true" outlineLevel="0" collapsed="false">
      <c r="A189" s="316" t="n">
        <f aca="false">(G18*0.000006)*1.2*100</f>
        <v>0</v>
      </c>
      <c r="B189" s="341" t="n">
        <f aca="false">G18*0.000002 *1.2*100</f>
        <v>0</v>
      </c>
      <c r="C189" s="329"/>
      <c r="D189" s="341" t="n">
        <f aca="false">A189+B189</f>
        <v>0</v>
      </c>
      <c r="E189" s="293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8.75" hidden="false" customHeight="true" outlineLevel="0" collapsed="false">
      <c r="A190" s="316"/>
      <c r="B190" s="341"/>
      <c r="C190" s="329"/>
      <c r="D190" s="341"/>
      <c r="E190" s="293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8.75" hidden="false" customHeight="true" outlineLevel="0" collapsed="false">
      <c r="A191" s="314" t="s">
        <v>295</v>
      </c>
      <c r="B191" s="340" t="s">
        <v>152</v>
      </c>
      <c r="C191" s="37"/>
      <c r="D191" s="340" t="s">
        <v>246</v>
      </c>
      <c r="E191" s="293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8.75" hidden="false" customHeight="true" outlineLevel="0" collapsed="false">
      <c r="A192" s="70" t="n">
        <v>0</v>
      </c>
      <c r="B192" s="37" t="n">
        <f aca="false">E124</f>
        <v>199.99</v>
      </c>
      <c r="C192" s="329"/>
      <c r="D192" s="152" t="n">
        <f aca="false">B108</f>
        <v>0</v>
      </c>
      <c r="E192" s="293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8.75" hidden="false" customHeight="true" outlineLevel="0" collapsed="false">
      <c r="A193" s="70"/>
      <c r="B193" s="37"/>
      <c r="C193" s="329"/>
      <c r="D193" s="37"/>
      <c r="E193" s="293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8.75" hidden="false" customHeight="true" outlineLevel="0" collapsed="false">
      <c r="A194" s="318" t="s">
        <v>298</v>
      </c>
      <c r="B194" s="319"/>
      <c r="C194" s="320"/>
      <c r="D194" s="319"/>
      <c r="E194" s="321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8.75" hidden="false" customHeight="true" outlineLevel="0" collapsed="false">
      <c r="A195" s="316"/>
      <c r="B195" s="341"/>
      <c r="C195" s="329"/>
      <c r="D195" s="341"/>
      <c r="E195" s="293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8.75" hidden="false" customHeight="true" outlineLevel="0" collapsed="false">
      <c r="A196" s="291" t="s">
        <v>299</v>
      </c>
      <c r="B196" s="329" t="s">
        <v>300</v>
      </c>
      <c r="C196" s="329"/>
      <c r="D196" s="329" t="s">
        <v>301</v>
      </c>
      <c r="E196" s="293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8.75" hidden="false" customHeight="true" outlineLevel="0" collapsed="false">
      <c r="A197" s="70" t="n">
        <f aca="false">B73</f>
        <v>374.04</v>
      </c>
      <c r="B197" s="37" t="n">
        <f aca="false">B108</f>
        <v>0</v>
      </c>
      <c r="C197" s="37"/>
      <c r="D197" s="37" t="n">
        <f aca="false">IF(A111="YES", (A41/100*B111)*B131, 0)*0.1</f>
        <v>0</v>
      </c>
      <c r="E197" s="177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8.75" hidden="false" customHeight="true" outlineLevel="0" collapsed="false">
      <c r="A198" s="291"/>
      <c r="B198" s="329"/>
      <c r="C198" s="329"/>
      <c r="D198" s="329"/>
      <c r="E198" s="293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8.75" hidden="false" customHeight="true" outlineLevel="0" collapsed="false">
      <c r="A199" s="291" t="s">
        <v>305</v>
      </c>
      <c r="B199" s="329" t="s">
        <v>297</v>
      </c>
      <c r="C199" s="329"/>
      <c r="D199" s="329" t="s">
        <v>294</v>
      </c>
      <c r="E199" s="293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8.75" hidden="false" customHeight="true" outlineLevel="0" collapsed="false">
      <c r="A200" s="70" t="n">
        <f aca="false">E124-100</f>
        <v>99.99</v>
      </c>
      <c r="B200" s="37" t="n">
        <f aca="false">(A154+B154+D154+A157)*(A149/B70)</f>
        <v>0</v>
      </c>
      <c r="C200" s="37"/>
      <c r="D200" s="37" t="n">
        <f aca="false">(A154+B154+D154+A157)-B157</f>
        <v>474.03</v>
      </c>
      <c r="E200" s="177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8.75" hidden="false" customHeight="true" outlineLevel="0" collapsed="false">
      <c r="A201" s="291"/>
      <c r="B201" s="329"/>
      <c r="C201" s="329"/>
      <c r="D201" s="329"/>
      <c r="E201" s="293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8.75" hidden="false" customHeight="true" outlineLevel="0" collapsed="false">
      <c r="A202" s="291" t="s">
        <v>306</v>
      </c>
      <c r="B202" s="329"/>
      <c r="C202" s="329"/>
      <c r="D202" s="329"/>
      <c r="E202" s="293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8.75" hidden="false" customHeight="true" outlineLevel="0" collapsed="false">
      <c r="A203" s="70" t="n">
        <f aca="false">D108</f>
        <v>0</v>
      </c>
      <c r="B203" s="37"/>
      <c r="C203" s="329"/>
      <c r="D203" s="329"/>
      <c r="E203" s="293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8.75" hidden="false" customHeight="true" outlineLevel="0" collapsed="false">
      <c r="A204" s="342"/>
      <c r="B204" s="343"/>
      <c r="C204" s="343"/>
      <c r="D204" s="343"/>
      <c r="E204" s="344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8.75" hidden="false" customHeight="true" outlineLevel="0" collapsed="false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8.75" hidden="false" customHeight="true" outlineLevel="0" collapsed="false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8.75" hidden="false" customHeight="true" outlineLevel="0" collapsed="false">
      <c r="A207" s="328" t="s">
        <v>185</v>
      </c>
      <c r="B207" s="328"/>
      <c r="C207" s="328"/>
      <c r="D207" s="328"/>
      <c r="E207" s="328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8.75" hidden="false" customHeight="true" outlineLevel="0" collapsed="false">
      <c r="A208" s="291"/>
      <c r="B208" s="292"/>
      <c r="C208" s="292"/>
      <c r="D208" s="292"/>
      <c r="E208" s="293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8.75" hidden="false" customHeight="true" outlineLevel="0" collapsed="false">
      <c r="A209" s="294" t="s">
        <v>186</v>
      </c>
      <c r="B209" s="345" t="n">
        <f aca="false">H35</f>
        <v>0</v>
      </c>
      <c r="C209" s="296" t="s">
        <v>188</v>
      </c>
      <c r="D209" s="346" t="n">
        <f aca="false">D70</f>
        <v>2012.49972</v>
      </c>
      <c r="E209" s="297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8.75" hidden="false" customHeight="true" outlineLevel="0" collapsed="false">
      <c r="A210" s="298"/>
      <c r="B210" s="299"/>
      <c r="C210" s="300"/>
      <c r="D210" s="299"/>
      <c r="E210" s="297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8.75" hidden="false" customHeight="true" outlineLevel="0" collapsed="false">
      <c r="A211" s="294" t="s">
        <v>189</v>
      </c>
      <c r="B211" s="296" t="n">
        <f aca="false">B219</f>
        <v>374.04</v>
      </c>
      <c r="C211" s="295" t="s">
        <v>190</v>
      </c>
      <c r="D211" s="346" t="n">
        <f aca="false">B225+E221+B221+B223</f>
        <v>99.99</v>
      </c>
      <c r="E211" s="297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8.75" hidden="false" customHeight="true" outlineLevel="0" collapsed="false">
      <c r="A212" s="294"/>
      <c r="B212" s="347"/>
      <c r="C212" s="296"/>
      <c r="D212" s="295"/>
      <c r="E212" s="297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8.75" hidden="false" customHeight="true" outlineLevel="0" collapsed="false">
      <c r="A213" s="298" t="s">
        <v>191</v>
      </c>
      <c r="B213" s="296" t="n">
        <f aca="false">E223</f>
        <v>1738.44972</v>
      </c>
      <c r="C213" s="300"/>
      <c r="D213" s="296"/>
      <c r="E213" s="297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8.75" hidden="false" customHeight="true" outlineLevel="0" collapsed="false">
      <c r="A214" s="291"/>
      <c r="B214" s="313"/>
      <c r="C214" s="292"/>
      <c r="D214" s="292"/>
      <c r="E214" s="293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8.75" hidden="false" customHeight="true" outlineLevel="0" collapsed="false">
      <c r="A215" s="222" t="s">
        <v>186</v>
      </c>
      <c r="B215" s="348" t="n">
        <v>0.065</v>
      </c>
      <c r="C215" s="306"/>
      <c r="D215" s="305"/>
      <c r="E215" s="293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8.75" hidden="false" customHeight="true" outlineLevel="0" collapsed="false">
      <c r="A216" s="349"/>
      <c r="B216" s="200"/>
      <c r="C216" s="292"/>
      <c r="D216" s="201"/>
      <c r="E216" s="293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8.75" hidden="false" customHeight="true" outlineLevel="0" collapsed="false">
      <c r="A217" s="350" t="s">
        <v>188</v>
      </c>
      <c r="B217" s="60" t="n">
        <f aca="false">D70</f>
        <v>2012.49972</v>
      </c>
      <c r="C217" s="351" t="s">
        <v>194</v>
      </c>
      <c r="D217" s="292"/>
      <c r="E217" s="352" t="n">
        <f aca="false">B72</f>
        <v>0.01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8.75" hidden="false" customHeight="true" outlineLevel="0" collapsed="false">
      <c r="A218" s="69"/>
      <c r="B218" s="200"/>
      <c r="C218" s="310"/>
      <c r="D218" s="240"/>
      <c r="E218" s="293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8.75" hidden="false" customHeight="true" outlineLevel="0" collapsed="false">
      <c r="A219" s="70" t="s">
        <v>194</v>
      </c>
      <c r="B219" s="60" t="n">
        <f aca="false">B73</f>
        <v>374.04</v>
      </c>
      <c r="C219" s="310" t="s">
        <v>307</v>
      </c>
      <c r="D219" s="353"/>
      <c r="E219" s="103" t="n">
        <v>0.001</v>
      </c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8.75" hidden="false" customHeight="true" outlineLevel="0" collapsed="false">
      <c r="A220" s="70"/>
      <c r="B220" s="313"/>
      <c r="C220" s="310"/>
      <c r="D220" s="292"/>
      <c r="E220" s="293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8.75" hidden="false" customHeight="true" outlineLevel="0" collapsed="false">
      <c r="A221" s="70" t="s">
        <v>307</v>
      </c>
      <c r="B221" s="233" t="n">
        <f aca="false">B197*E219*100</f>
        <v>0</v>
      </c>
      <c r="C221" s="310" t="s">
        <v>196</v>
      </c>
      <c r="D221" s="292"/>
      <c r="E221" s="20" t="n">
        <f aca="false">A200</f>
        <v>99.99</v>
      </c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18.75" hidden="false" customHeight="true" outlineLevel="0" collapsed="false">
      <c r="A222" s="70"/>
      <c r="B222" s="200"/>
      <c r="C222" s="310"/>
      <c r="D222" s="201"/>
      <c r="E222" s="293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18.75" hidden="false" customHeight="true" outlineLevel="0" collapsed="false">
      <c r="A223" s="350" t="s">
        <v>308</v>
      </c>
      <c r="B223" s="233" t="n">
        <f aca="false">B84-(B84*(E219*100))</f>
        <v>0</v>
      </c>
      <c r="C223" s="310" t="s">
        <v>191</v>
      </c>
      <c r="D223" s="292"/>
      <c r="E223" s="20" t="n">
        <f aca="false">(B217-B211+D211)</f>
        <v>1738.44972</v>
      </c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18.75" hidden="false" customHeight="true" outlineLevel="0" collapsed="false">
      <c r="A224" s="354"/>
      <c r="B224" s="315"/>
      <c r="C224" s="201"/>
      <c r="D224" s="315"/>
      <c r="E224" s="163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18.75" hidden="false" customHeight="true" outlineLevel="0" collapsed="false">
      <c r="A225" s="354" t="s">
        <v>309</v>
      </c>
      <c r="B225" s="315" t="n">
        <f aca="false">D197/0.1</f>
        <v>0</v>
      </c>
      <c r="C225" s="201"/>
      <c r="D225" s="315"/>
      <c r="E225" s="163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18.75" hidden="false" customHeight="true" outlineLevel="0" collapsed="false">
      <c r="A226" s="354"/>
      <c r="B226" s="315"/>
      <c r="C226" s="201"/>
      <c r="D226" s="315"/>
      <c r="E226" s="163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customFormat="false" ht="18.75" hidden="false" customHeight="true" outlineLevel="0" collapsed="false">
      <c r="A227" s="318" t="s">
        <v>310</v>
      </c>
      <c r="B227" s="355"/>
      <c r="C227" s="320"/>
      <c r="D227" s="319"/>
      <c r="E227" s="321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18.75" hidden="false" customHeight="true" outlineLevel="0" collapsed="false">
      <c r="A228" s="316"/>
      <c r="B228" s="356"/>
      <c r="C228" s="292"/>
      <c r="D228" s="317"/>
      <c r="E228" s="293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18.75" hidden="false" customHeight="true" outlineLevel="0" collapsed="false">
      <c r="A229" s="316" t="s">
        <v>198</v>
      </c>
      <c r="B229" s="60" t="n">
        <f aca="false">B77</f>
        <v>200</v>
      </c>
      <c r="C229" s="310" t="s">
        <v>199</v>
      </c>
      <c r="D229" s="317"/>
      <c r="E229" s="150" t="n">
        <f aca="false">B78</f>
        <v>5</v>
      </c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18.75" hidden="false" customHeight="true" outlineLevel="0" collapsed="false">
      <c r="A230" s="316"/>
      <c r="B230" s="356"/>
      <c r="C230" s="310" t="s">
        <v>200</v>
      </c>
      <c r="D230" s="317"/>
      <c r="E230" s="20" t="n">
        <f aca="false">D79</f>
        <v>260</v>
      </c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18.75" hidden="false" customHeight="true" outlineLevel="0" collapsed="false">
      <c r="A231" s="316" t="s">
        <v>201</v>
      </c>
      <c r="B231" s="357" t="n">
        <f aca="false">B74</f>
        <v>0.0075</v>
      </c>
      <c r="C231" s="310" t="s">
        <v>202</v>
      </c>
      <c r="D231" s="317"/>
      <c r="E231" s="352" t="n">
        <f aca="false">B75</f>
        <v>0.12</v>
      </c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8.75" hidden="false" customHeight="true" outlineLevel="0" collapsed="false">
      <c r="A232" s="316"/>
      <c r="B232" s="356"/>
      <c r="C232" s="310" t="s">
        <v>203</v>
      </c>
      <c r="D232" s="317"/>
      <c r="E232" s="20" t="n">
        <f aca="false">B92</f>
        <v>75.0819863331989</v>
      </c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18.75" hidden="false" customHeight="true" outlineLevel="0" collapsed="false">
      <c r="A233" s="316" t="s">
        <v>204</v>
      </c>
      <c r="B233" s="60" t="n">
        <f aca="false">B85</f>
        <v>200</v>
      </c>
      <c r="C233" s="358" t="s">
        <v>311</v>
      </c>
      <c r="D233" s="359"/>
      <c r="E233" s="150" t="n">
        <f aca="false">B80</f>
        <v>165</v>
      </c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18.75" hidden="false" customHeight="true" outlineLevel="0" collapsed="false">
      <c r="A234" s="350"/>
      <c r="B234" s="313"/>
      <c r="C234" s="358"/>
      <c r="D234" s="360"/>
      <c r="E234" s="361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18.75" hidden="false" customHeight="true" outlineLevel="0" collapsed="false">
      <c r="A235" s="70" t="s">
        <v>205</v>
      </c>
      <c r="B235" s="60" t="n">
        <f aca="false">B86</f>
        <v>200</v>
      </c>
      <c r="C235" s="362" t="s">
        <v>312</v>
      </c>
      <c r="D235" s="362"/>
      <c r="E235" s="150" t="n">
        <f aca="false">B81</f>
        <v>0</v>
      </c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18.75" hidden="false" customHeight="true" outlineLevel="0" collapsed="false">
      <c r="A236" s="291"/>
      <c r="B236" s="292"/>
      <c r="C236" s="292"/>
      <c r="D236" s="292"/>
      <c r="E236" s="293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18.75" hidden="false" customHeight="true" outlineLevel="0" collapsed="false">
      <c r="A237" s="291"/>
      <c r="B237" s="292"/>
      <c r="C237" s="292"/>
      <c r="D237" s="292"/>
      <c r="E237" s="293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18.75" hidden="false" customHeight="true" outlineLevel="0" collapsed="false">
      <c r="A238" s="70"/>
      <c r="B238" s="201"/>
      <c r="C238" s="201"/>
      <c r="D238" s="201"/>
      <c r="E238" s="177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18.75" hidden="false" customHeight="true" outlineLevel="0" collapsed="false">
      <c r="A239" s="291"/>
      <c r="B239" s="292"/>
      <c r="C239" s="292"/>
      <c r="D239" s="292"/>
      <c r="E239" s="293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18.75" hidden="false" customHeight="true" outlineLevel="0" collapsed="false">
      <c r="A240" s="291"/>
      <c r="B240" s="292"/>
      <c r="C240" s="292"/>
      <c r="D240" s="292"/>
      <c r="E240" s="293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18.75" hidden="false" customHeight="true" outlineLevel="0" collapsed="false">
      <c r="A241" s="70"/>
      <c r="B241" s="201"/>
      <c r="C241" s="292"/>
      <c r="D241" s="292"/>
      <c r="E241" s="293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18.75" hidden="false" customHeight="true" outlineLevel="0" collapsed="false">
      <c r="A242" s="342"/>
      <c r="B242" s="343"/>
      <c r="C242" s="343"/>
      <c r="D242" s="343"/>
      <c r="E242" s="344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18.75" hidden="false" customHeight="tru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18.75" hidden="false" customHeight="tru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18.75" hidden="false" customHeight="tru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18.75" hidden="false" customHeight="tru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18.75" hidden="false" customHeight="tru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18.75" hidden="false" customHeight="tru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18.75" hidden="false" customHeight="tru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18.75" hidden="false" customHeight="tru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18.75" hidden="false" customHeight="tru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18.75" hidden="false" customHeight="tru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18.75" hidden="false" customHeight="tru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18.75" hidden="false" customHeight="tru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18.75" hidden="false" customHeight="tru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18.75" hidden="false" customHeight="tru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18.75" hidden="false" customHeight="tru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18.75" hidden="false" customHeight="tru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18.75" hidden="false" customHeight="tru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18.75" hidden="false" customHeight="tru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18.75" hidden="false" customHeight="tru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18.75" hidden="false" customHeight="tru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18.75" hidden="false" customHeight="tru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18.75" hidden="false" customHeight="tru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18.75" hidden="false" customHeight="tru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18.75" hidden="false" customHeight="tru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18.75" hidden="false" customHeight="tru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18.75" hidden="false" customHeight="tru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18.75" hidden="false" customHeight="tru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18.75" hidden="false" customHeight="tru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18.75" hidden="false" customHeight="tru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18.75" hidden="false" customHeight="tru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18.75" hidden="false" customHeight="tru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18.75" hidden="false" customHeight="tru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18.75" hidden="false" customHeight="tru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18.75" hidden="false" customHeight="tru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18.75" hidden="false" customHeight="tru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18.75" hidden="false" customHeight="tru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18.75" hidden="false" customHeight="tru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18.75" hidden="false" customHeight="tru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18.75" hidden="false" customHeight="tru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18.75" hidden="false" customHeight="tru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18.75" hidden="false" customHeight="tru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18.75" hidden="false" customHeight="tru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18.75" hidden="false" customHeight="tru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18.75" hidden="false" customHeight="tru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18.75" hidden="false" customHeight="tru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18.75" hidden="false" customHeight="tru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18.75" hidden="false" customHeight="tru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18.75" hidden="false" customHeight="tru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18.75" hidden="false" customHeight="tru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18.75" hidden="false" customHeight="tru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18.75" hidden="false" customHeight="tru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18.75" hidden="false" customHeight="tru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18.75" hidden="false" customHeight="tru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18.75" hidden="false" customHeight="tru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18.75" hidden="false" customHeight="tru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18.75" hidden="false" customHeight="tru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18.75" hidden="false" customHeight="tru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18.75" hidden="false" customHeight="tru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18.75" hidden="false" customHeight="tru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18.75" hidden="false" customHeight="tru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18.75" hidden="false" customHeight="tru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18.75" hidden="false" customHeight="tru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18.75" hidden="false" customHeight="tru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18.75" hidden="false" customHeight="tru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18.75" hidden="false" customHeight="tru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18.75" hidden="false" customHeight="tru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18.75" hidden="false" customHeight="tru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18.75" hidden="false" customHeight="tru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18.75" hidden="false" customHeight="tru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18.75" hidden="false" customHeight="tru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18.75" hidden="false" customHeight="tru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18.75" hidden="false" customHeight="tru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18.75" hidden="false" customHeight="tru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18.75" hidden="false" customHeight="tru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18.75" hidden="false" customHeight="tru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18.75" hidden="false" customHeight="tru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18.75" hidden="false" customHeight="tru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18.75" hidden="false" customHeight="tru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18.75" hidden="false" customHeight="tru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18.75" hidden="false" customHeight="tru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18.75" hidden="false" customHeight="tru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18.75" hidden="false" customHeight="tru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18.75" hidden="false" customHeight="tru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18.75" hidden="false" customHeight="tru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18.75" hidden="false" customHeight="tru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18.75" hidden="false" customHeight="tru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18.75" hidden="false" customHeight="tru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18.75" hidden="false" customHeight="tru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18.75" hidden="false" customHeight="tru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18.75" hidden="false" customHeight="tru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18.75" hidden="false" customHeight="tru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18.75" hidden="false" customHeight="tru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18.75" hidden="false" customHeight="tru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18.75" hidden="false" customHeight="tru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18.75" hidden="false" customHeight="tru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18.75" hidden="false" customHeight="tru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18.75" hidden="false" customHeight="tru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18.75" hidden="false" customHeight="tru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18.75" hidden="false" customHeight="tru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18.75" hidden="false" customHeight="tru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18.75" hidden="false" customHeight="tru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18.75" hidden="false" customHeight="tru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18.75" hidden="false" customHeight="tru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18.75" hidden="false" customHeight="tru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18.75" hidden="false" customHeight="tru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18.75" hidden="false" customHeight="tru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18.75" hidden="false" customHeight="tru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18.75" hidden="false" customHeight="tru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18.75" hidden="false" customHeight="tru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18.75" hidden="false" customHeight="tru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18.75" hidden="false" customHeight="true" outlineLevel="0" collapsed="false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customFormat="false" ht="18.75" hidden="false" customHeight="true" outlineLevel="0" collapsed="false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customFormat="false" ht="18.75" hidden="false" customHeight="tru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customFormat="false" ht="18.75" hidden="false" customHeight="true" outlineLevel="0" collapsed="false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customFormat="false" ht="18.75" hidden="false" customHeight="true" outlineLevel="0" collapsed="false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customFormat="false" ht="18.75" hidden="false" customHeight="true" outlineLevel="0" collapsed="false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customFormat="false" ht="18.75" hidden="false" customHeight="true" outlineLevel="0" collapsed="false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customFormat="false" ht="18.75" hidden="false" customHeight="true" outlineLevel="0" collapsed="false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customFormat="false" ht="18.75" hidden="false" customHeight="true" outlineLevel="0" collapsed="false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4">
    <mergeCell ref="A1:F1"/>
    <mergeCell ref="D7:E18"/>
    <mergeCell ref="A16:C18"/>
    <mergeCell ref="A19:D19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B76" activeCellId="0" sqref="B76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3" t="s">
        <v>0</v>
      </c>
      <c r="B1" s="3"/>
      <c r="C1" s="3"/>
      <c r="D1" s="3"/>
      <c r="E1" s="3"/>
      <c r="F1" s="3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8.75" hidden="false" customHeight="true" outlineLevel="0" collapsed="false">
      <c r="A2" s="5" t="s">
        <v>1</v>
      </c>
      <c r="B2" s="6" t="n">
        <f aca="false">B9+B11</f>
        <v>23958.33</v>
      </c>
      <c r="C2" s="5" t="s">
        <v>2</v>
      </c>
      <c r="D2" s="6" t="n">
        <f aca="false">C9</f>
        <v>4791.666</v>
      </c>
      <c r="E2" s="5" t="s">
        <v>3</v>
      </c>
      <c r="F2" s="7" t="n">
        <f aca="false">B13</f>
        <v>0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8.75" hidden="false" customHeight="true" outlineLevel="0" collapsed="false">
      <c r="A3" s="10"/>
      <c r="B3" s="11"/>
      <c r="C3" s="11"/>
      <c r="D3" s="11"/>
      <c r="E3" s="11"/>
      <c r="F3" s="12" t="s">
        <v>4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8.75" hidden="false" customHeight="true" outlineLevel="0" collapsed="false">
      <c r="A4" s="5" t="s">
        <v>5</v>
      </c>
      <c r="B4" s="6" t="n">
        <f aca="false">B15+C15</f>
        <v>28749.996</v>
      </c>
      <c r="C4" s="15"/>
      <c r="D4" s="15"/>
      <c r="E4" s="15"/>
      <c r="F4" s="16" t="s">
        <v>4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8.75" hidden="false" customHeight="true" outlineLevel="0" collapsed="false">
      <c r="A5" s="19"/>
      <c r="B5" s="19"/>
      <c r="C5" s="19"/>
      <c r="D5" s="19"/>
      <c r="E5" s="19"/>
      <c r="F5" s="19" t="s">
        <v>4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8.75" hidden="false" customHeight="true" outlineLevel="0" collapsed="false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8.75" hidden="false" customHeight="true" outlineLevel="0" collapsed="false">
      <c r="A7" s="22" t="s">
        <v>6</v>
      </c>
      <c r="B7" s="22" t="s">
        <v>7</v>
      </c>
      <c r="C7" s="22" t="s">
        <v>2</v>
      </c>
      <c r="D7" s="23"/>
      <c r="E7" s="23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8.75" hidden="false" customHeight="true" outlineLevel="0" collapsed="false">
      <c r="A8" s="24"/>
      <c r="B8" s="19"/>
      <c r="C8" s="19"/>
      <c r="D8" s="23"/>
      <c r="E8" s="23"/>
      <c r="F8" s="19"/>
      <c r="G8" s="19"/>
      <c r="H8" s="19"/>
      <c r="I8" s="26" t="s">
        <v>3</v>
      </c>
      <c r="J8" s="27" t="n">
        <f aca="false">E13+E14</f>
        <v>0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8.75" hidden="false" customHeight="true" outlineLevel="0" collapsed="false">
      <c r="A9" s="22" t="s">
        <v>8</v>
      </c>
      <c r="B9" s="28" t="n">
        <v>23958.33</v>
      </c>
      <c r="C9" s="27" t="n">
        <f aca="false">B9*0.2</f>
        <v>4791.666</v>
      </c>
      <c r="D9" s="23"/>
      <c r="E9" s="23"/>
      <c r="F9" s="19"/>
      <c r="G9" s="19"/>
      <c r="H9" s="19"/>
      <c r="I9" s="27"/>
      <c r="J9" s="27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8.75" hidden="false" customHeight="true" outlineLevel="0" collapsed="false">
      <c r="A10" s="31"/>
      <c r="B10" s="19"/>
      <c r="C10" s="19"/>
      <c r="D10" s="23"/>
      <c r="E10" s="23"/>
      <c r="F10" s="19"/>
      <c r="G10" s="19"/>
      <c r="H10" s="19"/>
      <c r="I10" s="32" t="s">
        <v>1</v>
      </c>
      <c r="J10" s="27" t="n">
        <f aca="false">E15-E11-J8</f>
        <v>0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8.75" hidden="false" customHeight="true" outlineLevel="0" collapsed="false">
      <c r="A11" s="22" t="s">
        <v>11</v>
      </c>
      <c r="B11" s="28" t="n">
        <v>0</v>
      </c>
      <c r="C11" s="28" t="n">
        <f aca="false">B11*0.2</f>
        <v>0</v>
      </c>
      <c r="D11" s="23"/>
      <c r="E11" s="23"/>
      <c r="F11" s="19"/>
      <c r="G11" s="19"/>
      <c r="H11" s="19"/>
      <c r="I11" s="27"/>
      <c r="J11" s="27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8.75" hidden="false" customHeight="true" outlineLevel="0" collapsed="false">
      <c r="A12" s="31"/>
      <c r="B12" s="19"/>
      <c r="C12" s="19"/>
      <c r="D12" s="23"/>
      <c r="E12" s="23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8.75" hidden="false" customHeight="true" outlineLevel="0" collapsed="false">
      <c r="A13" s="22" t="s">
        <v>12</v>
      </c>
      <c r="B13" s="28" t="n">
        <v>0</v>
      </c>
      <c r="C13" s="27"/>
      <c r="D13" s="23"/>
      <c r="E13" s="23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8.75" hidden="false" customHeight="true" outlineLevel="0" collapsed="false">
      <c r="A14" s="31"/>
      <c r="B14" s="19"/>
      <c r="C14" s="19"/>
      <c r="D14" s="23"/>
      <c r="E14" s="23"/>
      <c r="F14" s="19"/>
      <c r="G14" s="19" t="s">
        <v>13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8.75" hidden="false" customHeight="true" outlineLevel="0" collapsed="false">
      <c r="A15" s="22" t="s">
        <v>14</v>
      </c>
      <c r="B15" s="27" t="n">
        <f aca="false">SUM(B9:B13)</f>
        <v>23958.33</v>
      </c>
      <c r="C15" s="27" t="n">
        <f aca="false">SUM(C9:C13)</f>
        <v>4791.666</v>
      </c>
      <c r="D15" s="23"/>
      <c r="E15" s="23"/>
      <c r="F15" s="19"/>
      <c r="G15" s="205" t="n">
        <f aca="false">E15</f>
        <v>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8.75" hidden="false" customHeight="true" outlineLevel="0" collapsed="false">
      <c r="A16" s="35"/>
      <c r="B16" s="35"/>
      <c r="C16" s="35"/>
      <c r="D16" s="23"/>
      <c r="E16" s="23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6" t="s">
        <v>15</v>
      </c>
      <c r="Z16" s="19"/>
    </row>
    <row r="17" customFormat="false" ht="18.75" hidden="false" customHeight="true" outlineLevel="0" collapsed="false">
      <c r="A17" s="35"/>
      <c r="B17" s="35"/>
      <c r="C17" s="35"/>
      <c r="D17" s="23"/>
      <c r="E17" s="23"/>
      <c r="F17" s="19"/>
      <c r="G17" s="19" t="s">
        <v>16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6" t="s">
        <v>17</v>
      </c>
      <c r="Z17" s="19"/>
    </row>
    <row r="18" customFormat="false" ht="18.75" hidden="false" customHeight="true" outlineLevel="0" collapsed="false">
      <c r="A18" s="35"/>
      <c r="B18" s="35"/>
      <c r="C18" s="35"/>
      <c r="D18" s="23"/>
      <c r="E18" s="23"/>
      <c r="F18" s="19"/>
      <c r="G18" s="363" t="n">
        <v>37405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6" t="s">
        <v>18</v>
      </c>
      <c r="Z18" s="19"/>
    </row>
    <row r="19" customFormat="false" ht="18.75" hidden="false" customHeight="true" outlineLevel="0" collapsed="false">
      <c r="A19" s="40" t="s">
        <v>19</v>
      </c>
      <c r="B19" s="40"/>
      <c r="C19" s="40"/>
      <c r="D19" s="40"/>
      <c r="E19" s="27" t="n">
        <f aca="false">B4</f>
        <v>28749.996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 t="s">
        <v>9</v>
      </c>
    </row>
    <row r="20" customFormat="false" ht="18.75" hidden="false" customHeight="true" outlineLevel="0" collapsed="false">
      <c r="A20" s="41"/>
      <c r="B20" s="19"/>
      <c r="C20" s="19"/>
      <c r="D20" s="19"/>
      <c r="E20" s="42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 t="s">
        <v>10</v>
      </c>
    </row>
    <row r="21" customFormat="false" ht="18.75" hidden="false" customHeight="true" outlineLevel="0" collapsed="false">
      <c r="A21" s="40" t="s">
        <v>20</v>
      </c>
      <c r="B21" s="40"/>
      <c r="C21" s="40"/>
      <c r="D21" s="40"/>
      <c r="E21" s="27" t="n">
        <f aca="false">B15</f>
        <v>23958.33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8.75" hidden="false" customHeight="true" outlineLevel="0" collapsed="false">
      <c r="A22" s="207"/>
      <c r="B22" s="207"/>
      <c r="C22" s="207"/>
      <c r="D22" s="207"/>
      <c r="E22" s="207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8.75" hidden="false" customHeight="true" outlineLevel="0" collapsed="false">
      <c r="A23" s="207"/>
      <c r="B23" s="207"/>
      <c r="C23" s="207"/>
      <c r="D23" s="207"/>
      <c r="E23" s="207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45.75" hidden="false" customHeight="true" outlineLevel="0" collapsed="false">
      <c r="A24" s="208" t="s">
        <v>208</v>
      </c>
      <c r="B24" s="208"/>
      <c r="C24" s="208"/>
      <c r="D24" s="208"/>
      <c r="E24" s="20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8.75" hidden="false" customHeight="true" outlineLevel="0" collapsed="false">
      <c r="A25" s="209"/>
      <c r="B25" s="207"/>
      <c r="C25" s="207"/>
      <c r="D25" s="207"/>
      <c r="E25" s="21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8.75" hidden="false" customHeight="true" outlineLevel="0" collapsed="false">
      <c r="A26" s="211" t="s">
        <v>209</v>
      </c>
      <c r="B26" s="211"/>
      <c r="C26" s="211"/>
      <c r="D26" s="211"/>
      <c r="E26" s="211"/>
      <c r="F26" s="19"/>
      <c r="G26" s="212"/>
      <c r="H26" s="212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8.75" hidden="false" customHeight="true" outlineLevel="0" collapsed="false">
      <c r="A27" s="209"/>
      <c r="B27" s="207"/>
      <c r="C27" s="207"/>
      <c r="D27" s="207"/>
      <c r="E27" s="210"/>
      <c r="F27" s="19"/>
      <c r="G27" s="213" t="s">
        <v>46</v>
      </c>
      <c r="H27" s="213" t="n">
        <f aca="false">IF(A32=Z101,1,IF(A32=Z102,1,IF(A32=Z103,3,IF(A32=Z104,6,IF(A32=Z105,9,IF(A32=Z106,12,IF(A32=Z107,3,IF(A32=Z108,6,IF(A32=Z109,9,0)))))))))</f>
        <v>1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8.75" hidden="false" customHeight="true" outlineLevel="0" collapsed="false">
      <c r="A28" s="214" t="s">
        <v>210</v>
      </c>
      <c r="B28" s="215" t="s">
        <v>211</v>
      </c>
      <c r="C28" s="207"/>
      <c r="D28" s="215" t="s">
        <v>212</v>
      </c>
      <c r="E28" s="210"/>
      <c r="F28" s="19"/>
      <c r="G28" s="213" t="s">
        <v>60</v>
      </c>
      <c r="H28" s="213" t="n">
        <f aca="false">IF(A32=Z101,H29-H27,IF(A32=Z102,H29-H27,IF(A32=Z103,H29-1,IF(A32=Z104,H29-1,IF(A32=Z105,H29-1,IF(A32=Z106,H29-1,IF(A32=Z107,H29-H27,IF(A32=Z108,H29-H27,IF(A32=Z109,H29-H27,0)))))))))</f>
        <v>11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8.75" hidden="false" customHeight="true" outlineLevel="0" collapsed="false">
      <c r="A29" s="216" t="s">
        <v>213</v>
      </c>
      <c r="B29" s="217" t="n">
        <v>12345</v>
      </c>
      <c r="C29" s="217"/>
      <c r="D29" s="218" t="n">
        <f aca="true">TODAY()+1</f>
        <v>45008</v>
      </c>
      <c r="E29" s="218"/>
      <c r="F29" s="19"/>
      <c r="G29" s="212" t="s">
        <v>214</v>
      </c>
      <c r="H29" s="212" t="n">
        <f aca="false">B35</f>
        <v>12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8.75" hidden="false" customHeight="true" outlineLevel="0" collapsed="false">
      <c r="A30" s="209"/>
      <c r="B30" s="21"/>
      <c r="C30" s="21"/>
      <c r="D30" s="207"/>
      <c r="E30" s="210"/>
      <c r="F30" s="19"/>
      <c r="G30" s="212" t="s">
        <v>31</v>
      </c>
      <c r="H30" s="212" t="n">
        <f aca="false">D35</f>
        <v>5000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8.75" hidden="false" customHeight="true" outlineLevel="0" collapsed="false">
      <c r="A31" s="214" t="s">
        <v>23</v>
      </c>
      <c r="B31" s="215" t="s">
        <v>215</v>
      </c>
      <c r="C31" s="207"/>
      <c r="D31" s="215" t="s">
        <v>216</v>
      </c>
      <c r="E31" s="210"/>
      <c r="F31" s="19"/>
      <c r="G31" s="212" t="s">
        <v>217</v>
      </c>
      <c r="H31" s="219" t="n">
        <f aca="false">D38</f>
        <v>500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8.75" hidden="false" customHeight="true" outlineLevel="0" collapsed="false">
      <c r="A32" s="216" t="s">
        <v>100</v>
      </c>
      <c r="B32" s="220" t="n">
        <f aca="false">IF(A32=Z101,D38,IF(A32=Z102,D38,IF(A32=Z103,(D38*3),IF(A32=Z104,(D38*6),IF(A32=Z105,(D38*9),IF(A32=Z106,(D38*12),IF(A32=Z107,D38,IF(A32=Z108,D38,IF(A32=Z109,D38,0)))))))))</f>
        <v>500</v>
      </c>
      <c r="C32" s="220"/>
      <c r="D32" s="220" t="n">
        <f aca="false">IF(A32=Z101,A41,IF(A32=Z102,A41,IF(A32=Z103,(A41*3),IF(A32=Z104,(A41*6),IF(A32=Z105,(A41*9),IF(A32=Z106,(A41*12),IF(A32=Z107,A41,IF(A32=Z108,A41,IF(A32=Z109,A41,0)))))))))</f>
        <v>50</v>
      </c>
      <c r="E32" s="220"/>
      <c r="F32" s="19"/>
      <c r="G32" s="221" t="s">
        <v>218</v>
      </c>
      <c r="H32" s="219" t="n">
        <f aca="false">A41</f>
        <v>50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18.75" hidden="false" customHeight="true" outlineLevel="0" collapsed="false">
      <c r="A33" s="222"/>
      <c r="B33" s="174"/>
      <c r="C33" s="223"/>
      <c r="D33" s="176"/>
      <c r="E33" s="210"/>
      <c r="F33" s="19"/>
      <c r="G33" s="221"/>
      <c r="H33" s="212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8.75" hidden="false" customHeight="true" outlineLevel="0" collapsed="false">
      <c r="A34" s="222" t="s">
        <v>220</v>
      </c>
      <c r="B34" s="224" t="s">
        <v>221</v>
      </c>
      <c r="C34" s="223"/>
      <c r="D34" s="64" t="s">
        <v>175</v>
      </c>
      <c r="E34" s="210"/>
      <c r="F34" s="19"/>
      <c r="G34" s="221" t="s">
        <v>222</v>
      </c>
      <c r="H34" s="219" t="n">
        <f aca="false">D41</f>
        <v>12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8.75" hidden="false" customHeight="true" outlineLevel="0" collapsed="false">
      <c r="A35" s="220" t="n">
        <f aca="false">B32+D32</f>
        <v>550</v>
      </c>
      <c r="B35" s="217" t="n">
        <v>12</v>
      </c>
      <c r="C35" s="217"/>
      <c r="D35" s="217" t="n">
        <v>5000</v>
      </c>
      <c r="E35" s="217"/>
      <c r="F35" s="19"/>
      <c r="G35" s="225"/>
      <c r="H35" s="226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8.75" hidden="false" customHeight="true" outlineLevel="0" collapsed="false">
      <c r="A36" s="209"/>
      <c r="B36" s="207"/>
      <c r="C36" s="207"/>
      <c r="D36" s="207"/>
      <c r="E36" s="210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8.75" hidden="false" customHeight="true" outlineLevel="0" collapsed="false">
      <c r="A37" s="214" t="s">
        <v>223</v>
      </c>
      <c r="B37" s="215" t="s">
        <v>224</v>
      </c>
      <c r="C37" s="207"/>
      <c r="D37" s="215" t="s">
        <v>225</v>
      </c>
      <c r="E37" s="210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8.75" hidden="false" customHeight="true" outlineLevel="0" collapsed="false">
      <c r="A38" s="227" t="n">
        <f aca="false">(B35/12)*D35</f>
        <v>5000</v>
      </c>
      <c r="B38" s="217" t="s">
        <v>9</v>
      </c>
      <c r="C38" s="217"/>
      <c r="D38" s="60" t="n">
        <v>500</v>
      </c>
      <c r="E38" s="60"/>
      <c r="F38" s="19"/>
      <c r="G38" s="19"/>
      <c r="H38" s="19"/>
      <c r="I38" s="22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8.75" hidden="false" customHeight="true" outlineLevel="0" collapsed="false">
      <c r="A39" s="229"/>
      <c r="B39" s="223"/>
      <c r="C39" s="223"/>
      <c r="D39" s="207"/>
      <c r="E39" s="210"/>
      <c r="F39" s="19"/>
      <c r="G39" s="19"/>
      <c r="H39" s="228"/>
      <c r="I39" s="228"/>
      <c r="J39" s="22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8.75" hidden="false" customHeight="true" outlineLevel="0" collapsed="false">
      <c r="A40" s="230" t="s">
        <v>227</v>
      </c>
      <c r="B40" s="231" t="s">
        <v>93</v>
      </c>
      <c r="C40" s="223"/>
      <c r="D40" s="232" t="s">
        <v>111</v>
      </c>
      <c r="E40" s="210"/>
      <c r="F40" s="19"/>
      <c r="G40" s="19"/>
      <c r="H40" s="228"/>
      <c r="I40" s="228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8.75" hidden="false" customHeight="true" outlineLevel="0" collapsed="false">
      <c r="A41" s="60" t="n">
        <v>50</v>
      </c>
      <c r="B41" s="233" t="n">
        <f aca="false">IF(B38="YES", D38+A41, D38)</f>
        <v>550</v>
      </c>
      <c r="C41" s="233"/>
      <c r="D41" s="60" t="n">
        <v>12</v>
      </c>
      <c r="E41" s="60"/>
      <c r="F41" s="19"/>
      <c r="G41" s="19"/>
      <c r="H41" s="235"/>
      <c r="I41" s="22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8.75" hidden="false" customHeight="true" outlineLevel="0" collapsed="false">
      <c r="A42" s="229"/>
      <c r="B42" s="223"/>
      <c r="C42" s="223"/>
      <c r="D42" s="223"/>
      <c r="E42" s="236"/>
      <c r="F42" s="19"/>
      <c r="G42" s="237" t="s">
        <v>42</v>
      </c>
      <c r="H42" s="237"/>
      <c r="I42" s="22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8.75" hidden="false" customHeight="true" outlineLevel="0" collapsed="false">
      <c r="A43" s="230" t="s">
        <v>229</v>
      </c>
      <c r="B43" s="231" t="s">
        <v>230</v>
      </c>
      <c r="C43" s="223"/>
      <c r="D43" s="231" t="s">
        <v>235</v>
      </c>
      <c r="E43" s="236"/>
      <c r="F43" s="19"/>
      <c r="G43" s="19" t="s">
        <v>231</v>
      </c>
      <c r="H43" s="228" t="n">
        <f aca="false">(((D38*(B35-1))+B32)/B35) + (D41/B35)</f>
        <v>501</v>
      </c>
      <c r="I43" s="22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8.75" hidden="false" customHeight="true" outlineLevel="0" collapsed="false">
      <c r="A44" s="60" t="n">
        <v>1</v>
      </c>
      <c r="B44" s="60" t="n">
        <v>1</v>
      </c>
      <c r="C44" s="60"/>
      <c r="D44" s="364" t="n">
        <f aca="false">A44+B44</f>
        <v>2</v>
      </c>
      <c r="E44" s="364"/>
      <c r="F44" s="19"/>
      <c r="G44" s="19" t="s">
        <v>233</v>
      </c>
      <c r="H44" s="228" t="n">
        <f aca="false">((A41*(B35-1))+D32)/B35</f>
        <v>50</v>
      </c>
      <c r="I44" s="228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8.75" hidden="false" customHeight="true" outlineLevel="0" collapsed="false">
      <c r="A45" s="229"/>
      <c r="B45" s="223"/>
      <c r="C45" s="223"/>
      <c r="D45" s="223"/>
      <c r="E45" s="236"/>
      <c r="F45" s="19"/>
      <c r="G45" s="19" t="s">
        <v>234</v>
      </c>
      <c r="H45" s="239" t="n">
        <f aca="false">H43+H44</f>
        <v>551</v>
      </c>
      <c r="I45" s="22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8.75" hidden="false" customHeight="true" outlineLevel="0" collapsed="false">
      <c r="A46" s="242" t="s">
        <v>313</v>
      </c>
      <c r="B46" s="223"/>
      <c r="C46" s="223"/>
      <c r="D46" s="223"/>
      <c r="E46" s="236"/>
      <c r="F46" s="19"/>
      <c r="G46" s="19" t="s">
        <v>238</v>
      </c>
      <c r="H46" s="228" t="n">
        <f aca="false">H43</f>
        <v>501</v>
      </c>
      <c r="I46" s="228" t="s">
        <v>4</v>
      </c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8.75" hidden="false" customHeight="true" outlineLevel="0" collapsed="false">
      <c r="A47" s="229"/>
      <c r="B47" s="223"/>
      <c r="C47" s="223"/>
      <c r="D47" s="223"/>
      <c r="E47" s="236"/>
      <c r="F47" s="19"/>
      <c r="G47" s="19"/>
      <c r="H47" s="228"/>
      <c r="I47" s="22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8.75" hidden="false" customHeight="true" outlineLevel="0" collapsed="false">
      <c r="A48" s="243" t="s">
        <v>57</v>
      </c>
      <c r="B48" s="207"/>
      <c r="C48" s="207"/>
      <c r="D48" s="244"/>
      <c r="E48" s="245"/>
      <c r="F48" s="19"/>
      <c r="G48" s="19"/>
      <c r="H48" s="228"/>
      <c r="I48" s="22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8.75" hidden="false" customHeight="true" outlineLevel="0" collapsed="false">
      <c r="A49" s="209"/>
      <c r="B49" s="246"/>
      <c r="C49" s="246"/>
      <c r="D49" s="207"/>
      <c r="E49" s="210"/>
      <c r="F49" s="19"/>
      <c r="G49" s="19"/>
      <c r="H49" s="247"/>
      <c r="I49" s="22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8.75" hidden="false" customHeight="true" outlineLevel="0" collapsed="false">
      <c r="A50" s="248" t="s">
        <v>28</v>
      </c>
      <c r="B50" s="249" t="s">
        <v>33</v>
      </c>
      <c r="C50" s="249"/>
      <c r="D50" s="207"/>
      <c r="E50" s="210"/>
      <c r="F50" s="19"/>
      <c r="G50" s="19"/>
      <c r="H50" s="19"/>
      <c r="I50" s="22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8.75" hidden="false" customHeight="true" outlineLevel="0" collapsed="false">
      <c r="A51" s="248"/>
      <c r="B51" s="250" t="n">
        <f aca="false">H30</f>
        <v>5000</v>
      </c>
      <c r="C51" s="250"/>
      <c r="D51" s="207"/>
      <c r="E51" s="210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8.75" hidden="false" customHeight="true" outlineLevel="0" collapsed="false">
      <c r="A52" s="251" t="n">
        <f aca="false">H29</f>
        <v>12</v>
      </c>
      <c r="B52" s="92" t="n">
        <f aca="false">H45</f>
        <v>551</v>
      </c>
      <c r="C52" s="92"/>
      <c r="D52" s="207"/>
      <c r="E52" s="210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8.75" hidden="false" customHeight="true" outlineLevel="0" collapsed="false">
      <c r="A53" s="209"/>
      <c r="B53" s="207"/>
      <c r="C53" s="207"/>
      <c r="D53" s="207"/>
      <c r="E53" s="210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8.75" hidden="false" customHeight="true" outlineLevel="0" collapsed="false">
      <c r="A54" s="252"/>
      <c r="B54" s="253"/>
      <c r="C54" s="253"/>
      <c r="D54" s="253"/>
      <c r="E54" s="254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8.75" hidden="false" customHeight="true" outlineLevel="0" collapsed="false">
      <c r="A55" s="207"/>
      <c r="B55" s="207"/>
      <c r="C55" s="207"/>
      <c r="D55" s="207"/>
      <c r="E55" s="207"/>
      <c r="F55" s="19"/>
      <c r="G55" s="207"/>
      <c r="H55" s="207"/>
      <c r="I55" s="207"/>
      <c r="J55" s="207"/>
      <c r="K55" s="207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8.75" hidden="false" customHeight="true" outlineLevel="0" collapsed="false">
      <c r="A56" s="255"/>
      <c r="B56" s="256"/>
      <c r="C56" s="256"/>
      <c r="D56" s="256"/>
      <c r="E56" s="257"/>
      <c r="F56" s="19"/>
      <c r="G56" s="255"/>
      <c r="H56" s="256"/>
      <c r="I56" s="256"/>
      <c r="J56" s="256"/>
      <c r="K56" s="257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8.75" hidden="false" customHeight="true" outlineLevel="0" collapsed="false">
      <c r="A57" s="209" t="s">
        <v>46</v>
      </c>
      <c r="B57" s="207" t="n">
        <f aca="false">IF(B99=Z101,1,IF(B99=Z102,1,IF(B99=Z103,3,IF(B99=Z104,6,IF(B99=Z105,9,IF(B99=Z106,12,IF(B99=Z107,3,IF(B99=Z108,6,IF(B99=Z109,9,0)))))))))</f>
        <v>9</v>
      </c>
      <c r="C57" s="207"/>
      <c r="D57" s="207"/>
      <c r="E57" s="210"/>
      <c r="F57" s="19"/>
      <c r="G57" s="209" t="s">
        <v>46</v>
      </c>
      <c r="H57" s="207" t="n">
        <f aca="false">IF(H99=Z101,1,IF(H99=Z102,1,IF(H99=Z103,3,IF(H99=Z104,6,IF(H99=Z105,9,IF(H99=Z106,12,IF(H99=Z107,3,IF(H99=Z108,6,IF(H99=Z109,9,0)))))))))</f>
        <v>1</v>
      </c>
      <c r="I57" s="207"/>
      <c r="J57" s="207"/>
      <c r="K57" s="210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8.75" hidden="false" customHeight="true" outlineLevel="0" collapsed="false">
      <c r="A58" s="209" t="s">
        <v>60</v>
      </c>
      <c r="B58" s="207" t="n">
        <f aca="false">IF(B99=Z101,H29-B57,IF(B99=Z102,H29-B57,IF(B99=Z103,H29-1,IF(B99=Z104,H29-1,IF(B99=Z105,H29-1,IF(B99=Z106,H29-1,IF(B99=Z107,H29-B57,IF(B99=Z108,H29-B57,IF(B99=Z109,H29-B57,0)))))))))</f>
        <v>3</v>
      </c>
      <c r="C58" s="207" t="s">
        <v>314</v>
      </c>
      <c r="D58" s="207"/>
      <c r="E58" s="210"/>
      <c r="F58" s="19"/>
      <c r="G58" s="209" t="s">
        <v>60</v>
      </c>
      <c r="H58" s="207" t="n">
        <f aca="false">IF(H99=Z101,H29-H57,IF(H99=Z102,H29-H57,IF(H99=Z103,H29-1,IF(H99=Z104,H29-1,IF(H99=Z105,H29-1,IF(H99=Z106,H29-1,IF(H99=Z107,H29-H57,IF(H99=Z108,H29-H57,IF(H99=Z109,H29-H57,0)))))))))</f>
        <v>11</v>
      </c>
      <c r="I58" s="207"/>
      <c r="J58" s="207"/>
      <c r="K58" s="210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8.75" hidden="false" customHeight="true" outlineLevel="0" collapsed="false">
      <c r="A59" s="209"/>
      <c r="B59" s="207"/>
      <c r="C59" s="207"/>
      <c r="D59" s="207"/>
      <c r="E59" s="210"/>
      <c r="F59" s="19"/>
      <c r="G59" s="209"/>
      <c r="H59" s="207"/>
      <c r="I59" s="207"/>
      <c r="J59" s="207"/>
      <c r="K59" s="210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8.75" hidden="false" customHeight="true" outlineLevel="0" collapsed="false">
      <c r="A60" s="209" t="s">
        <v>240</v>
      </c>
      <c r="B60" s="207" t="n">
        <f aca="false">E19</f>
        <v>28749.996</v>
      </c>
      <c r="C60" s="207"/>
      <c r="D60" s="207"/>
      <c r="E60" s="210"/>
      <c r="F60" s="19"/>
      <c r="G60" s="209"/>
      <c r="H60" s="207"/>
      <c r="I60" s="207"/>
      <c r="J60" s="207"/>
      <c r="K60" s="210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8.75" hidden="false" customHeight="true" outlineLevel="0" collapsed="false">
      <c r="A61" s="209" t="s">
        <v>16</v>
      </c>
      <c r="B61" s="79" t="n">
        <f aca="false">G18</f>
        <v>37405</v>
      </c>
      <c r="C61" s="207"/>
      <c r="D61" s="207"/>
      <c r="E61" s="210"/>
      <c r="F61" s="19"/>
      <c r="G61" s="209" t="s">
        <v>16</v>
      </c>
      <c r="H61" s="79" t="n">
        <f aca="false">G18</f>
        <v>37405</v>
      </c>
      <c r="I61" s="207"/>
      <c r="J61" s="207"/>
      <c r="K61" s="210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8.75" hidden="false" customHeight="true" outlineLevel="0" collapsed="false">
      <c r="A62" s="258" t="s">
        <v>241</v>
      </c>
      <c r="B62" s="259" t="n">
        <v>0.07</v>
      </c>
      <c r="C62" s="207"/>
      <c r="D62" s="207"/>
      <c r="E62" s="210"/>
      <c r="F62" s="19"/>
      <c r="G62" s="258" t="s">
        <v>241</v>
      </c>
      <c r="H62" s="259" t="n">
        <v>0.07</v>
      </c>
      <c r="I62" s="207"/>
      <c r="J62" s="207"/>
      <c r="K62" s="210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8.75" hidden="false" customHeight="true" outlineLevel="0" collapsed="false">
      <c r="A63" s="209" t="s">
        <v>242</v>
      </c>
      <c r="B63" s="260" t="n">
        <f aca="false">B62+(B62*0.25*(H29/12-1))</f>
        <v>0.07</v>
      </c>
      <c r="C63" s="207"/>
      <c r="D63" s="207"/>
      <c r="E63" s="210"/>
      <c r="F63" s="19"/>
      <c r="G63" s="209" t="s">
        <v>242</v>
      </c>
      <c r="H63" s="260" t="n">
        <f aca="false">H62+(H62*0.25*(H29/12-1))</f>
        <v>0.07</v>
      </c>
      <c r="I63" s="207"/>
      <c r="J63" s="207"/>
      <c r="K63" s="210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8.75" hidden="false" customHeight="true" outlineLevel="0" collapsed="false">
      <c r="A64" s="252" t="s">
        <v>65</v>
      </c>
      <c r="B64" s="139" t="n">
        <f aca="false">B61*B63</f>
        <v>2618.35</v>
      </c>
      <c r="C64" s="207" t="n">
        <v>10000</v>
      </c>
      <c r="D64" s="79" t="n">
        <f aca="false">B64</f>
        <v>2618.35</v>
      </c>
      <c r="E64" s="210"/>
      <c r="F64" s="19"/>
      <c r="G64" s="252" t="s">
        <v>65</v>
      </c>
      <c r="H64" s="139" t="n">
        <f aca="false">H61*H63</f>
        <v>2618.35</v>
      </c>
      <c r="I64" s="207"/>
      <c r="J64" s="79" t="n">
        <f aca="false">H64</f>
        <v>2618.35</v>
      </c>
      <c r="K64" s="210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8.75" hidden="false" customHeight="true" outlineLevel="0" collapsed="false">
      <c r="A65" s="258" t="s">
        <v>66</v>
      </c>
      <c r="B65" s="259" t="n">
        <v>0.01</v>
      </c>
      <c r="C65" s="207"/>
      <c r="D65" s="207"/>
      <c r="E65" s="210"/>
      <c r="F65" s="19"/>
      <c r="G65" s="258" t="s">
        <v>66</v>
      </c>
      <c r="H65" s="259" t="n">
        <v>0.005</v>
      </c>
      <c r="I65" s="207"/>
      <c r="J65" s="207"/>
      <c r="K65" s="210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8.75" hidden="false" customHeight="true" outlineLevel="0" collapsed="false">
      <c r="A66" s="209" t="s">
        <v>67</v>
      </c>
      <c r="B66" s="260" t="n">
        <f aca="false">B65+(B65*0.5*(H29/12-1))</f>
        <v>0.01</v>
      </c>
      <c r="C66" s="207"/>
      <c r="D66" s="207"/>
      <c r="E66" s="210"/>
      <c r="F66" s="19"/>
      <c r="G66" s="209" t="s">
        <v>67</v>
      </c>
      <c r="H66" s="260" t="n">
        <f aca="false">H65+(H65*0.5*(H29/12-1))</f>
        <v>0.005</v>
      </c>
      <c r="I66" s="207"/>
      <c r="J66" s="207"/>
      <c r="K66" s="210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8.75" hidden="false" customHeight="true" outlineLevel="0" collapsed="false">
      <c r="A67" s="252" t="s">
        <v>68</v>
      </c>
      <c r="B67" s="139" t="n">
        <f aca="false">B61*B66</f>
        <v>374.05</v>
      </c>
      <c r="C67" s="207"/>
      <c r="D67" s="79"/>
      <c r="E67" s="210"/>
      <c r="F67" s="19"/>
      <c r="G67" s="252" t="s">
        <v>68</v>
      </c>
      <c r="H67" s="139" t="n">
        <f aca="false">H61*H66</f>
        <v>187.025</v>
      </c>
      <c r="I67" s="207"/>
      <c r="J67" s="79"/>
      <c r="K67" s="210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8.75" hidden="false" customHeight="true" outlineLevel="0" collapsed="false">
      <c r="A68" s="258" t="s">
        <v>69</v>
      </c>
      <c r="B68" s="259" t="n">
        <v>0.0075</v>
      </c>
      <c r="C68" s="207"/>
      <c r="D68" s="207"/>
      <c r="E68" s="210"/>
      <c r="F68" s="19"/>
      <c r="G68" s="258" t="s">
        <v>69</v>
      </c>
      <c r="H68" s="259" t="n">
        <v>0.0075</v>
      </c>
      <c r="I68" s="207"/>
      <c r="J68" s="207"/>
      <c r="K68" s="210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8.75" hidden="false" customHeight="true" outlineLevel="0" collapsed="false">
      <c r="A69" s="261" t="s">
        <v>70</v>
      </c>
      <c r="B69" s="262" t="n">
        <v>0.12</v>
      </c>
      <c r="C69" s="207"/>
      <c r="D69" s="207"/>
      <c r="E69" s="210"/>
      <c r="F69" s="19"/>
      <c r="G69" s="261" t="s">
        <v>70</v>
      </c>
      <c r="H69" s="262" t="n">
        <v>0.12</v>
      </c>
      <c r="I69" s="207"/>
      <c r="J69" s="207"/>
      <c r="K69" s="210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18.75" hidden="false" customHeight="true" outlineLevel="0" collapsed="false">
      <c r="A70" s="252" t="s">
        <v>71</v>
      </c>
      <c r="B70" s="263" t="n">
        <f aca="false">B68*(1+B69)</f>
        <v>0.0084</v>
      </c>
      <c r="C70" s="207"/>
      <c r="D70" s="207"/>
      <c r="E70" s="210"/>
      <c r="F70" s="19"/>
      <c r="G70" s="252" t="s">
        <v>71</v>
      </c>
      <c r="H70" s="263" t="n">
        <f aca="false">H68*(1+H69)</f>
        <v>0.0084</v>
      </c>
      <c r="I70" s="207"/>
      <c r="J70" s="207"/>
      <c r="K70" s="210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18.75" hidden="false" customHeight="true" outlineLevel="0" collapsed="false">
      <c r="A71" s="258" t="s">
        <v>72</v>
      </c>
      <c r="B71" s="264" t="n">
        <v>200</v>
      </c>
      <c r="C71" s="207"/>
      <c r="D71" s="207"/>
      <c r="E71" s="210"/>
      <c r="F71" s="19"/>
      <c r="G71" s="258" t="s">
        <v>72</v>
      </c>
      <c r="H71" s="264" t="n">
        <v>160</v>
      </c>
      <c r="I71" s="207"/>
      <c r="J71" s="207"/>
      <c r="K71" s="210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8.75" hidden="false" customHeight="true" outlineLevel="0" collapsed="false">
      <c r="A72" s="261" t="s">
        <v>73</v>
      </c>
      <c r="B72" s="265" t="n">
        <v>5</v>
      </c>
      <c r="C72" s="207"/>
      <c r="D72" s="207"/>
      <c r="E72" s="210"/>
      <c r="F72" s="19"/>
      <c r="G72" s="261" t="s">
        <v>73</v>
      </c>
      <c r="H72" s="265" t="n">
        <v>4.5</v>
      </c>
      <c r="I72" s="207"/>
      <c r="J72" s="207"/>
      <c r="K72" s="210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8.75" hidden="false" customHeight="true" outlineLevel="0" collapsed="false">
      <c r="A73" s="252" t="s">
        <v>74</v>
      </c>
      <c r="B73" s="139" t="n">
        <f aca="false">B72*H29</f>
        <v>60</v>
      </c>
      <c r="C73" s="207"/>
      <c r="D73" s="79" t="n">
        <f aca="false">B73+B71</f>
        <v>260</v>
      </c>
      <c r="E73" s="210"/>
      <c r="F73" s="19"/>
      <c r="G73" s="252" t="s">
        <v>74</v>
      </c>
      <c r="H73" s="139" t="n">
        <f aca="false">H72*H29</f>
        <v>54</v>
      </c>
      <c r="I73" s="207"/>
      <c r="J73" s="79" t="n">
        <f aca="false">H73+H71</f>
        <v>214</v>
      </c>
      <c r="K73" s="210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8.75" hidden="false" customHeight="true" outlineLevel="0" collapsed="false">
      <c r="A74" s="258" t="s">
        <v>243</v>
      </c>
      <c r="B74" s="264" t="n">
        <v>0</v>
      </c>
      <c r="C74" s="207"/>
      <c r="D74" s="207"/>
      <c r="E74" s="210"/>
      <c r="F74" s="19"/>
      <c r="G74" s="258" t="s">
        <v>243</v>
      </c>
      <c r="H74" s="264" t="n">
        <v>150</v>
      </c>
      <c r="I74" s="207"/>
      <c r="J74" s="207"/>
      <c r="K74" s="210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8.75" hidden="false" customHeight="true" outlineLevel="0" collapsed="false">
      <c r="A75" s="261" t="s">
        <v>244</v>
      </c>
      <c r="B75" s="265" t="n">
        <v>0</v>
      </c>
      <c r="C75" s="207" t="n">
        <f aca="false">IF(G18&gt;40000, 325, 0)</f>
        <v>0</v>
      </c>
      <c r="D75" s="207"/>
      <c r="E75" s="210"/>
      <c r="F75" s="19"/>
      <c r="G75" s="261" t="s">
        <v>244</v>
      </c>
      <c r="H75" s="265" t="n">
        <f aca="false">IF(G18&gt;40000, 325, 0)</f>
        <v>0</v>
      </c>
      <c r="I75" s="207"/>
      <c r="J75" s="207"/>
      <c r="K75" s="210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8.75" hidden="false" customHeight="true" outlineLevel="0" collapsed="false">
      <c r="A76" s="252" t="s">
        <v>245</v>
      </c>
      <c r="B76" s="139" t="n">
        <f aca="false">((B74+B75)/12)*(H29-11)</f>
        <v>0</v>
      </c>
      <c r="C76" s="207"/>
      <c r="D76" s="79" t="n">
        <f aca="false">B76</f>
        <v>0</v>
      </c>
      <c r="E76" s="210"/>
      <c r="F76" s="19"/>
      <c r="G76" s="252" t="s">
        <v>245</v>
      </c>
      <c r="H76" s="139" t="n">
        <f aca="false">((H74+H75)/12)*(H29-11)</f>
        <v>12.5</v>
      </c>
      <c r="I76" s="207"/>
      <c r="J76" s="79" t="n">
        <f aca="false">H76</f>
        <v>12.5</v>
      </c>
      <c r="K76" s="210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8.75" hidden="false" customHeight="true" outlineLevel="0" collapsed="false">
      <c r="A77" s="258" t="s">
        <v>246</v>
      </c>
      <c r="B77" s="264" t="n">
        <f aca="false">B102/(1-0.1)</f>
        <v>444.444444444444</v>
      </c>
      <c r="C77" s="207"/>
      <c r="D77" s="79" t="n">
        <f aca="false">B77</f>
        <v>444.444444444444</v>
      </c>
      <c r="E77" s="210"/>
      <c r="F77" s="19"/>
      <c r="G77" s="258" t="s">
        <v>246</v>
      </c>
      <c r="H77" s="264" t="n">
        <f aca="false">H102</f>
        <v>1200</v>
      </c>
      <c r="I77" s="207"/>
      <c r="J77" s="79" t="n">
        <f aca="false">H77</f>
        <v>1200</v>
      </c>
      <c r="K77" s="210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8.75" hidden="false" customHeight="true" outlineLevel="0" collapsed="false">
      <c r="A78" s="209" t="s">
        <v>248</v>
      </c>
      <c r="B78" s="273" t="n">
        <f aca="false">D102/(1-0.1)</f>
        <v>222.222222222222</v>
      </c>
      <c r="C78" s="207"/>
      <c r="D78" s="79" t="n">
        <f aca="false">B78</f>
        <v>222.222222222222</v>
      </c>
      <c r="E78" s="210"/>
      <c r="F78" s="19"/>
      <c r="G78" s="209" t="s">
        <v>248</v>
      </c>
      <c r="H78" s="273" t="n">
        <f aca="false">J102</f>
        <v>0</v>
      </c>
      <c r="I78" s="207"/>
      <c r="J78" s="79" t="n">
        <f aca="false">H78</f>
        <v>0</v>
      </c>
      <c r="K78" s="210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8.75" hidden="false" customHeight="true" outlineLevel="0" collapsed="false">
      <c r="A79" s="261" t="s">
        <v>75</v>
      </c>
      <c r="B79" s="265" t="n">
        <v>200</v>
      </c>
      <c r="C79" s="207"/>
      <c r="D79" s="79" t="n">
        <f aca="false">B79</f>
        <v>200</v>
      </c>
      <c r="E79" s="210"/>
      <c r="F79" s="19"/>
      <c r="G79" s="261" t="s">
        <v>75</v>
      </c>
      <c r="H79" s="265" t="n">
        <v>100</v>
      </c>
      <c r="I79" s="207"/>
      <c r="J79" s="79" t="n">
        <f aca="false">H79</f>
        <v>100</v>
      </c>
      <c r="K79" s="210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8.75" hidden="false" customHeight="true" outlineLevel="0" collapsed="false">
      <c r="A80" s="274" t="s">
        <v>76</v>
      </c>
      <c r="B80" s="275" t="n">
        <v>200</v>
      </c>
      <c r="C80" s="207"/>
      <c r="D80" s="79" t="n">
        <f aca="false">B80</f>
        <v>200</v>
      </c>
      <c r="E80" s="210"/>
      <c r="F80" s="19"/>
      <c r="G80" s="274" t="s">
        <v>76</v>
      </c>
      <c r="H80" s="275" t="n">
        <v>100</v>
      </c>
      <c r="I80" s="207"/>
      <c r="J80" s="79" t="n">
        <f aca="false">H80</f>
        <v>100</v>
      </c>
      <c r="K80" s="210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18.75" hidden="false" customHeight="true" outlineLevel="0" collapsed="false">
      <c r="A81" s="276" t="s">
        <v>77</v>
      </c>
      <c r="B81" s="277" t="n">
        <f aca="false">SUM(D64:D80)</f>
        <v>3945.01666666667</v>
      </c>
      <c r="C81" s="207"/>
      <c r="D81" s="207"/>
      <c r="E81" s="210"/>
      <c r="F81" s="19"/>
      <c r="G81" s="276" t="s">
        <v>77</v>
      </c>
      <c r="H81" s="277" t="n">
        <f aca="false">SUM(J64:J80)</f>
        <v>4244.85</v>
      </c>
      <c r="I81" s="207"/>
      <c r="J81" s="207"/>
      <c r="K81" s="210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18.75" hidden="false" customHeight="true" outlineLevel="0" collapsed="false">
      <c r="A82" s="209" t="s">
        <v>78</v>
      </c>
      <c r="B82" s="273" t="n">
        <f aca="false">B81/H29</f>
        <v>328.751388888889</v>
      </c>
      <c r="C82" s="207"/>
      <c r="D82" s="207"/>
      <c r="E82" s="210"/>
      <c r="F82" s="19"/>
      <c r="G82" s="209" t="s">
        <v>78</v>
      </c>
      <c r="H82" s="273" t="n">
        <f aca="false">H81/H29</f>
        <v>353.7375</v>
      </c>
      <c r="I82" s="207"/>
      <c r="J82" s="207"/>
      <c r="K82" s="210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8.75" hidden="false" customHeight="true" outlineLevel="0" collapsed="false">
      <c r="A83" s="278" t="s">
        <v>79</v>
      </c>
      <c r="B83" s="279" t="n">
        <f aca="false">H46</f>
        <v>501</v>
      </c>
      <c r="C83" s="207"/>
      <c r="D83" s="207"/>
      <c r="E83" s="210"/>
      <c r="F83" s="19"/>
      <c r="G83" s="278" t="s">
        <v>79</v>
      </c>
      <c r="H83" s="279" t="n">
        <f aca="false">H46</f>
        <v>501</v>
      </c>
      <c r="I83" s="207"/>
      <c r="J83" s="207"/>
      <c r="K83" s="210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18.75" hidden="false" customHeight="true" outlineLevel="0" collapsed="false">
      <c r="A84" s="209"/>
      <c r="B84" s="79"/>
      <c r="C84" s="207"/>
      <c r="D84" s="207"/>
      <c r="E84" s="210"/>
      <c r="F84" s="19"/>
      <c r="G84" s="209"/>
      <c r="H84" s="79"/>
      <c r="I84" s="207"/>
      <c r="J84" s="207"/>
      <c r="K84" s="210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8.75" hidden="false" customHeight="true" outlineLevel="0" collapsed="false">
      <c r="A85" s="255" t="s">
        <v>88</v>
      </c>
      <c r="B85" s="137" t="n">
        <f aca="false">((B83*(H29)+B81))*1.2</f>
        <v>11948.42</v>
      </c>
      <c r="C85" s="207"/>
      <c r="D85" s="207"/>
      <c r="E85" s="210"/>
      <c r="F85" s="19"/>
      <c r="G85" s="255" t="s">
        <v>88</v>
      </c>
      <c r="H85" s="137" t="n">
        <f aca="false">((H83*(H27+H28))+H81)*1.2</f>
        <v>12308.22</v>
      </c>
      <c r="I85" s="207"/>
      <c r="J85" s="207"/>
      <c r="K85" s="210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8.75" hidden="false" customHeight="true" outlineLevel="0" collapsed="false">
      <c r="A86" s="209" t="s">
        <v>89</v>
      </c>
      <c r="B86" s="273" t="n">
        <f aca="false">(((B83*(H29))+B81)/(1-B70))*B70</f>
        <v>84.3474586526826</v>
      </c>
      <c r="C86" s="207"/>
      <c r="D86" s="207"/>
      <c r="E86" s="210"/>
      <c r="F86" s="19"/>
      <c r="G86" s="209" t="s">
        <v>89</v>
      </c>
      <c r="H86" s="273" t="n">
        <f aca="false">(((H83*(H27+H28))+H81)/(1-H70))*H70</f>
        <v>86.8873941105285</v>
      </c>
      <c r="I86" s="207"/>
      <c r="J86" s="207"/>
      <c r="K86" s="210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8.75" hidden="false" customHeight="true" outlineLevel="0" collapsed="false">
      <c r="A87" s="252" t="s">
        <v>90</v>
      </c>
      <c r="B87" s="139" t="n">
        <f aca="false">IF(B110="YES",((B85+B86)-E114),((B85+B86)))</f>
        <v>8032.76745865268</v>
      </c>
      <c r="C87" s="207"/>
      <c r="D87" s="207"/>
      <c r="E87" s="210"/>
      <c r="F87" s="19"/>
      <c r="G87" s="252" t="s">
        <v>90</v>
      </c>
      <c r="H87" s="139" t="n">
        <f aca="false">IF(H110="YES",((H85+H86)-A151-K114),((H85+H86)-A151))</f>
        <v>12295.1173941105</v>
      </c>
      <c r="I87" s="207"/>
      <c r="J87" s="207"/>
      <c r="K87" s="210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8.75" hidden="false" customHeight="true" outlineLevel="0" collapsed="false">
      <c r="A88" s="209"/>
      <c r="B88" s="79"/>
      <c r="C88" s="207"/>
      <c r="D88" s="207"/>
      <c r="E88" s="210"/>
      <c r="F88" s="19"/>
      <c r="G88" s="209"/>
      <c r="H88" s="79"/>
      <c r="I88" s="207"/>
      <c r="J88" s="207"/>
      <c r="K88" s="210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8.75" hidden="false" customHeight="true" outlineLevel="0" collapsed="false">
      <c r="A89" s="276" t="s">
        <v>91</v>
      </c>
      <c r="B89" s="365" t="n">
        <f aca="false">IF(B99=Z102,(((H44*B35)+(H44*B35)*(B105/100))/(B58))*1.2,(((H44*B35)+(H44*B35)*(B105/100))/(B57+B58))*1.2)</f>
        <v>72</v>
      </c>
      <c r="C89" s="207"/>
      <c r="D89" s="207"/>
      <c r="E89" s="210"/>
      <c r="F89" s="19"/>
      <c r="G89" s="276" t="s">
        <v>91</v>
      </c>
      <c r="H89" s="277" t="n">
        <f aca="false">(A41+(A41*H105))*1.2</f>
        <v>72</v>
      </c>
      <c r="I89" s="207"/>
      <c r="J89" s="207"/>
      <c r="K89" s="210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8.75" hidden="false" customHeight="true" outlineLevel="0" collapsed="false">
      <c r="A90" s="281" t="s">
        <v>92</v>
      </c>
      <c r="B90" s="282" t="n">
        <f aca="false">IF(B99=Z102, (B87-D105)/(B58), B87/(B57+B58))</f>
        <v>669.397288221057</v>
      </c>
      <c r="C90" s="207"/>
      <c r="D90" s="207"/>
      <c r="E90" s="210"/>
      <c r="F90" s="19"/>
      <c r="G90" s="281" t="s">
        <v>92</v>
      </c>
      <c r="H90" s="282" t="n">
        <f aca="false">IF(H99=AE98, (H87-J105)/(H58), H87/(H57+H58))</f>
        <v>1024.59311617588</v>
      </c>
      <c r="I90" s="207"/>
      <c r="J90" s="207"/>
      <c r="K90" s="210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8.75" hidden="false" customHeight="true" outlineLevel="0" collapsed="false">
      <c r="A91" s="283" t="s">
        <v>93</v>
      </c>
      <c r="B91" s="284" t="n">
        <f aca="false">IF(A105="YES", B90+B89, B90)</f>
        <v>741.397288221057</v>
      </c>
      <c r="C91" s="207"/>
      <c r="D91" s="207"/>
      <c r="E91" s="210"/>
      <c r="F91" s="19"/>
      <c r="G91" s="283" t="s">
        <v>93</v>
      </c>
      <c r="H91" s="284" t="n">
        <f aca="false">IF(G105="YES", H90+H89, H90)</f>
        <v>1096.59311617588</v>
      </c>
      <c r="I91" s="207"/>
      <c r="J91" s="207"/>
      <c r="K91" s="210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8.75" hidden="false" customHeight="true" outlineLevel="0" collapsed="false">
      <c r="A92" s="252"/>
      <c r="B92" s="253"/>
      <c r="C92" s="253"/>
      <c r="D92" s="253"/>
      <c r="E92" s="254"/>
      <c r="F92" s="19"/>
      <c r="G92" s="252"/>
      <c r="H92" s="253"/>
      <c r="I92" s="253"/>
      <c r="J92" s="253"/>
      <c r="K92" s="254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8.75" hidden="false" customHeight="true" outlineLevel="0" collapsed="false">
      <c r="A93" s="207"/>
      <c r="B93" s="207"/>
      <c r="C93" s="207"/>
      <c r="D93" s="207"/>
      <c r="E93" s="207"/>
      <c r="F93" s="19"/>
      <c r="G93" s="207"/>
      <c r="H93" s="207"/>
      <c r="I93" s="207"/>
      <c r="J93" s="207"/>
      <c r="K93" s="207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46.5" hidden="false" customHeight="true" outlineLevel="0" collapsed="false">
      <c r="A94" s="208" t="s">
        <v>250</v>
      </c>
      <c r="B94" s="208"/>
      <c r="C94" s="208"/>
      <c r="D94" s="208"/>
      <c r="E94" s="208"/>
      <c r="F94" s="19"/>
      <c r="G94" s="208" t="s">
        <v>250</v>
      </c>
      <c r="H94" s="208"/>
      <c r="I94" s="208"/>
      <c r="J94" s="208"/>
      <c r="K94" s="20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8.75" hidden="false" customHeight="true" outlineLevel="0" collapsed="false">
      <c r="A95" s="209"/>
      <c r="B95" s="207"/>
      <c r="C95" s="207"/>
      <c r="D95" s="207"/>
      <c r="E95" s="210"/>
      <c r="F95" s="19"/>
      <c r="G95" s="209"/>
      <c r="H95" s="207"/>
      <c r="I95" s="207"/>
      <c r="J95" s="207"/>
      <c r="K95" s="210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8.75" hidden="false" customHeight="true" outlineLevel="0" collapsed="false">
      <c r="A96" s="211" t="s">
        <v>26</v>
      </c>
      <c r="B96" s="211"/>
      <c r="C96" s="211"/>
      <c r="D96" s="211"/>
      <c r="E96" s="211"/>
      <c r="F96" s="19"/>
      <c r="G96" s="211" t="s">
        <v>26</v>
      </c>
      <c r="H96" s="211"/>
      <c r="I96" s="211"/>
      <c r="J96" s="211"/>
      <c r="K96" s="2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8.75" hidden="false" customHeight="true" outlineLevel="0" collapsed="false">
      <c r="A97" s="209"/>
      <c r="B97" s="207"/>
      <c r="C97" s="207"/>
      <c r="D97" s="207"/>
      <c r="E97" s="210"/>
      <c r="F97" s="19"/>
      <c r="G97" s="209"/>
      <c r="H97" s="207"/>
      <c r="I97" s="207"/>
      <c r="J97" s="207"/>
      <c r="K97" s="210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18.75" hidden="false" customHeight="true" outlineLevel="0" collapsed="false">
      <c r="A98" s="209" t="s">
        <v>98</v>
      </c>
      <c r="B98" s="207" t="s">
        <v>23</v>
      </c>
      <c r="C98" s="207"/>
      <c r="D98" s="207" t="s">
        <v>252</v>
      </c>
      <c r="E98" s="210"/>
      <c r="F98" s="19"/>
      <c r="G98" s="209" t="s">
        <v>98</v>
      </c>
      <c r="H98" s="207" t="s">
        <v>23</v>
      </c>
      <c r="I98" s="207"/>
      <c r="J98" s="207" t="s">
        <v>252</v>
      </c>
      <c r="K98" s="210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18.75" hidden="false" customHeight="true" outlineLevel="0" collapsed="false">
      <c r="A99" s="214" t="s">
        <v>254</v>
      </c>
      <c r="B99" s="286" t="s">
        <v>315</v>
      </c>
      <c r="C99" s="286"/>
      <c r="D99" s="72" t="n">
        <v>1000</v>
      </c>
      <c r="E99" s="72"/>
      <c r="F99" s="19"/>
      <c r="G99" s="214" t="s">
        <v>254</v>
      </c>
      <c r="H99" s="286" t="s">
        <v>100</v>
      </c>
      <c r="I99" s="286"/>
      <c r="J99" s="72" t="n">
        <v>0</v>
      </c>
      <c r="K99" s="72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18.75" hidden="false" customHeight="true" outlineLevel="0" collapsed="false">
      <c r="A100" s="209"/>
      <c r="B100" s="207"/>
      <c r="C100" s="207"/>
      <c r="D100" s="207"/>
      <c r="E100" s="210"/>
      <c r="F100" s="19"/>
      <c r="G100" s="209"/>
      <c r="H100" s="207"/>
      <c r="I100" s="207"/>
      <c r="J100" s="207"/>
      <c r="K100" s="210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 customFormat="false" ht="18.75" hidden="false" customHeight="true" outlineLevel="0" collapsed="false">
      <c r="A101" s="209" t="s">
        <v>259</v>
      </c>
      <c r="B101" s="207" t="s">
        <v>260</v>
      </c>
      <c r="C101" s="207"/>
      <c r="D101" s="207" t="s">
        <v>261</v>
      </c>
      <c r="E101" s="210"/>
      <c r="F101" s="19"/>
      <c r="G101" s="209" t="s">
        <v>259</v>
      </c>
      <c r="H101" s="207" t="s">
        <v>260</v>
      </c>
      <c r="I101" s="207"/>
      <c r="J101" s="207" t="s">
        <v>261</v>
      </c>
      <c r="K101" s="210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 t="s">
        <v>100</v>
      </c>
      <c r="AA101" s="19"/>
    </row>
    <row r="102" customFormat="false" ht="18.75" hidden="false" customHeight="true" outlineLevel="0" collapsed="false">
      <c r="A102" s="288" t="n">
        <f aca="false">199.99*1.2</f>
        <v>239.988</v>
      </c>
      <c r="B102" s="72" t="n">
        <v>400</v>
      </c>
      <c r="C102" s="72"/>
      <c r="D102" s="72" t="n">
        <v>200</v>
      </c>
      <c r="E102" s="72"/>
      <c r="F102" s="19"/>
      <c r="G102" s="288" t="n">
        <f aca="false">199.99*1.2</f>
        <v>239.988</v>
      </c>
      <c r="H102" s="72" t="n">
        <v>1200</v>
      </c>
      <c r="I102" s="72"/>
      <c r="J102" s="72" t="n">
        <v>0</v>
      </c>
      <c r="K102" s="72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 t="s">
        <v>253</v>
      </c>
      <c r="AA102" s="19"/>
    </row>
    <row r="103" customFormat="false" ht="18.75" hidden="false" customHeight="true" outlineLevel="0" collapsed="false">
      <c r="A103" s="209"/>
      <c r="B103" s="207"/>
      <c r="C103" s="207"/>
      <c r="D103" s="207"/>
      <c r="E103" s="210"/>
      <c r="F103" s="19"/>
      <c r="G103" s="209"/>
      <c r="H103" s="207"/>
      <c r="I103" s="207"/>
      <c r="J103" s="207"/>
      <c r="K103" s="210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Z103" s="19" t="s">
        <v>257</v>
      </c>
      <c r="AA103" s="19"/>
    </row>
    <row r="104" customFormat="false" ht="18.75" hidden="false" customHeight="true" outlineLevel="0" collapsed="false">
      <c r="A104" s="214" t="s">
        <v>22</v>
      </c>
      <c r="B104" s="19" t="s">
        <v>101</v>
      </c>
      <c r="C104" s="207"/>
      <c r="D104" s="207" t="s">
        <v>112</v>
      </c>
      <c r="E104" s="210"/>
      <c r="F104" s="19"/>
      <c r="G104" s="214" t="s">
        <v>22</v>
      </c>
      <c r="H104" s="19" t="s">
        <v>101</v>
      </c>
      <c r="I104" s="207"/>
      <c r="J104" s="207" t="s">
        <v>112</v>
      </c>
      <c r="K104" s="210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Z104" s="19" t="s">
        <v>258</v>
      </c>
      <c r="AA104" s="19"/>
    </row>
    <row r="105" customFormat="false" ht="18.75" hidden="false" customHeight="true" outlineLevel="0" collapsed="false">
      <c r="A105" s="216" t="s">
        <v>9</v>
      </c>
      <c r="B105" s="286" t="n">
        <v>20</v>
      </c>
      <c r="C105" s="286"/>
      <c r="D105" s="72" t="s">
        <v>264</v>
      </c>
      <c r="E105" s="72"/>
      <c r="F105" s="19"/>
      <c r="G105" s="216" t="s">
        <v>9</v>
      </c>
      <c r="H105" s="289" t="n">
        <v>0.2</v>
      </c>
      <c r="I105" s="289"/>
      <c r="J105" s="72" t="n">
        <v>0</v>
      </c>
      <c r="K105" s="72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Z105" s="19" t="s">
        <v>262</v>
      </c>
      <c r="AA105" s="19"/>
    </row>
    <row r="106" customFormat="false" ht="18.75" hidden="false" customHeight="true" outlineLevel="0" collapsed="false">
      <c r="A106" s="209"/>
      <c r="B106" s="207"/>
      <c r="C106" s="207"/>
      <c r="D106" s="207"/>
      <c r="E106" s="210"/>
      <c r="F106" s="19"/>
      <c r="G106" s="209"/>
      <c r="H106" s="207"/>
      <c r="I106" s="207"/>
      <c r="J106" s="207"/>
      <c r="K106" s="210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Z106" s="19" t="s">
        <v>256</v>
      </c>
      <c r="AA106" s="19"/>
    </row>
    <row r="107" customFormat="false" ht="18.75" hidden="false" customHeight="true" outlineLevel="0" collapsed="false">
      <c r="A107" s="209"/>
      <c r="B107" s="207"/>
      <c r="C107" s="207"/>
      <c r="D107" s="207"/>
      <c r="E107" s="210"/>
      <c r="F107" s="19"/>
      <c r="G107" s="209"/>
      <c r="H107" s="207"/>
      <c r="I107" s="207"/>
      <c r="J107" s="207"/>
      <c r="K107" s="210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Z107" s="19" t="s">
        <v>255</v>
      </c>
      <c r="AA107" s="19"/>
    </row>
    <row r="108" customFormat="false" ht="18.75" hidden="false" customHeight="true" outlineLevel="0" collapsed="false">
      <c r="A108" s="211" t="s">
        <v>267</v>
      </c>
      <c r="B108" s="211" t="n">
        <v>0</v>
      </c>
      <c r="C108" s="211"/>
      <c r="D108" s="211" t="n">
        <v>0</v>
      </c>
      <c r="E108" s="211"/>
      <c r="F108" s="19"/>
      <c r="G108" s="211" t="s">
        <v>267</v>
      </c>
      <c r="H108" s="211"/>
      <c r="I108" s="211"/>
      <c r="J108" s="211"/>
      <c r="K108" s="2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Z108" s="19" t="s">
        <v>263</v>
      </c>
      <c r="AA108" s="19"/>
    </row>
    <row r="109" customFormat="false" ht="18.75" hidden="false" customHeight="true" outlineLevel="0" collapsed="false">
      <c r="A109" s="209"/>
      <c r="B109" s="207"/>
      <c r="C109" s="207"/>
      <c r="D109" s="207"/>
      <c r="E109" s="210"/>
      <c r="F109" s="19"/>
      <c r="G109" s="209"/>
      <c r="H109" s="207"/>
      <c r="I109" s="207"/>
      <c r="J109" s="207"/>
      <c r="K109" s="210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Z109" s="19" t="s">
        <v>265</v>
      </c>
    </row>
    <row r="110" customFormat="false" ht="18.75" hidden="false" customHeight="true" outlineLevel="0" collapsed="false">
      <c r="A110" s="209" t="s">
        <v>268</v>
      </c>
      <c r="B110" s="216" t="s">
        <v>9</v>
      </c>
      <c r="C110" s="207"/>
      <c r="D110" s="207"/>
      <c r="E110" s="210"/>
      <c r="F110" s="19"/>
      <c r="G110" s="209" t="s">
        <v>268</v>
      </c>
      <c r="H110" s="216" t="s">
        <v>10</v>
      </c>
      <c r="I110" s="207"/>
      <c r="J110" s="207"/>
      <c r="K110" s="210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Z110" s="19"/>
    </row>
    <row r="111" customFormat="false" ht="18.75" hidden="false" customHeight="true" outlineLevel="0" collapsed="false">
      <c r="A111" s="209"/>
      <c r="B111" s="207"/>
      <c r="C111" s="207"/>
      <c r="D111" s="207"/>
      <c r="E111" s="210"/>
      <c r="F111" s="19"/>
      <c r="G111" s="209"/>
      <c r="H111" s="207"/>
      <c r="I111" s="207"/>
      <c r="J111" s="207"/>
      <c r="K111" s="210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Z111" s="19"/>
    </row>
    <row r="112" customFormat="false" ht="18.75" hidden="false" customHeight="true" outlineLevel="0" collapsed="false">
      <c r="A112" s="209" t="s">
        <v>146</v>
      </c>
      <c r="B112" s="207"/>
      <c r="C112" s="207"/>
      <c r="D112" s="288" t="n">
        <v>10000</v>
      </c>
      <c r="E112" s="72" t="n">
        <v>6000</v>
      </c>
      <c r="F112" s="19"/>
      <c r="G112" s="209" t="s">
        <v>146</v>
      </c>
      <c r="H112" s="207"/>
      <c r="I112" s="207"/>
      <c r="J112" s="288" t="n">
        <v>10000</v>
      </c>
      <c r="K112" s="72" t="n">
        <v>5000</v>
      </c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8.75" hidden="false" customHeight="true" outlineLevel="0" collapsed="false">
      <c r="A113" s="209" t="s">
        <v>147</v>
      </c>
      <c r="B113" s="207"/>
      <c r="C113" s="207"/>
      <c r="D113" s="38" t="n">
        <f aca="false">E113</f>
        <v>2000</v>
      </c>
      <c r="E113" s="72" t="n">
        <v>2000</v>
      </c>
      <c r="F113" s="19"/>
      <c r="G113" s="209" t="s">
        <v>147</v>
      </c>
      <c r="H113" s="207"/>
      <c r="I113" s="207"/>
      <c r="J113" s="38" t="n">
        <f aca="false">K113</f>
        <v>7000</v>
      </c>
      <c r="K113" s="72" t="n">
        <v>7000</v>
      </c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8.75" hidden="false" customHeight="true" outlineLevel="0" collapsed="false">
      <c r="A114" s="209" t="s">
        <v>148</v>
      </c>
      <c r="B114" s="207"/>
      <c r="C114" s="207"/>
      <c r="D114" s="38" t="n">
        <f aca="false">D112-D113</f>
        <v>8000</v>
      </c>
      <c r="E114" s="163" t="n">
        <f aca="false">E112-E113</f>
        <v>4000</v>
      </c>
      <c r="F114" s="19"/>
      <c r="G114" s="209" t="s">
        <v>148</v>
      </c>
      <c r="H114" s="207"/>
      <c r="I114" s="207"/>
      <c r="J114" s="38" t="n">
        <f aca="false">J112-J113</f>
        <v>3000</v>
      </c>
      <c r="K114" s="163" t="n">
        <f aca="false">K112-K113</f>
        <v>-2000</v>
      </c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8.75" hidden="false" customHeight="true" outlineLevel="0" collapsed="false">
      <c r="A115" s="209" t="s">
        <v>149</v>
      </c>
      <c r="B115" s="207"/>
      <c r="C115" s="207"/>
      <c r="D115" s="38" t="n">
        <f aca="false">D114-E114</f>
        <v>4000</v>
      </c>
      <c r="E115" s="210"/>
      <c r="F115" s="19"/>
      <c r="G115" s="209" t="s">
        <v>149</v>
      </c>
      <c r="H115" s="207"/>
      <c r="I115" s="207"/>
      <c r="J115" s="38" t="n">
        <f aca="false">J114-K114</f>
        <v>5000</v>
      </c>
      <c r="K115" s="210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8.75" hidden="false" customHeight="true" outlineLevel="0" collapsed="false">
      <c r="A116" s="209"/>
      <c r="B116" s="207"/>
      <c r="C116" s="207"/>
      <c r="D116" s="207"/>
      <c r="E116" s="210"/>
      <c r="F116" s="19"/>
      <c r="G116" s="209"/>
      <c r="H116" s="207"/>
      <c r="I116" s="207"/>
      <c r="J116" s="207"/>
      <c r="K116" s="210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8.75" hidden="false" customHeight="true" outlineLevel="0" collapsed="false">
      <c r="A117" s="255" t="s">
        <v>108</v>
      </c>
      <c r="B117" s="256"/>
      <c r="C117" s="256"/>
      <c r="D117" s="256"/>
      <c r="E117" s="137" t="n">
        <f aca="false">D99</f>
        <v>1000</v>
      </c>
      <c r="F117" s="19"/>
      <c r="G117" s="255" t="s">
        <v>108</v>
      </c>
      <c r="H117" s="256"/>
      <c r="I117" s="256"/>
      <c r="J117" s="256"/>
      <c r="K117" s="137" t="n">
        <f aca="false">J99</f>
        <v>0</v>
      </c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8.75" hidden="false" customHeight="true" outlineLevel="0" collapsed="false">
      <c r="A118" s="209" t="s">
        <v>152</v>
      </c>
      <c r="B118" s="207"/>
      <c r="C118" s="207"/>
      <c r="D118" s="207"/>
      <c r="E118" s="273" t="n">
        <f aca="false">A102</f>
        <v>239.988</v>
      </c>
      <c r="F118" s="19"/>
      <c r="G118" s="209" t="s">
        <v>152</v>
      </c>
      <c r="H118" s="207"/>
      <c r="I118" s="207"/>
      <c r="J118" s="207"/>
      <c r="K118" s="273" t="n">
        <f aca="false">G102</f>
        <v>239.988</v>
      </c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8.75" hidden="false" customHeight="true" outlineLevel="0" collapsed="false">
      <c r="A119" s="290" t="s">
        <v>269</v>
      </c>
      <c r="B119" s="253"/>
      <c r="C119" s="253"/>
      <c r="D119" s="253"/>
      <c r="E119" s="139" t="n">
        <f aca="false">(E118+E117)-D115</f>
        <v>-2760.012</v>
      </c>
      <c r="F119" s="19"/>
      <c r="G119" s="290" t="s">
        <v>269</v>
      </c>
      <c r="H119" s="253"/>
      <c r="I119" s="253"/>
      <c r="J119" s="253"/>
      <c r="K119" s="139" t="n">
        <f aca="false">(K118+K117)-J115</f>
        <v>-4760.012</v>
      </c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8.75" hidden="false" customHeight="true" outlineLevel="0" collapsed="false">
      <c r="A120" s="209"/>
      <c r="B120" s="207"/>
      <c r="C120" s="207"/>
      <c r="D120" s="207"/>
      <c r="E120" s="210"/>
      <c r="F120" s="19"/>
      <c r="G120" s="209"/>
      <c r="H120" s="207"/>
      <c r="I120" s="207"/>
      <c r="J120" s="207"/>
      <c r="K120" s="210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8.75" hidden="false" customHeight="true" outlineLevel="0" collapsed="false">
      <c r="A121" s="209"/>
      <c r="B121" s="207"/>
      <c r="C121" s="207"/>
      <c r="D121" s="207"/>
      <c r="E121" s="210"/>
      <c r="F121" s="19"/>
      <c r="G121" s="209"/>
      <c r="H121" s="207"/>
      <c r="I121" s="207"/>
      <c r="J121" s="207"/>
      <c r="K121" s="210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8.75" hidden="false" customHeight="true" outlineLevel="0" collapsed="false">
      <c r="A122" s="211" t="s">
        <v>270</v>
      </c>
      <c r="B122" s="211"/>
      <c r="C122" s="211"/>
      <c r="D122" s="211"/>
      <c r="E122" s="211"/>
      <c r="F122" s="19"/>
      <c r="G122" s="211" t="s">
        <v>270</v>
      </c>
      <c r="H122" s="211"/>
      <c r="I122" s="211"/>
      <c r="J122" s="211"/>
      <c r="K122" s="211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8.75" hidden="false" customHeight="true" outlineLevel="0" collapsed="false">
      <c r="A123" s="291"/>
      <c r="B123" s="292"/>
      <c r="C123" s="292"/>
      <c r="D123" s="292"/>
      <c r="E123" s="293"/>
      <c r="F123" s="19"/>
      <c r="G123" s="209"/>
      <c r="H123" s="207"/>
      <c r="I123" s="207"/>
      <c r="J123" s="207"/>
      <c r="K123" s="210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8.75" hidden="false" customHeight="true" outlineLevel="0" collapsed="false">
      <c r="A124" s="294" t="s">
        <v>98</v>
      </c>
      <c r="B124" s="295" t="n">
        <v>0</v>
      </c>
      <c r="C124" s="296"/>
      <c r="D124" s="295" t="s">
        <v>33</v>
      </c>
      <c r="E124" s="297"/>
      <c r="F124" s="19"/>
      <c r="G124" s="209" t="s">
        <v>29</v>
      </c>
      <c r="H124" s="168" t="n">
        <v>0</v>
      </c>
      <c r="I124" s="168"/>
      <c r="J124" s="207"/>
      <c r="K124" s="210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8.75" hidden="false" customHeight="true" outlineLevel="0" collapsed="false">
      <c r="A125" s="298" t="s">
        <v>254</v>
      </c>
      <c r="B125" s="299" t="n">
        <f aca="false">A161</f>
        <v>12</v>
      </c>
      <c r="C125" s="300"/>
      <c r="D125" s="299" t="n">
        <f aca="false">B160</f>
        <v>5000</v>
      </c>
      <c r="E125" s="297"/>
      <c r="F125" s="19"/>
      <c r="G125" s="209"/>
      <c r="H125" s="207"/>
      <c r="I125" s="207"/>
      <c r="J125" s="207"/>
      <c r="K125" s="210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8.75" hidden="false" customHeight="true" outlineLevel="0" collapsed="false">
      <c r="A126" s="294"/>
      <c r="B126" s="295"/>
      <c r="C126" s="295"/>
      <c r="D126" s="295"/>
      <c r="E126" s="297"/>
      <c r="F126" s="19"/>
      <c r="G126" s="209" t="s">
        <v>28</v>
      </c>
      <c r="H126" s="207" t="s">
        <v>33</v>
      </c>
      <c r="I126" s="207"/>
      <c r="J126" s="207" t="s">
        <v>60</v>
      </c>
      <c r="K126" s="210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8.75" hidden="false" customHeight="true" outlineLevel="0" collapsed="false">
      <c r="A127" s="294" t="s">
        <v>92</v>
      </c>
      <c r="B127" s="295" t="s">
        <v>271</v>
      </c>
      <c r="C127" s="296"/>
      <c r="D127" s="295" t="s">
        <v>272</v>
      </c>
      <c r="E127" s="297"/>
      <c r="F127" s="19"/>
      <c r="G127" s="222" t="n">
        <f aca="false">G152</f>
        <v>12</v>
      </c>
      <c r="H127" s="174" t="n">
        <f aca="false">A152</f>
        <v>0</v>
      </c>
      <c r="I127" s="223"/>
      <c r="J127" s="174" t="n">
        <f aca="false">B151</f>
        <v>0</v>
      </c>
      <c r="K127" s="210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8.75" hidden="false" customHeight="true" outlineLevel="0" collapsed="false">
      <c r="A128" s="298" t="n">
        <f aca="false">B90</f>
        <v>669.397288221057</v>
      </c>
      <c r="B128" s="296" t="n">
        <f aca="false">IF(A105="YES", B89, 0)</f>
        <v>72</v>
      </c>
      <c r="C128" s="301"/>
      <c r="D128" s="296" t="n">
        <f aca="false">B91</f>
        <v>741.397288221057</v>
      </c>
      <c r="E128" s="297"/>
      <c r="F128" s="19"/>
      <c r="G128" s="209"/>
      <c r="H128" s="207"/>
      <c r="I128" s="207"/>
      <c r="J128" s="207"/>
      <c r="K128" s="210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8.75" hidden="false" customHeight="true" outlineLevel="0" collapsed="false">
      <c r="A129" s="291"/>
      <c r="B129" s="292"/>
      <c r="C129" s="292"/>
      <c r="D129" s="292"/>
      <c r="E129" s="293"/>
      <c r="F129" s="19"/>
      <c r="G129" s="302" t="s">
        <v>273</v>
      </c>
      <c r="H129" s="303" t="s">
        <v>274</v>
      </c>
      <c r="I129" s="303"/>
      <c r="J129" s="303" t="s">
        <v>275</v>
      </c>
      <c r="K129" s="210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366"/>
    </row>
    <row r="130" customFormat="false" ht="18.75" hidden="false" customHeight="true" outlineLevel="0" collapsed="false">
      <c r="A130" s="304" t="s">
        <v>23</v>
      </c>
      <c r="B130" s="305" t="s">
        <v>277</v>
      </c>
      <c r="C130" s="306"/>
      <c r="D130" s="305" t="s">
        <v>278</v>
      </c>
      <c r="E130" s="293"/>
      <c r="F130" s="19"/>
      <c r="G130" s="307" t="n">
        <f aca="false">H90</f>
        <v>1024.59311617588</v>
      </c>
      <c r="H130" s="172" t="n">
        <f aca="false">IF(G105="YES", H89*H57, 0)</f>
        <v>72</v>
      </c>
      <c r="I130" s="172"/>
      <c r="J130" s="308" t="n">
        <f aca="false">H91</f>
        <v>1096.59311617588</v>
      </c>
      <c r="K130" s="177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366"/>
    </row>
    <row r="131" customFormat="false" ht="18.75" hidden="false" customHeight="true" outlineLevel="0" collapsed="false">
      <c r="A131" s="309" t="str">
        <f aca="false">B99</f>
        <v>Terminal pause with 9 down</v>
      </c>
      <c r="B131" s="201" t="n">
        <f aca="false">B90*B57</f>
        <v>6024.57559398951</v>
      </c>
      <c r="C131" s="292"/>
      <c r="D131" s="201" t="n">
        <f aca="false">IF(A105="YES", B89*B57, 0)</f>
        <v>648</v>
      </c>
      <c r="E131" s="293"/>
      <c r="F131" s="19"/>
      <c r="G131" s="209"/>
      <c r="H131" s="207"/>
      <c r="I131" s="207"/>
      <c r="J131" s="207"/>
      <c r="K131" s="210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366"/>
    </row>
    <row r="132" customFormat="false" ht="18.75" hidden="false" customHeight="true" outlineLevel="0" collapsed="false">
      <c r="A132" s="291"/>
      <c r="B132" s="292"/>
      <c r="C132" s="292"/>
      <c r="D132" s="292"/>
      <c r="E132" s="293"/>
      <c r="F132" s="19"/>
      <c r="G132" s="209" t="s">
        <v>279</v>
      </c>
      <c r="H132" s="207" t="s">
        <v>280</v>
      </c>
      <c r="I132" s="207"/>
      <c r="J132" s="207" t="s">
        <v>281</v>
      </c>
      <c r="K132" s="210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8.75" hidden="false" customHeight="true" outlineLevel="0" collapsed="false">
      <c r="A133" s="123" t="s">
        <v>283</v>
      </c>
      <c r="B133" s="200" t="s">
        <v>284</v>
      </c>
      <c r="C133" s="310"/>
      <c r="D133" s="240" t="s">
        <v>177</v>
      </c>
      <c r="E133" s="293"/>
      <c r="F133" s="19"/>
      <c r="G133" s="69" t="n">
        <f aca="false">H90*H57</f>
        <v>1024.59311617588</v>
      </c>
      <c r="H133" s="37" t="n">
        <f aca="false">IF(G105="YES", H89*H57, 0)</f>
        <v>72</v>
      </c>
      <c r="I133" s="215"/>
      <c r="J133" s="232" t="n">
        <f aca="false">H91*H57</f>
        <v>1096.59311617588</v>
      </c>
      <c r="K133" s="210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8.75" hidden="false" customHeight="true" outlineLevel="0" collapsed="false">
      <c r="A134" s="70" t="n">
        <f aca="false">B91*B57</f>
        <v>6672.57559398951</v>
      </c>
      <c r="B134" s="201" t="n">
        <f aca="false">E114</f>
        <v>4000</v>
      </c>
      <c r="C134" s="292"/>
      <c r="D134" s="311" t="n">
        <f aca="false">B58</f>
        <v>3</v>
      </c>
      <c r="E134" s="293"/>
      <c r="F134" s="19"/>
      <c r="G134" s="209"/>
      <c r="H134" s="207"/>
      <c r="I134" s="207"/>
      <c r="J134" s="207"/>
      <c r="K134" s="210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8.75" hidden="false" customHeight="true" outlineLevel="0" collapsed="false">
      <c r="A135" s="70"/>
      <c r="B135" s="312"/>
      <c r="C135" s="292"/>
      <c r="D135" s="292"/>
      <c r="E135" s="293"/>
      <c r="F135" s="19"/>
      <c r="G135" s="209" t="s">
        <v>285</v>
      </c>
      <c r="H135" s="207" t="s">
        <v>286</v>
      </c>
      <c r="I135" s="207"/>
      <c r="J135" s="207" t="s">
        <v>287</v>
      </c>
      <c r="K135" s="210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8.75" hidden="false" customHeight="true" outlineLevel="0" collapsed="false">
      <c r="A136" s="78" t="s">
        <v>92</v>
      </c>
      <c r="B136" s="313" t="s">
        <v>271</v>
      </c>
      <c r="C136" s="292"/>
      <c r="D136" s="292" t="s">
        <v>272</v>
      </c>
      <c r="E136" s="293"/>
      <c r="F136" s="19"/>
      <c r="G136" s="70" t="n">
        <f aca="false">E15*0.000006</f>
        <v>0</v>
      </c>
      <c r="H136" s="37" t="n">
        <f aca="false">IF(G105="YES", E15*0.000002, 0)</f>
        <v>0</v>
      </c>
      <c r="I136" s="37"/>
      <c r="J136" s="37" t="n">
        <f aca="false">G136+H136</f>
        <v>0</v>
      </c>
      <c r="K136" s="177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8.75" hidden="false" customHeight="true" outlineLevel="0" collapsed="false">
      <c r="A137" s="70" t="n">
        <f aca="false">B90</f>
        <v>669.397288221057</v>
      </c>
      <c r="B137" s="201" t="n">
        <f aca="false">IF(A105="YES", B89, 0)</f>
        <v>72</v>
      </c>
      <c r="C137" s="292"/>
      <c r="D137" s="201" t="n">
        <f aca="false">B91</f>
        <v>741.397288221057</v>
      </c>
      <c r="E137" s="293"/>
      <c r="F137" s="19"/>
      <c r="G137" s="209"/>
      <c r="H137" s="207"/>
      <c r="I137" s="207"/>
      <c r="J137" s="207"/>
      <c r="K137" s="210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8.75" hidden="false" customHeight="true" outlineLevel="0" collapsed="false">
      <c r="A138" s="291"/>
      <c r="B138" s="292"/>
      <c r="C138" s="292"/>
      <c r="D138" s="292"/>
      <c r="E138" s="293"/>
      <c r="F138" s="19"/>
      <c r="G138" s="209" t="s">
        <v>288</v>
      </c>
      <c r="H138" s="207" t="s">
        <v>289</v>
      </c>
      <c r="I138" s="207"/>
      <c r="J138" s="207" t="s">
        <v>290</v>
      </c>
      <c r="K138" s="210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8.75" hidden="false" customHeight="true" outlineLevel="0" collapsed="false">
      <c r="A139" s="314" t="s">
        <v>180</v>
      </c>
      <c r="B139" s="315" t="s">
        <v>291</v>
      </c>
      <c r="C139" s="201"/>
      <c r="D139" s="315" t="s">
        <v>182</v>
      </c>
      <c r="E139" s="177"/>
      <c r="F139" s="19"/>
      <c r="G139" s="70" t="n">
        <f aca="false">G102</f>
        <v>239.988</v>
      </c>
      <c r="H139" s="37" t="n">
        <f aca="false">H67</f>
        <v>187.025</v>
      </c>
      <c r="I139" s="37"/>
      <c r="J139" s="37" t="n">
        <f aca="false">H102*0.9</f>
        <v>1080</v>
      </c>
      <c r="K139" s="177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8.75" hidden="false" customHeight="true" outlineLevel="0" collapsed="false">
      <c r="A140" s="316" t="n">
        <f aca="false">(G18*0.000006)*1.2*100</f>
        <v>26.9316</v>
      </c>
      <c r="B140" s="317" t="n">
        <f aca="false">G18*0.000002 *1.2*100</f>
        <v>8.9772</v>
      </c>
      <c r="C140" s="292"/>
      <c r="D140" s="317" t="n">
        <f aca="false">A140+B140</f>
        <v>35.9088</v>
      </c>
      <c r="E140" s="293"/>
      <c r="F140" s="19"/>
      <c r="G140" s="209"/>
      <c r="H140" s="207"/>
      <c r="I140" s="207"/>
      <c r="J140" s="207"/>
      <c r="K140" s="210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8.75" hidden="false" customHeight="true" outlineLevel="0" collapsed="false">
      <c r="A141" s="316"/>
      <c r="B141" s="317"/>
      <c r="C141" s="292"/>
      <c r="D141" s="317"/>
      <c r="E141" s="293"/>
      <c r="F141" s="19"/>
      <c r="G141" s="209" t="s">
        <v>292</v>
      </c>
      <c r="H141" s="207" t="s">
        <v>293</v>
      </c>
      <c r="I141" s="207"/>
      <c r="J141" s="207" t="s">
        <v>294</v>
      </c>
      <c r="K141" s="210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8.75" hidden="false" customHeight="true" outlineLevel="0" collapsed="false">
      <c r="A142" s="314" t="s">
        <v>295</v>
      </c>
      <c r="B142" s="315" t="s">
        <v>152</v>
      </c>
      <c r="C142" s="201"/>
      <c r="D142" s="315" t="s">
        <v>246</v>
      </c>
      <c r="E142" s="293"/>
      <c r="F142" s="19"/>
      <c r="G142" s="70" t="n">
        <f aca="false">IF(G105="YES", H89*0.1, 0)</f>
        <v>7.2</v>
      </c>
      <c r="H142" s="37" t="n">
        <f aca="false">G102-100</f>
        <v>139.988</v>
      </c>
      <c r="I142" s="37"/>
      <c r="J142" s="37" t="n">
        <f aca="false">(H139+J139+G142+H142)-H145</f>
        <v>1414.213</v>
      </c>
      <c r="K142" s="177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8.75" hidden="false" customHeight="true" outlineLevel="0" collapsed="false">
      <c r="A143" s="70" t="n">
        <v>0</v>
      </c>
      <c r="B143" s="201" t="n">
        <f aca="false">E118</f>
        <v>239.988</v>
      </c>
      <c r="C143" s="292"/>
      <c r="D143" s="152" t="n">
        <f aca="false">B102</f>
        <v>400</v>
      </c>
      <c r="E143" s="293"/>
      <c r="F143" s="19"/>
      <c r="G143" s="209"/>
      <c r="H143" s="207"/>
      <c r="I143" s="207"/>
      <c r="J143" s="207"/>
      <c r="K143" s="210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8.75" hidden="false" customHeight="true" outlineLevel="0" collapsed="false">
      <c r="A144" s="70"/>
      <c r="B144" s="201"/>
      <c r="C144" s="292"/>
      <c r="D144" s="201"/>
      <c r="E144" s="293"/>
      <c r="F144" s="19"/>
      <c r="G144" s="209" t="s">
        <v>296</v>
      </c>
      <c r="H144" s="207" t="s">
        <v>297</v>
      </c>
      <c r="I144" s="207"/>
      <c r="J144" s="207"/>
      <c r="K144" s="210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8.75" hidden="false" customHeight="true" outlineLevel="0" collapsed="false">
      <c r="A145" s="318" t="s">
        <v>298</v>
      </c>
      <c r="B145" s="319"/>
      <c r="C145" s="320"/>
      <c r="D145" s="319"/>
      <c r="E145" s="321"/>
      <c r="F145" s="19"/>
      <c r="G145" s="70" t="n">
        <f aca="false">IF((1200-H102) &lt;= 0, 0, (1200-H102))</f>
        <v>0</v>
      </c>
      <c r="H145" s="37" t="n">
        <f aca="false">(H139+J139+G142+H142)*(G145/H64)</f>
        <v>0</v>
      </c>
      <c r="I145" s="207"/>
      <c r="J145" s="207"/>
      <c r="K145" s="210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8.75" hidden="false" customHeight="true" outlineLevel="0" collapsed="false">
      <c r="A146" s="316"/>
      <c r="B146" s="317"/>
      <c r="C146" s="292"/>
      <c r="D146" s="317"/>
      <c r="E146" s="293"/>
      <c r="F146" s="19"/>
      <c r="G146" s="209"/>
      <c r="H146" s="207"/>
      <c r="I146" s="207"/>
      <c r="J146" s="207"/>
      <c r="K146" s="210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8.75" hidden="false" customHeight="true" outlineLevel="0" collapsed="false">
      <c r="A147" s="291" t="s">
        <v>299</v>
      </c>
      <c r="B147" s="292" t="s">
        <v>300</v>
      </c>
      <c r="C147" s="292"/>
      <c r="D147" s="292" t="s">
        <v>301</v>
      </c>
      <c r="E147" s="293"/>
      <c r="F147" s="19"/>
      <c r="G147" s="209"/>
      <c r="H147" s="207"/>
      <c r="I147" s="207"/>
      <c r="J147" s="207"/>
      <c r="K147" s="210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8.75" hidden="false" customHeight="true" outlineLevel="0" collapsed="false">
      <c r="A148" s="70" t="n">
        <f aca="false">B67</f>
        <v>374.05</v>
      </c>
      <c r="B148" s="201" t="n">
        <f aca="false">B102</f>
        <v>400</v>
      </c>
      <c r="C148" s="201"/>
      <c r="D148" s="201" t="n">
        <f aca="false">IF(A105="YES", (A38/100*B105)*B125, 0)*0.001</f>
        <v>12</v>
      </c>
      <c r="E148" s="177"/>
      <c r="F148" s="19"/>
      <c r="G148" s="243" t="s">
        <v>304</v>
      </c>
      <c r="H148" s="207"/>
      <c r="I148" s="207"/>
      <c r="J148" s="244"/>
      <c r="K148" s="245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8.75" hidden="false" customHeight="true" outlineLevel="0" collapsed="false">
      <c r="A149" s="291"/>
      <c r="B149" s="292"/>
      <c r="C149" s="292"/>
      <c r="D149" s="292"/>
      <c r="E149" s="293"/>
      <c r="F149" s="19"/>
      <c r="G149" s="209"/>
      <c r="H149" s="246"/>
      <c r="I149" s="246"/>
      <c r="J149" s="207"/>
      <c r="K149" s="210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8.75" hidden="false" customHeight="true" outlineLevel="0" collapsed="false">
      <c r="A150" s="291" t="s">
        <v>305</v>
      </c>
      <c r="B150" s="292" t="s">
        <v>297</v>
      </c>
      <c r="C150" s="292"/>
      <c r="D150" s="292" t="s">
        <v>294</v>
      </c>
      <c r="E150" s="293"/>
      <c r="F150" s="19"/>
      <c r="G150" s="248" t="s">
        <v>28</v>
      </c>
      <c r="H150" s="249" t="s">
        <v>33</v>
      </c>
      <c r="I150" s="249"/>
      <c r="J150" s="207"/>
      <c r="K150" s="210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8.75" hidden="false" customHeight="true" outlineLevel="0" collapsed="false">
      <c r="A151" s="70" t="n">
        <f aca="false">(E118/1.2)-100</f>
        <v>99.99</v>
      </c>
      <c r="B151" s="201" t="n">
        <f aca="false">(A148+B148+D148+A151)*(A143/B64)</f>
        <v>0</v>
      </c>
      <c r="C151" s="201"/>
      <c r="D151" s="201" t="n">
        <f aca="false">(A148+B148+D148+A151)-B151</f>
        <v>886.04</v>
      </c>
      <c r="E151" s="177"/>
      <c r="F151" s="19"/>
      <c r="G151" s="248"/>
      <c r="H151" s="250" t="n">
        <f aca="false">B51</f>
        <v>5000</v>
      </c>
      <c r="I151" s="250"/>
      <c r="J151" s="207"/>
      <c r="K151" s="210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8.75" hidden="false" customHeight="true" outlineLevel="0" collapsed="false">
      <c r="A152" s="291"/>
      <c r="B152" s="292"/>
      <c r="C152" s="292"/>
      <c r="D152" s="292"/>
      <c r="E152" s="293"/>
      <c r="F152" s="19"/>
      <c r="G152" s="251" t="n">
        <f aca="false">A52</f>
        <v>12</v>
      </c>
      <c r="H152" s="92" t="n">
        <f aca="false">H91</f>
        <v>1096.59311617588</v>
      </c>
      <c r="I152" s="92"/>
      <c r="J152" s="207"/>
      <c r="K152" s="210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8.75" hidden="false" customHeight="true" outlineLevel="0" collapsed="false">
      <c r="A153" s="291" t="s">
        <v>306</v>
      </c>
      <c r="B153" s="292"/>
      <c r="C153" s="292"/>
      <c r="D153" s="292"/>
      <c r="E153" s="293"/>
      <c r="F153" s="19"/>
      <c r="G153" s="209"/>
      <c r="H153" s="207"/>
      <c r="I153" s="207"/>
      <c r="J153" s="207"/>
      <c r="K153" s="210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9.5" hidden="false" customHeight="true" outlineLevel="0" collapsed="false">
      <c r="A154" s="70" t="n">
        <f aca="false">D102</f>
        <v>200</v>
      </c>
      <c r="B154" s="201"/>
      <c r="C154" s="292"/>
      <c r="D154" s="292"/>
      <c r="E154" s="293"/>
      <c r="F154" s="19"/>
      <c r="G154" s="209"/>
      <c r="H154" s="207"/>
      <c r="I154" s="207"/>
      <c r="J154" s="207"/>
      <c r="K154" s="210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8.75" hidden="false" customHeight="true" outlineLevel="0" collapsed="false">
      <c r="A155" s="291"/>
      <c r="B155" s="292"/>
      <c r="C155" s="292"/>
      <c r="D155" s="292"/>
      <c r="E155" s="293"/>
      <c r="F155" s="19"/>
      <c r="G155" s="209"/>
      <c r="H155" s="207"/>
      <c r="I155" s="207"/>
      <c r="J155" s="207"/>
      <c r="K155" s="210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8.75" hidden="false" customHeight="true" outlineLevel="0" collapsed="false">
      <c r="A156" s="291"/>
      <c r="B156" s="292"/>
      <c r="C156" s="292"/>
      <c r="D156" s="292"/>
      <c r="E156" s="293"/>
      <c r="F156" s="19"/>
      <c r="G156" s="209"/>
      <c r="H156" s="207"/>
      <c r="I156" s="207"/>
      <c r="J156" s="207"/>
      <c r="K156" s="210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8.75" hidden="false" customHeight="true" outlineLevel="0" collapsed="false">
      <c r="A157" s="324" t="s">
        <v>304</v>
      </c>
      <c r="B157" s="292"/>
      <c r="C157" s="292"/>
      <c r="D157" s="325"/>
      <c r="E157" s="326"/>
      <c r="F157" s="19"/>
      <c r="G157" s="252"/>
      <c r="H157" s="253"/>
      <c r="I157" s="253"/>
      <c r="J157" s="253"/>
      <c r="K157" s="254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8.75" hidden="false" customHeight="true" outlineLevel="0" collapsed="false">
      <c r="A158" s="291"/>
      <c r="B158" s="327"/>
      <c r="C158" s="327"/>
      <c r="D158" s="292"/>
      <c r="E158" s="293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8.75" hidden="false" customHeight="true" outlineLevel="0" collapsed="false">
      <c r="A159" s="248" t="s">
        <v>28</v>
      </c>
      <c r="B159" s="249" t="s">
        <v>33</v>
      </c>
      <c r="C159" s="249"/>
      <c r="D159" s="292"/>
      <c r="E159" s="293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8.75" hidden="false" customHeight="true" outlineLevel="0" collapsed="false">
      <c r="A160" s="248"/>
      <c r="B160" s="250" t="n">
        <f aca="false">B51</f>
        <v>5000</v>
      </c>
      <c r="C160" s="250"/>
      <c r="D160" s="292"/>
      <c r="E160" s="293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8.75" hidden="false" customHeight="true" outlineLevel="0" collapsed="false">
      <c r="A161" s="251" t="n">
        <f aca="false">A52</f>
        <v>12</v>
      </c>
      <c r="B161" s="92" t="n">
        <f aca="false">B91</f>
        <v>741.397288221057</v>
      </c>
      <c r="C161" s="92"/>
      <c r="D161" s="292"/>
      <c r="E161" s="293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8.75" hidden="false" customHeight="true" outlineLevel="0" collapsed="false">
      <c r="A162" s="291"/>
      <c r="B162" s="292"/>
      <c r="C162" s="292"/>
      <c r="D162" s="292"/>
      <c r="E162" s="293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8.75" hidden="false" customHeight="true" outlineLevel="0" collapsed="false">
      <c r="A163" s="291"/>
      <c r="B163" s="292"/>
      <c r="C163" s="292"/>
      <c r="D163" s="292"/>
      <c r="E163" s="293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8.75" hidden="false" customHeight="true" outlineLevel="0" collapsed="false">
      <c r="A164" s="291"/>
      <c r="B164" s="292"/>
      <c r="C164" s="292"/>
      <c r="D164" s="292"/>
      <c r="E164" s="293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8.75" hidden="false" customHeight="true" outlineLevel="0" collapsed="false">
      <c r="A165" s="328" t="s">
        <v>270</v>
      </c>
      <c r="B165" s="328"/>
      <c r="C165" s="328"/>
      <c r="D165" s="328"/>
      <c r="E165" s="328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8.75" hidden="false" customHeight="true" outlineLevel="0" collapsed="false">
      <c r="A166" s="291"/>
      <c r="B166" s="329"/>
      <c r="C166" s="329"/>
      <c r="D166" s="329"/>
      <c r="E166" s="293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8.75" hidden="false" customHeight="true" outlineLevel="0" collapsed="false">
      <c r="A167" s="294" t="s">
        <v>98</v>
      </c>
      <c r="B167" s="330" t="s">
        <v>174</v>
      </c>
      <c r="C167" s="331"/>
      <c r="D167" s="330" t="s">
        <v>33</v>
      </c>
      <c r="E167" s="297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8.75" hidden="false" customHeight="true" outlineLevel="0" collapsed="false">
      <c r="A168" s="298" t="s">
        <v>254</v>
      </c>
      <c r="B168" s="332" t="n">
        <f aca="false">A161</f>
        <v>12</v>
      </c>
      <c r="C168" s="333"/>
      <c r="D168" s="331" t="n">
        <f aca="false">B160</f>
        <v>5000</v>
      </c>
      <c r="E168" s="297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8.75" hidden="false" customHeight="true" outlineLevel="0" collapsed="false">
      <c r="A169" s="294"/>
      <c r="B169" s="330"/>
      <c r="C169" s="330"/>
      <c r="D169" s="330"/>
      <c r="E169" s="297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8.75" hidden="false" customHeight="true" outlineLevel="0" collapsed="false">
      <c r="A170" s="294" t="s">
        <v>92</v>
      </c>
      <c r="B170" s="330" t="s">
        <v>271</v>
      </c>
      <c r="C170" s="331"/>
      <c r="D170" s="330" t="s">
        <v>272</v>
      </c>
      <c r="E170" s="297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8.75" hidden="false" customHeight="true" outlineLevel="0" collapsed="false">
      <c r="A171" s="298" t="n">
        <f aca="false">B90</f>
        <v>669.397288221057</v>
      </c>
      <c r="B171" s="331" t="n">
        <f aca="false">IF(A105="YES", B89, 0)</f>
        <v>72</v>
      </c>
      <c r="C171" s="334"/>
      <c r="D171" s="331" t="n">
        <f aca="false">B91</f>
        <v>741.397288221057</v>
      </c>
      <c r="E171" s="297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8.75" hidden="false" customHeight="true" outlineLevel="0" collapsed="false">
      <c r="A172" s="291"/>
      <c r="B172" s="329"/>
      <c r="C172" s="329"/>
      <c r="D172" s="329"/>
      <c r="E172" s="293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8.75" hidden="false" customHeight="true" outlineLevel="0" collapsed="false">
      <c r="A173" s="304" t="s">
        <v>23</v>
      </c>
      <c r="B173" s="335" t="s">
        <v>277</v>
      </c>
      <c r="C173" s="223"/>
      <c r="D173" s="335" t="s">
        <v>278</v>
      </c>
      <c r="E173" s="293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8.75" hidden="false" customHeight="true" outlineLevel="0" collapsed="false">
      <c r="A174" s="309" t="str">
        <f aca="false">B99</f>
        <v>Terminal pause with 9 down</v>
      </c>
      <c r="B174" s="37" t="n">
        <f aca="false">B90*B57</f>
        <v>6024.57559398951</v>
      </c>
      <c r="C174" s="329"/>
      <c r="D174" s="37" t="n">
        <f aca="false">IF(A105="YES", B89*B57, 0)</f>
        <v>648</v>
      </c>
      <c r="E174" s="293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8.75" hidden="false" customHeight="true" outlineLevel="0" collapsed="false">
      <c r="A175" s="291"/>
      <c r="B175" s="329"/>
      <c r="C175" s="329"/>
      <c r="D175" s="329"/>
      <c r="E175" s="293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8.75" hidden="false" customHeight="true" outlineLevel="0" collapsed="false">
      <c r="A176" s="123" t="s">
        <v>283</v>
      </c>
      <c r="B176" s="38" t="s">
        <v>284</v>
      </c>
      <c r="C176" s="336"/>
      <c r="D176" s="233" t="s">
        <v>177</v>
      </c>
      <c r="E176" s="293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8.75" hidden="false" customHeight="true" outlineLevel="0" collapsed="false">
      <c r="A177" s="70" t="n">
        <f aca="false">B91*B57</f>
        <v>6672.57559398951</v>
      </c>
      <c r="B177" s="37" t="n">
        <f aca="false">E114</f>
        <v>4000</v>
      </c>
      <c r="C177" s="329"/>
      <c r="D177" s="337" t="n">
        <f aca="false">B58</f>
        <v>3</v>
      </c>
      <c r="E177" s="293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8.75" hidden="false" customHeight="true" outlineLevel="0" collapsed="false">
      <c r="A178" s="70"/>
      <c r="B178" s="338"/>
      <c r="C178" s="329"/>
      <c r="D178" s="329"/>
      <c r="E178" s="293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8.75" hidden="false" customHeight="true" outlineLevel="0" collapsed="false">
      <c r="A179" s="78" t="s">
        <v>92</v>
      </c>
      <c r="B179" s="339" t="s">
        <v>271</v>
      </c>
      <c r="C179" s="329"/>
      <c r="D179" s="329" t="s">
        <v>272</v>
      </c>
      <c r="E179" s="293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8.75" hidden="false" customHeight="true" outlineLevel="0" collapsed="false">
      <c r="A180" s="70" t="n">
        <f aca="false">B90</f>
        <v>669.397288221057</v>
      </c>
      <c r="B180" s="37" t="n">
        <f aca="false">IF(A105="YES", B89, 0)</f>
        <v>72</v>
      </c>
      <c r="C180" s="329"/>
      <c r="D180" s="37" t="n">
        <f aca="false">B91</f>
        <v>741.397288221057</v>
      </c>
      <c r="E180" s="293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8.75" hidden="false" customHeight="true" outlineLevel="0" collapsed="false">
      <c r="A181" s="291"/>
      <c r="B181" s="329"/>
      <c r="C181" s="329"/>
      <c r="D181" s="329"/>
      <c r="E181" s="293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8.75" hidden="false" customHeight="true" outlineLevel="0" collapsed="false">
      <c r="A182" s="314" t="s">
        <v>180</v>
      </c>
      <c r="B182" s="340" t="s">
        <v>291</v>
      </c>
      <c r="C182" s="37"/>
      <c r="D182" s="340" t="s">
        <v>182</v>
      </c>
      <c r="E182" s="177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8.75" hidden="false" customHeight="true" outlineLevel="0" collapsed="false">
      <c r="A183" s="316" t="n">
        <f aca="false">(G18*0.000006)*1.2*100</f>
        <v>26.9316</v>
      </c>
      <c r="B183" s="341" t="n">
        <f aca="false">G18*0.000002 *1.2*100</f>
        <v>8.9772</v>
      </c>
      <c r="C183" s="329"/>
      <c r="D183" s="341" t="n">
        <f aca="false">A183+B183</f>
        <v>35.9088</v>
      </c>
      <c r="E183" s="293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8.75" hidden="false" customHeight="true" outlineLevel="0" collapsed="false">
      <c r="A184" s="316"/>
      <c r="B184" s="341"/>
      <c r="C184" s="329"/>
      <c r="D184" s="341"/>
      <c r="E184" s="293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8.75" hidden="false" customHeight="true" outlineLevel="0" collapsed="false">
      <c r="A185" s="314" t="s">
        <v>295</v>
      </c>
      <c r="B185" s="340" t="s">
        <v>152</v>
      </c>
      <c r="C185" s="37"/>
      <c r="D185" s="340" t="s">
        <v>246</v>
      </c>
      <c r="E185" s="293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8.75" hidden="false" customHeight="true" outlineLevel="0" collapsed="false">
      <c r="A186" s="70" t="n">
        <v>0</v>
      </c>
      <c r="B186" s="37" t="n">
        <f aca="false">E118</f>
        <v>239.988</v>
      </c>
      <c r="C186" s="329"/>
      <c r="D186" s="152" t="n">
        <f aca="false">B102</f>
        <v>400</v>
      </c>
      <c r="E186" s="293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8.75" hidden="false" customHeight="true" outlineLevel="0" collapsed="false">
      <c r="A187" s="70"/>
      <c r="B187" s="37"/>
      <c r="C187" s="329"/>
      <c r="D187" s="37"/>
      <c r="E187" s="293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8.75" hidden="false" customHeight="true" outlineLevel="0" collapsed="false">
      <c r="A188" s="318" t="s">
        <v>298</v>
      </c>
      <c r="B188" s="319"/>
      <c r="C188" s="320"/>
      <c r="D188" s="319"/>
      <c r="E188" s="321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8.75" hidden="false" customHeight="true" outlineLevel="0" collapsed="false">
      <c r="A189" s="316"/>
      <c r="B189" s="341"/>
      <c r="C189" s="329"/>
      <c r="D189" s="341"/>
      <c r="E189" s="293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8.75" hidden="false" customHeight="true" outlineLevel="0" collapsed="false">
      <c r="A190" s="291" t="s">
        <v>299</v>
      </c>
      <c r="B190" s="329" t="s">
        <v>300</v>
      </c>
      <c r="C190" s="329"/>
      <c r="D190" s="329" t="s">
        <v>301</v>
      </c>
      <c r="E190" s="293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8.75" hidden="false" customHeight="true" outlineLevel="0" collapsed="false">
      <c r="A191" s="70" t="n">
        <f aca="false">B67</f>
        <v>374.05</v>
      </c>
      <c r="B191" s="37" t="n">
        <f aca="false">B102</f>
        <v>400</v>
      </c>
      <c r="C191" s="37"/>
      <c r="D191" s="37" t="n">
        <f aca="false">IF(A105="YES", (A38/100*B105)*B125, 0)*0.001</f>
        <v>12</v>
      </c>
      <c r="E191" s="177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8.75" hidden="false" customHeight="true" outlineLevel="0" collapsed="false">
      <c r="A192" s="291"/>
      <c r="B192" s="329"/>
      <c r="C192" s="329"/>
      <c r="D192" s="329"/>
      <c r="E192" s="293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8.75" hidden="false" customHeight="true" outlineLevel="0" collapsed="false">
      <c r="A193" s="291" t="s">
        <v>305</v>
      </c>
      <c r="B193" s="329" t="s">
        <v>297</v>
      </c>
      <c r="C193" s="329"/>
      <c r="D193" s="329" t="s">
        <v>294</v>
      </c>
      <c r="E193" s="293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8.75" hidden="false" customHeight="true" outlineLevel="0" collapsed="false">
      <c r="A194" s="70" t="n">
        <f aca="false">(E118/1.2)-100</f>
        <v>99.99</v>
      </c>
      <c r="B194" s="37" t="n">
        <f aca="false">(A148+B148+D148+A151)*(A143/B64)</f>
        <v>0</v>
      </c>
      <c r="C194" s="37"/>
      <c r="D194" s="37" t="n">
        <f aca="false">(A148+B148+D148+A151)-B151</f>
        <v>886.04</v>
      </c>
      <c r="E194" s="177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8.75" hidden="false" customHeight="true" outlineLevel="0" collapsed="false">
      <c r="A195" s="291"/>
      <c r="B195" s="329"/>
      <c r="C195" s="329"/>
      <c r="D195" s="329"/>
      <c r="E195" s="293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8.75" hidden="false" customHeight="true" outlineLevel="0" collapsed="false">
      <c r="A196" s="291" t="s">
        <v>306</v>
      </c>
      <c r="B196" s="329"/>
      <c r="C196" s="329"/>
      <c r="D196" s="329"/>
      <c r="E196" s="293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8.75" hidden="false" customHeight="true" outlineLevel="0" collapsed="false">
      <c r="A197" s="70" t="n">
        <f aca="false">D102</f>
        <v>200</v>
      </c>
      <c r="B197" s="37"/>
      <c r="C197" s="329"/>
      <c r="D197" s="329"/>
      <c r="E197" s="293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8.75" hidden="false" customHeight="true" outlineLevel="0" collapsed="false">
      <c r="A198" s="342"/>
      <c r="B198" s="343"/>
      <c r="C198" s="343"/>
      <c r="D198" s="343"/>
      <c r="E198" s="344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8.75" hidden="false" customHeight="true" outlineLevel="0" collapsed="false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8.75" hidden="false" customHeight="true" outlineLevel="0" collapsed="false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8.75" hidden="false" customHeight="true" outlineLevel="0" collapsed="false">
      <c r="A201" s="328" t="s">
        <v>185</v>
      </c>
      <c r="B201" s="328"/>
      <c r="C201" s="328"/>
      <c r="D201" s="328"/>
      <c r="E201" s="328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8.75" hidden="false" customHeight="true" outlineLevel="0" collapsed="false">
      <c r="A202" s="291"/>
      <c r="B202" s="292"/>
      <c r="C202" s="292"/>
      <c r="D202" s="292"/>
      <c r="E202" s="293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8.75" hidden="false" customHeight="true" outlineLevel="0" collapsed="false">
      <c r="A203" s="294" t="s">
        <v>186</v>
      </c>
      <c r="B203" s="345" t="n">
        <f aca="false">B209</f>
        <v>0.065</v>
      </c>
      <c r="C203" s="296" t="s">
        <v>188</v>
      </c>
      <c r="D203" s="346" t="n">
        <f aca="false">D64</f>
        <v>2618.35</v>
      </c>
      <c r="E203" s="297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8.75" hidden="false" customHeight="true" outlineLevel="0" collapsed="false">
      <c r="A204" s="298"/>
      <c r="B204" s="299"/>
      <c r="C204" s="300"/>
      <c r="D204" s="299"/>
      <c r="E204" s="297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8.75" hidden="false" customHeight="true" outlineLevel="0" collapsed="false">
      <c r="A205" s="294" t="s">
        <v>189</v>
      </c>
      <c r="B205" s="296" t="n">
        <f aca="false">B213</f>
        <v>374.05</v>
      </c>
      <c r="C205" s="295" t="s">
        <v>190</v>
      </c>
      <c r="D205" s="346" t="n">
        <f aca="false">B219+E215+B215+B217</f>
        <v>459.99</v>
      </c>
      <c r="E205" s="297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8.75" hidden="false" customHeight="true" outlineLevel="0" collapsed="false">
      <c r="A206" s="294"/>
      <c r="B206" s="347"/>
      <c r="C206" s="296"/>
      <c r="D206" s="295"/>
      <c r="E206" s="297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8.75" hidden="false" customHeight="true" outlineLevel="0" collapsed="false">
      <c r="A207" s="298" t="s">
        <v>191</v>
      </c>
      <c r="B207" s="296" t="n">
        <f aca="false">E217</f>
        <v>2704.29</v>
      </c>
      <c r="C207" s="300"/>
      <c r="D207" s="296"/>
      <c r="E207" s="297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8.75" hidden="false" customHeight="true" outlineLevel="0" collapsed="false">
      <c r="A208" s="291"/>
      <c r="B208" s="313"/>
      <c r="C208" s="292"/>
      <c r="D208" s="292"/>
      <c r="E208" s="293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8.75" hidden="false" customHeight="true" outlineLevel="0" collapsed="false">
      <c r="A209" s="222" t="s">
        <v>186</v>
      </c>
      <c r="B209" s="348" t="n">
        <v>0.065</v>
      </c>
      <c r="C209" s="306"/>
      <c r="D209" s="305"/>
      <c r="E209" s="293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8.75" hidden="false" customHeight="true" outlineLevel="0" collapsed="false">
      <c r="A210" s="349"/>
      <c r="B210" s="200"/>
      <c r="C210" s="292"/>
      <c r="D210" s="201"/>
      <c r="E210" s="293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8.75" hidden="false" customHeight="true" outlineLevel="0" collapsed="false">
      <c r="A211" s="350" t="s">
        <v>188</v>
      </c>
      <c r="B211" s="60" t="n">
        <f aca="false">D64</f>
        <v>2618.35</v>
      </c>
      <c r="C211" s="351" t="s">
        <v>194</v>
      </c>
      <c r="D211" s="292"/>
      <c r="E211" s="352" t="n">
        <f aca="false">B66</f>
        <v>0.01</v>
      </c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8.75" hidden="false" customHeight="true" outlineLevel="0" collapsed="false">
      <c r="A212" s="69"/>
      <c r="B212" s="200"/>
      <c r="C212" s="310"/>
      <c r="D212" s="240"/>
      <c r="E212" s="293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8.75" hidden="false" customHeight="true" outlineLevel="0" collapsed="false">
      <c r="A213" s="70" t="s">
        <v>194</v>
      </c>
      <c r="B213" s="60" t="n">
        <f aca="false">B67</f>
        <v>374.05</v>
      </c>
      <c r="C213" s="310" t="s">
        <v>307</v>
      </c>
      <c r="D213" s="353"/>
      <c r="E213" s="103" t="n">
        <v>0.001</v>
      </c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8.75" hidden="false" customHeight="true" outlineLevel="0" collapsed="false">
      <c r="A214" s="70"/>
      <c r="B214" s="313"/>
      <c r="C214" s="310"/>
      <c r="D214" s="292"/>
      <c r="E214" s="293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8.75" hidden="false" customHeight="true" outlineLevel="0" collapsed="false">
      <c r="A215" s="70" t="s">
        <v>307</v>
      </c>
      <c r="B215" s="233" t="n">
        <f aca="false">B191*E213*100</f>
        <v>40</v>
      </c>
      <c r="C215" s="310" t="s">
        <v>196</v>
      </c>
      <c r="D215" s="292"/>
      <c r="E215" s="20" t="n">
        <f aca="false">A194</f>
        <v>99.99</v>
      </c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8.75" hidden="false" customHeight="true" outlineLevel="0" collapsed="false">
      <c r="A216" s="70"/>
      <c r="B216" s="200"/>
      <c r="C216" s="310"/>
      <c r="D216" s="201"/>
      <c r="E216" s="293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8.75" hidden="false" customHeight="true" outlineLevel="0" collapsed="false">
      <c r="A217" s="350" t="s">
        <v>308</v>
      </c>
      <c r="B217" s="233" t="n">
        <f aca="false">B78-(B78*(E213*100))</f>
        <v>200</v>
      </c>
      <c r="C217" s="310" t="s">
        <v>191</v>
      </c>
      <c r="D217" s="292"/>
      <c r="E217" s="20" t="n">
        <f aca="false">(B211-B205+D205)</f>
        <v>2704.29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8.75" hidden="false" customHeight="true" outlineLevel="0" collapsed="false">
      <c r="A218" s="354"/>
      <c r="B218" s="315"/>
      <c r="C218" s="201"/>
      <c r="D218" s="315"/>
      <c r="E218" s="163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8.75" hidden="false" customHeight="true" outlineLevel="0" collapsed="false">
      <c r="A219" s="354" t="s">
        <v>309</v>
      </c>
      <c r="B219" s="315" t="n">
        <f aca="false">D191/0.1</f>
        <v>120</v>
      </c>
      <c r="C219" s="201"/>
      <c r="D219" s="315"/>
      <c r="E219" s="163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8.75" hidden="false" customHeight="true" outlineLevel="0" collapsed="false">
      <c r="A220" s="354"/>
      <c r="B220" s="315"/>
      <c r="C220" s="201"/>
      <c r="D220" s="315"/>
      <c r="E220" s="163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8.75" hidden="false" customHeight="true" outlineLevel="0" collapsed="false">
      <c r="A221" s="318" t="s">
        <v>310</v>
      </c>
      <c r="B221" s="355"/>
      <c r="C221" s="320"/>
      <c r="D221" s="319"/>
      <c r="E221" s="321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18.75" hidden="false" customHeight="true" outlineLevel="0" collapsed="false">
      <c r="A222" s="316"/>
      <c r="B222" s="356"/>
      <c r="C222" s="292"/>
      <c r="D222" s="317"/>
      <c r="E222" s="293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18.75" hidden="false" customHeight="true" outlineLevel="0" collapsed="false">
      <c r="A223" s="316" t="s">
        <v>198</v>
      </c>
      <c r="B223" s="60" t="n">
        <f aca="false">B71</f>
        <v>200</v>
      </c>
      <c r="C223" s="310" t="s">
        <v>199</v>
      </c>
      <c r="D223" s="317"/>
      <c r="E223" s="150" t="n">
        <f aca="false">B72</f>
        <v>5</v>
      </c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18.75" hidden="false" customHeight="true" outlineLevel="0" collapsed="false">
      <c r="A224" s="316"/>
      <c r="B224" s="356"/>
      <c r="C224" s="310" t="s">
        <v>200</v>
      </c>
      <c r="D224" s="317"/>
      <c r="E224" s="20" t="n">
        <f aca="false">D73</f>
        <v>260</v>
      </c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18.75" hidden="false" customHeight="true" outlineLevel="0" collapsed="false">
      <c r="A225" s="316" t="s">
        <v>201</v>
      </c>
      <c r="B225" s="357" t="n">
        <f aca="false">B68</f>
        <v>0.0075</v>
      </c>
      <c r="C225" s="310" t="s">
        <v>202</v>
      </c>
      <c r="D225" s="317"/>
      <c r="E225" s="352" t="n">
        <f aca="false">B69</f>
        <v>0.12</v>
      </c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18.75" hidden="false" customHeight="true" outlineLevel="0" collapsed="false">
      <c r="A226" s="316"/>
      <c r="B226" s="356"/>
      <c r="C226" s="310" t="s">
        <v>203</v>
      </c>
      <c r="D226" s="317"/>
      <c r="E226" s="20" t="n">
        <f aca="false">B86</f>
        <v>84.3474586526826</v>
      </c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customFormat="false" ht="18.75" hidden="false" customHeight="true" outlineLevel="0" collapsed="false">
      <c r="A227" s="316" t="s">
        <v>204</v>
      </c>
      <c r="B227" s="60" t="n">
        <f aca="false">B79</f>
        <v>200</v>
      </c>
      <c r="C227" s="358" t="s">
        <v>311</v>
      </c>
      <c r="D227" s="359"/>
      <c r="E227" s="150" t="n">
        <f aca="false">B74</f>
        <v>0</v>
      </c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18.75" hidden="false" customHeight="true" outlineLevel="0" collapsed="false">
      <c r="A228" s="350"/>
      <c r="B228" s="313"/>
      <c r="C228" s="358"/>
      <c r="D228" s="360"/>
      <c r="E228" s="361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18.75" hidden="false" customHeight="true" outlineLevel="0" collapsed="false">
      <c r="A229" s="70" t="s">
        <v>205</v>
      </c>
      <c r="B229" s="60" t="n">
        <f aca="false">B80</f>
        <v>200</v>
      </c>
      <c r="C229" s="362" t="s">
        <v>312</v>
      </c>
      <c r="D229" s="362"/>
      <c r="E229" s="150" t="n">
        <f aca="false">B75</f>
        <v>0</v>
      </c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18.75" hidden="false" customHeight="true" outlineLevel="0" collapsed="false">
      <c r="A230" s="291"/>
      <c r="B230" s="292"/>
      <c r="C230" s="292"/>
      <c r="D230" s="292"/>
      <c r="E230" s="293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18.75" hidden="false" customHeight="true" outlineLevel="0" collapsed="false">
      <c r="A231" s="291"/>
      <c r="B231" s="292"/>
      <c r="C231" s="292"/>
      <c r="D231" s="292"/>
      <c r="E231" s="293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8.75" hidden="false" customHeight="true" outlineLevel="0" collapsed="false">
      <c r="A232" s="70"/>
      <c r="B232" s="201"/>
      <c r="C232" s="201"/>
      <c r="D232" s="201"/>
      <c r="E232" s="177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18.75" hidden="false" customHeight="true" outlineLevel="0" collapsed="false">
      <c r="A233" s="291"/>
      <c r="B233" s="292"/>
      <c r="C233" s="292"/>
      <c r="D233" s="292"/>
      <c r="E233" s="293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18.75" hidden="false" customHeight="true" outlineLevel="0" collapsed="false">
      <c r="A234" s="291"/>
      <c r="B234" s="292"/>
      <c r="C234" s="292"/>
      <c r="D234" s="292"/>
      <c r="E234" s="293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18.75" hidden="false" customHeight="true" outlineLevel="0" collapsed="false">
      <c r="A235" s="70"/>
      <c r="B235" s="201"/>
      <c r="C235" s="292"/>
      <c r="D235" s="292"/>
      <c r="E235" s="293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18.75" hidden="false" customHeight="true" outlineLevel="0" collapsed="false">
      <c r="A236" s="342"/>
      <c r="B236" s="343"/>
      <c r="C236" s="343"/>
      <c r="D236" s="343"/>
      <c r="E236" s="344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18.75" hidden="false" customHeight="true" outlineLevel="0" collapsed="false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18.75" hidden="false" customHeight="true" outlineLevel="0" collapsed="false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18.75" hidden="false" customHeight="true" outlineLevel="0" collapsed="false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18.75" hidden="false" customHeight="true" outlineLevel="0" collapsed="false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18.75" hidden="false" customHeight="true" outlineLevel="0" collapsed="false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18.75" hidden="false" customHeight="true" outlineLevel="0" collapsed="false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18.75" hidden="false" customHeight="tru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18.75" hidden="false" customHeight="tru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18.75" hidden="false" customHeight="tru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18.75" hidden="false" customHeight="tru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18.75" hidden="false" customHeight="tru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18.75" hidden="false" customHeight="tru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18.75" hidden="false" customHeight="tru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18.75" hidden="false" customHeight="tru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18.75" hidden="false" customHeight="tru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18.75" hidden="false" customHeight="tru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18.75" hidden="false" customHeight="tru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18.75" hidden="false" customHeight="tru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18.75" hidden="false" customHeight="tru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18.75" hidden="false" customHeight="tru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18.75" hidden="false" customHeight="tru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18.75" hidden="false" customHeight="tru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18.75" hidden="false" customHeight="tru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18.75" hidden="false" customHeight="tru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18.75" hidden="false" customHeight="tru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18.75" hidden="false" customHeight="tru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18.75" hidden="false" customHeight="tru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18.75" hidden="false" customHeight="tru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18.75" hidden="false" customHeight="tru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18.75" hidden="false" customHeight="tru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18.75" hidden="false" customHeight="tru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18.75" hidden="false" customHeight="tru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18.75" hidden="false" customHeight="tru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18.75" hidden="false" customHeight="tru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18.75" hidden="false" customHeight="tru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18.75" hidden="false" customHeight="tru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18.75" hidden="false" customHeight="tru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18.75" hidden="false" customHeight="tru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18.75" hidden="false" customHeight="tru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18.75" hidden="false" customHeight="tru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18.75" hidden="false" customHeight="tru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18.75" hidden="false" customHeight="tru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18.75" hidden="false" customHeight="tru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18.75" hidden="false" customHeight="tru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18.75" hidden="false" customHeight="tru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18.75" hidden="false" customHeight="tru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18.75" hidden="false" customHeight="tru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18.75" hidden="false" customHeight="tru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18.75" hidden="false" customHeight="tru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18.75" hidden="false" customHeight="tru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18.75" hidden="false" customHeight="tru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18.75" hidden="false" customHeight="tru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18.75" hidden="false" customHeight="tru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18.75" hidden="false" customHeight="tru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18.75" hidden="false" customHeight="tru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18.75" hidden="false" customHeight="tru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18.75" hidden="false" customHeight="tru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18.75" hidden="false" customHeight="tru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18.75" hidden="false" customHeight="tru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18.75" hidden="false" customHeight="tru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18.75" hidden="false" customHeight="tru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18.75" hidden="false" customHeight="tru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18.75" hidden="false" customHeight="tru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18.75" hidden="false" customHeight="tru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18.75" hidden="false" customHeight="tru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18.75" hidden="false" customHeight="tru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18.75" hidden="false" customHeight="tru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18.75" hidden="false" customHeight="tru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18.75" hidden="false" customHeight="tru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18.75" hidden="false" customHeight="tru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18.75" hidden="false" customHeight="tru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18.75" hidden="false" customHeight="tru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18.75" hidden="false" customHeight="tru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18.75" hidden="false" customHeight="tru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18.75" hidden="false" customHeight="tru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18.75" hidden="false" customHeight="tru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18.75" hidden="false" customHeight="tru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18.75" hidden="false" customHeight="tru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18.75" hidden="false" customHeight="tru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18.75" hidden="false" customHeight="tru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18.75" hidden="false" customHeight="tru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18.75" hidden="false" customHeight="tru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18.75" hidden="false" customHeight="tru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18.75" hidden="false" customHeight="tru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18.75" hidden="false" customHeight="tru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18.75" hidden="false" customHeight="tru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18.75" hidden="false" customHeight="tru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18.75" hidden="false" customHeight="tru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18.75" hidden="false" customHeight="tru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18.75" hidden="false" customHeight="tru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18.75" hidden="false" customHeight="tru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18.75" hidden="false" customHeight="tru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18.75" hidden="false" customHeight="tru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18.75" hidden="false" customHeight="tru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18.75" hidden="false" customHeight="tru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18.75" hidden="false" customHeight="tru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18.75" hidden="false" customHeight="tru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18.75" hidden="false" customHeight="tru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18.75" hidden="false" customHeight="tru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18.75" hidden="false" customHeight="tru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18.75" hidden="false" customHeight="tru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18.75" hidden="false" customHeight="tru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18.75" hidden="false" customHeight="tru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18.75" hidden="false" customHeight="tru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18.75" hidden="false" customHeight="tru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18.75" hidden="false" customHeight="tru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18.75" hidden="false" customHeight="tru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18.75" hidden="false" customHeight="tru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18.75" hidden="false" customHeight="tru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18.75" hidden="false" customHeight="tru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18.75" hidden="false" customHeight="tru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18.75" hidden="false" customHeight="tru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18.75" hidden="false" customHeight="tru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18.75" hidden="false" customHeight="tru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18.75" hidden="false" customHeight="tru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18.75" hidden="false" customHeight="tru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6">
    <mergeCell ref="A1:F1"/>
    <mergeCell ref="D7:E18"/>
    <mergeCell ref="A16:C18"/>
    <mergeCell ref="A19:D19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8">
    <dataValidation allowBlank="true" operator="between" showDropDown="false" showErrorMessage="true" showInputMessage="false" sqref="H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N99:O99" type="list">
      <formula1>#ref!</formula1>
      <formula2>0</formula2>
    </dataValidation>
    <dataValidation allowBlank="true" operator="between" showDropDown="false" showErrorMessage="true" showInputMessage="false" sqref="B110" type="list">
      <formula1>"NO,YES"</formula1>
      <formula2>0</formula2>
    </dataValidation>
    <dataValidation allowBlank="true" operator="between" showDropDown="false" showErrorMessage="true" showInputMessage="false" sqref="A105" type="list">
      <formula1>"NO,YES"</formula1>
      <formula2>0</formula2>
    </dataValidation>
    <dataValidation allowBlank="true" operator="between" showDropDown="false" showErrorMessage="true" showInputMessage="false" sqref="B38" type="list">
      <formula1>"NO,YES"</formula1>
      <formula2>0</formula2>
    </dataValidation>
    <dataValidation allowBlank="true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25" colorId="64" zoomScale="75" zoomScaleNormal="75" zoomScalePageLayoutView="100" workbookViewId="0">
      <selection pane="topLeft" activeCell="B64" activeCellId="0" sqref="B64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7.8" hidden="false" customHeight="true" outlineLevel="0" collapsed="false">
      <c r="A1" s="3" t="s">
        <v>0</v>
      </c>
      <c r="B1" s="3"/>
      <c r="C1" s="3"/>
      <c r="D1" s="3"/>
      <c r="E1" s="3"/>
      <c r="F1" s="3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8.75" hidden="false" customHeight="true" outlineLevel="0" collapsed="false">
      <c r="A2" s="5" t="s">
        <v>1</v>
      </c>
      <c r="B2" s="6" t="n">
        <f aca="false">B9+B11</f>
        <v>23958.33</v>
      </c>
      <c r="C2" s="5" t="s">
        <v>2</v>
      </c>
      <c r="D2" s="6" t="n">
        <f aca="false">C9</f>
        <v>4791.666</v>
      </c>
      <c r="E2" s="5" t="s">
        <v>3</v>
      </c>
      <c r="F2" s="7" t="n">
        <f aca="false">B13</f>
        <v>0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8.75" hidden="false" customHeight="true" outlineLevel="0" collapsed="false">
      <c r="A3" s="10"/>
      <c r="B3" s="11"/>
      <c r="C3" s="11"/>
      <c r="D3" s="11"/>
      <c r="E3" s="11"/>
      <c r="F3" s="12" t="s">
        <v>4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8.75" hidden="false" customHeight="true" outlineLevel="0" collapsed="false">
      <c r="A4" s="5" t="s">
        <v>5</v>
      </c>
      <c r="B4" s="6" t="n">
        <f aca="false">B15+C15</f>
        <v>28749.996</v>
      </c>
      <c r="C4" s="15"/>
      <c r="D4" s="15"/>
      <c r="E4" s="15"/>
      <c r="F4" s="16" t="s">
        <v>4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8.75" hidden="false" customHeight="true" outlineLevel="0" collapsed="false">
      <c r="A5" s="19"/>
      <c r="B5" s="19"/>
      <c r="C5" s="19"/>
      <c r="D5" s="19"/>
      <c r="E5" s="19"/>
      <c r="F5" s="19" t="s">
        <v>4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8.75" hidden="false" customHeight="true" outlineLevel="0" collapsed="false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8.75" hidden="false" customHeight="true" outlineLevel="0" collapsed="false">
      <c r="A7" s="22" t="s">
        <v>6</v>
      </c>
      <c r="B7" s="22" t="s">
        <v>7</v>
      </c>
      <c r="C7" s="22" t="s">
        <v>2</v>
      </c>
      <c r="D7" s="23"/>
      <c r="E7" s="23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8.75" hidden="false" customHeight="true" outlineLevel="0" collapsed="false">
      <c r="A8" s="24"/>
      <c r="B8" s="19"/>
      <c r="C8" s="19"/>
      <c r="D8" s="23"/>
      <c r="E8" s="23"/>
      <c r="F8" s="19"/>
      <c r="G8" s="19"/>
      <c r="H8" s="19"/>
      <c r="I8" s="26" t="s">
        <v>3</v>
      </c>
      <c r="J8" s="27" t="n">
        <f aca="false">E13+E14</f>
        <v>0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8.75" hidden="false" customHeight="true" outlineLevel="0" collapsed="false">
      <c r="A9" s="22" t="s">
        <v>8</v>
      </c>
      <c r="B9" s="28" t="n">
        <v>23958.33</v>
      </c>
      <c r="C9" s="27" t="n">
        <f aca="false">B9*0.2</f>
        <v>4791.666</v>
      </c>
      <c r="D9" s="23"/>
      <c r="E9" s="23"/>
      <c r="F9" s="19"/>
      <c r="G9" s="19"/>
      <c r="H9" s="19"/>
      <c r="I9" s="27"/>
      <c r="J9" s="27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8.75" hidden="false" customHeight="true" outlineLevel="0" collapsed="false">
      <c r="A10" s="31"/>
      <c r="B10" s="19"/>
      <c r="C10" s="19"/>
      <c r="D10" s="23"/>
      <c r="E10" s="23"/>
      <c r="F10" s="19"/>
      <c r="G10" s="19"/>
      <c r="H10" s="19"/>
      <c r="I10" s="32" t="s">
        <v>1</v>
      </c>
      <c r="J10" s="27" t="n">
        <f aca="false">E15-E11-J8</f>
        <v>0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8.75" hidden="false" customHeight="true" outlineLevel="0" collapsed="false">
      <c r="A11" s="22" t="s">
        <v>11</v>
      </c>
      <c r="B11" s="28" t="n">
        <v>0</v>
      </c>
      <c r="C11" s="28" t="n">
        <f aca="false">B11*0.2</f>
        <v>0</v>
      </c>
      <c r="D11" s="23"/>
      <c r="E11" s="23"/>
      <c r="F11" s="19"/>
      <c r="G11" s="19"/>
      <c r="H11" s="19"/>
      <c r="I11" s="27"/>
      <c r="J11" s="27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8.75" hidden="false" customHeight="true" outlineLevel="0" collapsed="false">
      <c r="A12" s="31"/>
      <c r="B12" s="19"/>
      <c r="C12" s="19"/>
      <c r="D12" s="23"/>
      <c r="E12" s="23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8.75" hidden="false" customHeight="true" outlineLevel="0" collapsed="false">
      <c r="A13" s="22" t="s">
        <v>12</v>
      </c>
      <c r="B13" s="28" t="n">
        <v>0</v>
      </c>
      <c r="C13" s="27"/>
      <c r="D13" s="23"/>
      <c r="E13" s="23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8.75" hidden="false" customHeight="true" outlineLevel="0" collapsed="false">
      <c r="A14" s="31"/>
      <c r="B14" s="19"/>
      <c r="C14" s="19"/>
      <c r="D14" s="23"/>
      <c r="E14" s="23"/>
      <c r="F14" s="19"/>
      <c r="G14" s="19" t="s">
        <v>13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8.75" hidden="false" customHeight="true" outlineLevel="0" collapsed="false">
      <c r="A15" s="22" t="s">
        <v>14</v>
      </c>
      <c r="B15" s="27" t="n">
        <f aca="false">SUM(B9:B13)</f>
        <v>23958.33</v>
      </c>
      <c r="C15" s="27" t="n">
        <f aca="false">SUM(C9:C13)</f>
        <v>4791.666</v>
      </c>
      <c r="D15" s="23"/>
      <c r="E15" s="23"/>
      <c r="F15" s="19"/>
      <c r="G15" s="205" t="n">
        <f aca="false">E15</f>
        <v>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8.75" hidden="false" customHeight="true" outlineLevel="0" collapsed="false">
      <c r="A16" s="35"/>
      <c r="B16" s="35"/>
      <c r="C16" s="35"/>
      <c r="D16" s="23"/>
      <c r="E16" s="23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6" t="s">
        <v>15</v>
      </c>
      <c r="Z16" s="19"/>
    </row>
    <row r="17" customFormat="false" ht="18.75" hidden="false" customHeight="true" outlineLevel="0" collapsed="false">
      <c r="A17" s="35"/>
      <c r="B17" s="35"/>
      <c r="C17" s="35"/>
      <c r="D17" s="23"/>
      <c r="E17" s="23"/>
      <c r="F17" s="19"/>
      <c r="G17" s="19" t="s">
        <v>16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6" t="s">
        <v>17</v>
      </c>
      <c r="Z17" s="19"/>
    </row>
    <row r="18" customFormat="false" ht="18.75" hidden="false" customHeight="true" outlineLevel="0" collapsed="false">
      <c r="A18" s="35"/>
      <c r="B18" s="35"/>
      <c r="C18" s="35"/>
      <c r="D18" s="23"/>
      <c r="E18" s="23"/>
      <c r="F18" s="19"/>
      <c r="G18" s="363" t="n">
        <v>37405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6" t="s">
        <v>18</v>
      </c>
      <c r="Z18" s="19"/>
    </row>
    <row r="19" customFormat="false" ht="18.75" hidden="false" customHeight="true" outlineLevel="0" collapsed="false">
      <c r="A19" s="40" t="s">
        <v>19</v>
      </c>
      <c r="B19" s="40"/>
      <c r="C19" s="40"/>
      <c r="D19" s="40"/>
      <c r="E19" s="27" t="n">
        <f aca="false">B4</f>
        <v>28749.996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 t="s">
        <v>9</v>
      </c>
    </row>
    <row r="20" customFormat="false" ht="18.75" hidden="false" customHeight="true" outlineLevel="0" collapsed="false">
      <c r="A20" s="41"/>
      <c r="B20" s="19"/>
      <c r="C20" s="19"/>
      <c r="D20" s="19"/>
      <c r="E20" s="42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 t="s">
        <v>10</v>
      </c>
    </row>
    <row r="21" customFormat="false" ht="18.75" hidden="false" customHeight="true" outlineLevel="0" collapsed="false">
      <c r="A21" s="40" t="s">
        <v>20</v>
      </c>
      <c r="B21" s="40"/>
      <c r="C21" s="40"/>
      <c r="D21" s="40"/>
      <c r="E21" s="27" t="n">
        <f aca="false">B15</f>
        <v>23958.33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8.75" hidden="false" customHeight="true" outlineLevel="0" collapsed="false">
      <c r="A22" s="207"/>
      <c r="B22" s="207"/>
      <c r="C22" s="207"/>
      <c r="D22" s="207"/>
      <c r="E22" s="207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8.75" hidden="false" customHeight="true" outlineLevel="0" collapsed="false">
      <c r="A23" s="207"/>
      <c r="B23" s="207"/>
      <c r="C23" s="207"/>
      <c r="D23" s="207"/>
      <c r="E23" s="207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45.75" hidden="false" customHeight="true" outlineLevel="0" collapsed="false">
      <c r="A24" s="208" t="s">
        <v>208</v>
      </c>
      <c r="B24" s="208"/>
      <c r="C24" s="208"/>
      <c r="D24" s="208"/>
      <c r="E24" s="20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8.75" hidden="false" customHeight="true" outlineLevel="0" collapsed="false">
      <c r="A25" s="209"/>
      <c r="B25" s="207"/>
      <c r="C25" s="207"/>
      <c r="D25" s="207"/>
      <c r="E25" s="21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8.75" hidden="false" customHeight="true" outlineLevel="0" collapsed="false">
      <c r="A26" s="211" t="s">
        <v>209</v>
      </c>
      <c r="B26" s="211"/>
      <c r="C26" s="211"/>
      <c r="D26" s="211"/>
      <c r="E26" s="211"/>
      <c r="F26" s="19"/>
      <c r="G26" s="212"/>
      <c r="H26" s="212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8.75" hidden="false" customHeight="true" outlineLevel="0" collapsed="false">
      <c r="A27" s="209"/>
      <c r="B27" s="207"/>
      <c r="C27" s="207"/>
      <c r="D27" s="207"/>
      <c r="E27" s="210"/>
      <c r="F27" s="19"/>
      <c r="G27" s="213" t="s">
        <v>46</v>
      </c>
      <c r="H27" s="213" t="n">
        <f aca="false">IF(A32=Z101,1,IF(A32=Z102,1,IF(A32=Z103,3,IF(A32=Z104,6,IF(A32=Z105,9,IF(A32=Z106,12,IF(A32=Z107,3,IF(A32=Z108,6,IF(A32=Z109,9,0)))))))))</f>
        <v>1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8.75" hidden="false" customHeight="true" outlineLevel="0" collapsed="false">
      <c r="A28" s="214" t="s">
        <v>210</v>
      </c>
      <c r="B28" s="215" t="s">
        <v>211</v>
      </c>
      <c r="C28" s="207"/>
      <c r="D28" s="215" t="s">
        <v>212</v>
      </c>
      <c r="E28" s="210"/>
      <c r="F28" s="19"/>
      <c r="G28" s="213" t="s">
        <v>60</v>
      </c>
      <c r="H28" s="213" t="n">
        <f aca="false">IF(A32=Z101,H29-H27,IF(A32=Z102,H29-H27,IF(A32=Z103,H29-1,IF(A32=Z104,H29-1,IF(A32=Z105,H29-1,IF(A32=Z106,H29-1,IF(A32=Z107,H29-H27,IF(A32=Z108,H29-H27,IF(A32=Z109,H29-H27,0)))))))))</f>
        <v>11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8.75" hidden="false" customHeight="true" outlineLevel="0" collapsed="false">
      <c r="A29" s="216" t="s">
        <v>213</v>
      </c>
      <c r="B29" s="217" t="n">
        <v>12345</v>
      </c>
      <c r="C29" s="217"/>
      <c r="D29" s="218" t="n">
        <f aca="true">TODAY()+1</f>
        <v>45008</v>
      </c>
      <c r="E29" s="218"/>
      <c r="F29" s="19"/>
      <c r="G29" s="212" t="s">
        <v>214</v>
      </c>
      <c r="H29" s="212" t="n">
        <f aca="false">B35</f>
        <v>12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8.75" hidden="false" customHeight="true" outlineLevel="0" collapsed="false">
      <c r="A30" s="209"/>
      <c r="B30" s="21"/>
      <c r="C30" s="21"/>
      <c r="D30" s="207"/>
      <c r="E30" s="210"/>
      <c r="F30" s="19"/>
      <c r="G30" s="212" t="s">
        <v>31</v>
      </c>
      <c r="H30" s="212" t="n">
        <f aca="false">D35</f>
        <v>5000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8.75" hidden="false" customHeight="true" outlineLevel="0" collapsed="false">
      <c r="A31" s="214" t="s">
        <v>23</v>
      </c>
      <c r="B31" s="215" t="s">
        <v>215</v>
      </c>
      <c r="C31" s="207"/>
      <c r="D31" s="215" t="s">
        <v>216</v>
      </c>
      <c r="E31" s="210"/>
      <c r="F31" s="19"/>
      <c r="G31" s="212" t="s">
        <v>217</v>
      </c>
      <c r="H31" s="219" t="n">
        <f aca="false">D38</f>
        <v>500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8.75" hidden="false" customHeight="true" outlineLevel="0" collapsed="false">
      <c r="A32" s="216" t="s">
        <v>100</v>
      </c>
      <c r="B32" s="220" t="n">
        <f aca="false">IF(A32=Z101,D38,IF(A32=Z102,D38,IF(A32=Z103,(D38*3),IF(A32=Z104,(D38*6),IF(A32=Z105,(D38*9),IF(A32=Z106,(D38*12),IF(A32=Z107,D38,IF(A32=Z108,D38,IF(A32=Z109,D38,0)))))))))</f>
        <v>500</v>
      </c>
      <c r="C32" s="220"/>
      <c r="D32" s="220" t="n">
        <f aca="false">IF(A32=Z101,A41,IF(A32=Z102,A41,IF(A32=Z103,(A41*3),IF(A32=Z104,(A41*6),IF(A32=Z105,(A41*9),IF(A32=Z106,(A41*12),IF(A32=Z107,A41,IF(A32=Z108,A41,IF(A32=Z109,A41,0)))))))))</f>
        <v>50</v>
      </c>
      <c r="E32" s="220"/>
      <c r="F32" s="19"/>
      <c r="G32" s="221" t="s">
        <v>218</v>
      </c>
      <c r="H32" s="219" t="n">
        <f aca="false">A41</f>
        <v>50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18.75" hidden="false" customHeight="true" outlineLevel="0" collapsed="false">
      <c r="A33" s="222"/>
      <c r="B33" s="174"/>
      <c r="C33" s="223"/>
      <c r="D33" s="176"/>
      <c r="E33" s="210"/>
      <c r="F33" s="19"/>
      <c r="G33" s="221"/>
      <c r="H33" s="212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8.75" hidden="false" customHeight="true" outlineLevel="0" collapsed="false">
      <c r="A34" s="222" t="s">
        <v>220</v>
      </c>
      <c r="B34" s="224" t="s">
        <v>221</v>
      </c>
      <c r="C34" s="223"/>
      <c r="D34" s="64" t="s">
        <v>175</v>
      </c>
      <c r="E34" s="210"/>
      <c r="F34" s="19"/>
      <c r="G34" s="221" t="s">
        <v>222</v>
      </c>
      <c r="H34" s="219" t="n">
        <f aca="false">D41</f>
        <v>12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8.75" hidden="false" customHeight="true" outlineLevel="0" collapsed="false">
      <c r="A35" s="220" t="n">
        <f aca="false">B32+D32</f>
        <v>550</v>
      </c>
      <c r="B35" s="217" t="n">
        <v>12</v>
      </c>
      <c r="C35" s="217"/>
      <c r="D35" s="217" t="n">
        <v>5000</v>
      </c>
      <c r="E35" s="217"/>
      <c r="F35" s="19"/>
      <c r="G35" s="225"/>
      <c r="H35" s="226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8.75" hidden="false" customHeight="true" outlineLevel="0" collapsed="false">
      <c r="A36" s="209"/>
      <c r="B36" s="207"/>
      <c r="C36" s="207"/>
      <c r="D36" s="207"/>
      <c r="E36" s="210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8.75" hidden="false" customHeight="true" outlineLevel="0" collapsed="false">
      <c r="A37" s="214" t="s">
        <v>223</v>
      </c>
      <c r="B37" s="215" t="s">
        <v>224</v>
      </c>
      <c r="C37" s="207"/>
      <c r="D37" s="215" t="s">
        <v>225</v>
      </c>
      <c r="E37" s="210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8.75" hidden="false" customHeight="true" outlineLevel="0" collapsed="false">
      <c r="A38" s="227" t="n">
        <f aca="false">(B35/12)*D35</f>
        <v>5000</v>
      </c>
      <c r="B38" s="217" t="s">
        <v>9</v>
      </c>
      <c r="C38" s="217"/>
      <c r="D38" s="60" t="n">
        <v>500</v>
      </c>
      <c r="E38" s="60"/>
      <c r="F38" s="19"/>
      <c r="G38" s="19"/>
      <c r="H38" s="19"/>
      <c r="I38" s="22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8.75" hidden="false" customHeight="true" outlineLevel="0" collapsed="false">
      <c r="A39" s="229"/>
      <c r="B39" s="223"/>
      <c r="C39" s="223"/>
      <c r="D39" s="207"/>
      <c r="E39" s="210"/>
      <c r="F39" s="19"/>
      <c r="G39" s="19"/>
      <c r="H39" s="228"/>
      <c r="I39" s="228"/>
      <c r="J39" s="22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8.75" hidden="false" customHeight="true" outlineLevel="0" collapsed="false">
      <c r="A40" s="230" t="s">
        <v>227</v>
      </c>
      <c r="B40" s="231" t="s">
        <v>93</v>
      </c>
      <c r="C40" s="223"/>
      <c r="D40" s="232" t="s">
        <v>111</v>
      </c>
      <c r="E40" s="210"/>
      <c r="F40" s="19"/>
      <c r="G40" s="367"/>
      <c r="H40" s="228"/>
      <c r="I40" s="228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8.75" hidden="false" customHeight="true" outlineLevel="0" collapsed="false">
      <c r="A41" s="60" t="n">
        <v>50</v>
      </c>
      <c r="B41" s="233" t="n">
        <f aca="false">IF(B38="YES", D38+A41, D38)</f>
        <v>550</v>
      </c>
      <c r="C41" s="233"/>
      <c r="D41" s="60" t="n">
        <v>12</v>
      </c>
      <c r="E41" s="60"/>
      <c r="F41" s="19"/>
      <c r="G41" s="19"/>
      <c r="H41" s="235"/>
      <c r="I41" s="22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8.75" hidden="false" customHeight="true" outlineLevel="0" collapsed="false">
      <c r="A42" s="229"/>
      <c r="B42" s="223"/>
      <c r="C42" s="223"/>
      <c r="D42" s="223"/>
      <c r="E42" s="236"/>
      <c r="F42" s="19"/>
      <c r="G42" s="237" t="s">
        <v>42</v>
      </c>
      <c r="H42" s="237"/>
      <c r="I42" s="22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8.75" hidden="false" customHeight="true" outlineLevel="0" collapsed="false">
      <c r="A43" s="230" t="s">
        <v>229</v>
      </c>
      <c r="B43" s="231" t="s">
        <v>230</v>
      </c>
      <c r="C43" s="223"/>
      <c r="D43" s="231" t="s">
        <v>235</v>
      </c>
      <c r="E43" s="236"/>
      <c r="F43" s="19"/>
      <c r="G43" s="19" t="s">
        <v>231</v>
      </c>
      <c r="H43" s="228" t="n">
        <f aca="false">(((D38*(B35-1))+B32)/B35) + (D41/B35)</f>
        <v>501</v>
      </c>
      <c r="I43" s="22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8.75" hidden="false" customHeight="true" outlineLevel="0" collapsed="false">
      <c r="A44" s="60" t="n">
        <v>1</v>
      </c>
      <c r="B44" s="60" t="n">
        <v>1</v>
      </c>
      <c r="C44" s="60"/>
      <c r="D44" s="364" t="n">
        <f aca="false">A44+B44</f>
        <v>2</v>
      </c>
      <c r="E44" s="364"/>
      <c r="F44" s="19"/>
      <c r="G44" s="19" t="s">
        <v>233</v>
      </c>
      <c r="H44" s="228" t="n">
        <f aca="false">((A41*(B35-1))+D32)/B35</f>
        <v>50</v>
      </c>
      <c r="I44" s="228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8.75" hidden="false" customHeight="true" outlineLevel="0" collapsed="false">
      <c r="A45" s="229"/>
      <c r="B45" s="223"/>
      <c r="C45" s="223"/>
      <c r="D45" s="223"/>
      <c r="E45" s="236"/>
      <c r="F45" s="19"/>
      <c r="G45" s="19" t="s">
        <v>234</v>
      </c>
      <c r="H45" s="239" t="n">
        <f aca="false">H43+H44</f>
        <v>551</v>
      </c>
      <c r="I45" s="22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8.75" hidden="false" customHeight="true" outlineLevel="0" collapsed="false">
      <c r="A46" s="242" t="s">
        <v>313</v>
      </c>
      <c r="B46" s="223"/>
      <c r="C46" s="223"/>
      <c r="D46" s="223"/>
      <c r="E46" s="236"/>
      <c r="F46" s="19"/>
      <c r="G46" s="19" t="s">
        <v>238</v>
      </c>
      <c r="H46" s="228" t="n">
        <f aca="false">H43</f>
        <v>501</v>
      </c>
      <c r="I46" s="22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8.75" hidden="false" customHeight="true" outlineLevel="0" collapsed="false">
      <c r="A47" s="229"/>
      <c r="B47" s="223"/>
      <c r="C47" s="223"/>
      <c r="D47" s="223"/>
      <c r="E47" s="236"/>
      <c r="F47" s="19"/>
      <c r="G47" s="19"/>
      <c r="H47" s="228"/>
      <c r="I47" s="22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8.75" hidden="false" customHeight="true" outlineLevel="0" collapsed="false">
      <c r="A48" s="243" t="s">
        <v>57</v>
      </c>
      <c r="B48" s="207"/>
      <c r="C48" s="207"/>
      <c r="D48" s="244"/>
      <c r="E48" s="245"/>
      <c r="F48" s="19"/>
      <c r="G48" s="19"/>
      <c r="H48" s="228" t="n">
        <f aca="false">(A41*(B58+B57))</f>
        <v>600</v>
      </c>
      <c r="I48" s="22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8.75" hidden="false" customHeight="true" outlineLevel="0" collapsed="false">
      <c r="A49" s="209"/>
      <c r="B49" s="246"/>
      <c r="C49" s="246"/>
      <c r="D49" s="207"/>
      <c r="E49" s="210"/>
      <c r="F49" s="19"/>
      <c r="G49" s="19"/>
      <c r="H49" s="247"/>
      <c r="I49" s="22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8.75" hidden="false" customHeight="true" outlineLevel="0" collapsed="false">
      <c r="A50" s="248" t="s">
        <v>28</v>
      </c>
      <c r="B50" s="249" t="s">
        <v>33</v>
      </c>
      <c r="C50" s="249"/>
      <c r="D50" s="207"/>
      <c r="E50" s="210"/>
      <c r="F50" s="19"/>
      <c r="G50" s="19"/>
      <c r="H50" s="19"/>
      <c r="I50" s="22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8.75" hidden="false" customHeight="true" outlineLevel="0" collapsed="false">
      <c r="A51" s="248"/>
      <c r="B51" s="250" t="n">
        <f aca="false">H30</f>
        <v>5000</v>
      </c>
      <c r="C51" s="250"/>
      <c r="D51" s="207"/>
      <c r="E51" s="210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8.75" hidden="false" customHeight="true" outlineLevel="0" collapsed="false">
      <c r="A52" s="251" t="n">
        <f aca="false">H29</f>
        <v>12</v>
      </c>
      <c r="B52" s="92" t="n">
        <f aca="false">H45</f>
        <v>551</v>
      </c>
      <c r="C52" s="92"/>
      <c r="D52" s="207"/>
      <c r="E52" s="210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8.75" hidden="false" customHeight="true" outlineLevel="0" collapsed="false">
      <c r="A53" s="209"/>
      <c r="B53" s="207"/>
      <c r="C53" s="207"/>
      <c r="D53" s="207"/>
      <c r="E53" s="210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8.75" hidden="false" customHeight="true" outlineLevel="0" collapsed="false">
      <c r="A54" s="252"/>
      <c r="B54" s="253"/>
      <c r="C54" s="253"/>
      <c r="D54" s="253"/>
      <c r="E54" s="254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8.75" hidden="false" customHeight="true" outlineLevel="0" collapsed="false">
      <c r="A55" s="207"/>
      <c r="B55" s="207"/>
      <c r="C55" s="207"/>
      <c r="D55" s="207"/>
      <c r="E55" s="207"/>
      <c r="F55" s="19"/>
      <c r="G55" s="207"/>
      <c r="H55" s="207"/>
      <c r="I55" s="207"/>
      <c r="J55" s="207"/>
      <c r="K55" s="207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8.75" hidden="false" customHeight="true" outlineLevel="0" collapsed="false">
      <c r="A56" s="255"/>
      <c r="B56" s="256"/>
      <c r="C56" s="256"/>
      <c r="D56" s="256"/>
      <c r="E56" s="257"/>
      <c r="F56" s="19"/>
      <c r="G56" s="255"/>
      <c r="H56" s="256"/>
      <c r="I56" s="256"/>
      <c r="J56" s="256"/>
      <c r="K56" s="257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8.75" hidden="false" customHeight="true" outlineLevel="0" collapsed="false">
      <c r="A57" s="209" t="s">
        <v>46</v>
      </c>
      <c r="B57" s="207" t="n">
        <f aca="false">IF(B99=Z101,1,IF(B99=Z102,1,IF(B99=Z103,3,IF(B99=Z104,6,IF(B99=Z105,9,IF(B99=Z106,12,IF(B99=Z107,3,IF(B99=Z108,6,IF(B99=Z109,9,0)))))))))</f>
        <v>9</v>
      </c>
      <c r="C57" s="207"/>
      <c r="D57" s="207"/>
      <c r="E57" s="210"/>
      <c r="F57" s="19"/>
      <c r="G57" s="209" t="s">
        <v>46</v>
      </c>
      <c r="H57" s="207" t="n">
        <f aca="false">IF(H99=Z101,1,IF(H99=Z102,1,IF(H99=Z103,3,IF(H99=Z104,6,IF(H99=Z105,9,IF(H99=Z106,12,IF(H99=Z107,3,IF(H99=Z108,6,IF(H99=Z109,9,0)))))))))</f>
        <v>1</v>
      </c>
      <c r="I57" s="207"/>
      <c r="J57" s="207"/>
      <c r="K57" s="210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8.75" hidden="false" customHeight="true" outlineLevel="0" collapsed="false">
      <c r="A58" s="209" t="s">
        <v>60</v>
      </c>
      <c r="B58" s="207" t="n">
        <f aca="false">IF(B99=Z101,H29-B57,IF(B99=Z102,H29-B57,IF(B99=Z103,H29-1,IF(B99=Z104,H29-1,IF(B99=Z105,H29-1,IF(B99=Z106,H29-1,IF(B99=Z107,H29-B57,IF(B99=Z108,H29-B57,IF(B99=Z109,H29-B57,0)))))))))</f>
        <v>3</v>
      </c>
      <c r="C58" s="207" t="s">
        <v>314</v>
      </c>
      <c r="D58" s="207"/>
      <c r="E58" s="210"/>
      <c r="F58" s="19"/>
      <c r="G58" s="209" t="s">
        <v>60</v>
      </c>
      <c r="H58" s="207" t="n">
        <f aca="false">IF(H99=Z101,H29-H57,IF(H99=Z102,H29-H57,IF(H99=Z103,H29-1,IF(H99=Z104,H29-1,IF(H99=Z105,H29-1,IF(H99=Z106,H29-1,IF(H99=Z107,H29-H57,IF(H99=Z108,H29-H57,IF(H99=Z109,H29-H57,0)))))))))</f>
        <v>11</v>
      </c>
      <c r="I58" s="207"/>
      <c r="J58" s="207"/>
      <c r="K58" s="210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8.75" hidden="false" customHeight="true" outlineLevel="0" collapsed="false">
      <c r="A59" s="209"/>
      <c r="B59" s="207"/>
      <c r="C59" s="207"/>
      <c r="D59" s="207"/>
      <c r="E59" s="210"/>
      <c r="F59" s="19"/>
      <c r="G59" s="209"/>
      <c r="H59" s="207"/>
      <c r="I59" s="207"/>
      <c r="J59" s="207"/>
      <c r="K59" s="210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8.75" hidden="false" customHeight="true" outlineLevel="0" collapsed="false">
      <c r="A60" s="209" t="s">
        <v>240</v>
      </c>
      <c r="B60" s="207" t="n">
        <f aca="false">E19</f>
        <v>28749.996</v>
      </c>
      <c r="C60" s="207"/>
      <c r="D60" s="207"/>
      <c r="E60" s="210"/>
      <c r="F60" s="19"/>
      <c r="G60" s="209"/>
      <c r="H60" s="207"/>
      <c r="I60" s="207"/>
      <c r="J60" s="207"/>
      <c r="K60" s="210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8.75" hidden="false" customHeight="true" outlineLevel="0" collapsed="false">
      <c r="A61" s="209" t="s">
        <v>16</v>
      </c>
      <c r="B61" s="79" t="n">
        <f aca="false">G18</f>
        <v>37405</v>
      </c>
      <c r="C61" s="207"/>
      <c r="D61" s="207"/>
      <c r="E61" s="210"/>
      <c r="F61" s="19"/>
      <c r="G61" s="209" t="s">
        <v>16</v>
      </c>
      <c r="H61" s="79" t="n">
        <f aca="false">G18</f>
        <v>37405</v>
      </c>
      <c r="I61" s="207"/>
      <c r="J61" s="207"/>
      <c r="K61" s="210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8.75" hidden="false" customHeight="true" outlineLevel="0" collapsed="false">
      <c r="A62" s="258" t="s">
        <v>241</v>
      </c>
      <c r="B62" s="259" t="n">
        <v>0.07</v>
      </c>
      <c r="C62" s="207"/>
      <c r="D62" s="207"/>
      <c r="E62" s="210"/>
      <c r="F62" s="19"/>
      <c r="G62" s="258" t="s">
        <v>241</v>
      </c>
      <c r="H62" s="259" t="n">
        <v>0.07</v>
      </c>
      <c r="I62" s="207"/>
      <c r="J62" s="207"/>
      <c r="K62" s="210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8.75" hidden="false" customHeight="true" outlineLevel="0" collapsed="false">
      <c r="A63" s="209" t="s">
        <v>242</v>
      </c>
      <c r="B63" s="260" t="n">
        <f aca="false">B62+(B62*0.25*(H29/12-1))</f>
        <v>0.07</v>
      </c>
      <c r="C63" s="207"/>
      <c r="D63" s="207"/>
      <c r="E63" s="210"/>
      <c r="F63" s="19"/>
      <c r="G63" s="209" t="s">
        <v>242</v>
      </c>
      <c r="H63" s="260" t="n">
        <f aca="false">H62+(H62*0.25*(H29/12-1))</f>
        <v>0.07</v>
      </c>
      <c r="I63" s="207"/>
      <c r="J63" s="207"/>
      <c r="K63" s="210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8.75" hidden="false" customHeight="true" outlineLevel="0" collapsed="false">
      <c r="A64" s="252" t="s">
        <v>65</v>
      </c>
      <c r="B64" s="139" t="n">
        <f aca="false">B60*B63</f>
        <v>2012.49972</v>
      </c>
      <c r="C64" s="207" t="n">
        <v>10000</v>
      </c>
      <c r="D64" s="79" t="n">
        <f aca="false">B64</f>
        <v>2012.49972</v>
      </c>
      <c r="E64" s="210"/>
      <c r="F64" s="19"/>
      <c r="G64" s="252" t="s">
        <v>65</v>
      </c>
      <c r="H64" s="139" t="n">
        <f aca="false">H61*H63</f>
        <v>2618.35</v>
      </c>
      <c r="I64" s="207"/>
      <c r="J64" s="79" t="n">
        <f aca="false">H64</f>
        <v>2618.35</v>
      </c>
      <c r="K64" s="210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8.75" hidden="false" customHeight="true" outlineLevel="0" collapsed="false">
      <c r="A65" s="258" t="s">
        <v>66</v>
      </c>
      <c r="B65" s="259" t="n">
        <v>0.01</v>
      </c>
      <c r="C65" s="207"/>
      <c r="D65" s="207"/>
      <c r="E65" s="210"/>
      <c r="F65" s="19"/>
      <c r="G65" s="258" t="s">
        <v>66</v>
      </c>
      <c r="H65" s="259" t="n">
        <v>0.005</v>
      </c>
      <c r="I65" s="207"/>
      <c r="J65" s="207"/>
      <c r="K65" s="210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8.75" hidden="false" customHeight="true" outlineLevel="0" collapsed="false">
      <c r="A66" s="209" t="s">
        <v>67</v>
      </c>
      <c r="B66" s="260" t="n">
        <f aca="false">B65+(B65*0.5*(H29/12-1))</f>
        <v>0.01</v>
      </c>
      <c r="C66" s="207"/>
      <c r="D66" s="207"/>
      <c r="E66" s="210"/>
      <c r="F66" s="19"/>
      <c r="G66" s="209" t="s">
        <v>67</v>
      </c>
      <c r="H66" s="260" t="n">
        <f aca="false">H65+(H65*0.5*(H29/12-1))</f>
        <v>0.005</v>
      </c>
      <c r="I66" s="207"/>
      <c r="J66" s="207"/>
      <c r="K66" s="210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8.75" hidden="false" customHeight="true" outlineLevel="0" collapsed="false">
      <c r="A67" s="252" t="s">
        <v>68</v>
      </c>
      <c r="B67" s="139" t="n">
        <f aca="false">B61*B66</f>
        <v>374.05</v>
      </c>
      <c r="C67" s="207"/>
      <c r="D67" s="79"/>
      <c r="E67" s="210"/>
      <c r="F67" s="19"/>
      <c r="G67" s="252" t="s">
        <v>68</v>
      </c>
      <c r="H67" s="139" t="n">
        <f aca="false">H61*H66</f>
        <v>187.025</v>
      </c>
      <c r="I67" s="207"/>
      <c r="J67" s="79"/>
      <c r="K67" s="210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8.75" hidden="false" customHeight="true" outlineLevel="0" collapsed="false">
      <c r="A68" s="258" t="s">
        <v>69</v>
      </c>
      <c r="B68" s="259" t="n">
        <v>0.0075</v>
      </c>
      <c r="C68" s="207"/>
      <c r="D68" s="207"/>
      <c r="E68" s="210"/>
      <c r="F68" s="19"/>
      <c r="G68" s="258" t="s">
        <v>69</v>
      </c>
      <c r="H68" s="259" t="n">
        <v>0.0075</v>
      </c>
      <c r="I68" s="207"/>
      <c r="J68" s="207"/>
      <c r="K68" s="210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8.75" hidden="false" customHeight="true" outlineLevel="0" collapsed="false">
      <c r="A69" s="261" t="s">
        <v>70</v>
      </c>
      <c r="B69" s="262" t="n">
        <v>0.12</v>
      </c>
      <c r="C69" s="207"/>
      <c r="D69" s="207"/>
      <c r="E69" s="210"/>
      <c r="F69" s="19"/>
      <c r="G69" s="261" t="s">
        <v>70</v>
      </c>
      <c r="H69" s="262" t="n">
        <v>0.12</v>
      </c>
      <c r="I69" s="207"/>
      <c r="J69" s="207"/>
      <c r="K69" s="210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18.75" hidden="false" customHeight="true" outlineLevel="0" collapsed="false">
      <c r="A70" s="252" t="s">
        <v>71</v>
      </c>
      <c r="B70" s="263" t="n">
        <f aca="false">B68*(1+B69)</f>
        <v>0.0084</v>
      </c>
      <c r="C70" s="207"/>
      <c r="D70" s="207"/>
      <c r="E70" s="210"/>
      <c r="F70" s="19"/>
      <c r="G70" s="252" t="s">
        <v>71</v>
      </c>
      <c r="H70" s="263" t="n">
        <f aca="false">H68*(1+H69)</f>
        <v>0.0084</v>
      </c>
      <c r="I70" s="207"/>
      <c r="J70" s="207"/>
      <c r="K70" s="210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18.75" hidden="false" customHeight="true" outlineLevel="0" collapsed="false">
      <c r="A71" s="258" t="s">
        <v>72</v>
      </c>
      <c r="B71" s="264" t="n">
        <v>200</v>
      </c>
      <c r="C71" s="207"/>
      <c r="D71" s="207"/>
      <c r="E71" s="210"/>
      <c r="F71" s="19"/>
      <c r="G71" s="258" t="s">
        <v>72</v>
      </c>
      <c r="H71" s="264" t="n">
        <v>160</v>
      </c>
      <c r="I71" s="207"/>
      <c r="J71" s="207"/>
      <c r="K71" s="210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8.75" hidden="false" customHeight="true" outlineLevel="0" collapsed="false">
      <c r="A72" s="261" t="s">
        <v>73</v>
      </c>
      <c r="B72" s="265" t="n">
        <v>5</v>
      </c>
      <c r="C72" s="207"/>
      <c r="D72" s="207"/>
      <c r="E72" s="210"/>
      <c r="F72" s="19"/>
      <c r="G72" s="261" t="s">
        <v>73</v>
      </c>
      <c r="H72" s="265" t="n">
        <v>4.5</v>
      </c>
      <c r="I72" s="207"/>
      <c r="J72" s="207"/>
      <c r="K72" s="210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8.75" hidden="false" customHeight="true" outlineLevel="0" collapsed="false">
      <c r="A73" s="252" t="s">
        <v>74</v>
      </c>
      <c r="B73" s="139" t="n">
        <f aca="false">B72*H29</f>
        <v>60</v>
      </c>
      <c r="C73" s="207"/>
      <c r="D73" s="79" t="n">
        <f aca="false">B73+B71</f>
        <v>260</v>
      </c>
      <c r="E73" s="210"/>
      <c r="F73" s="19"/>
      <c r="G73" s="252" t="s">
        <v>74</v>
      </c>
      <c r="H73" s="139" t="n">
        <f aca="false">H72*H29</f>
        <v>54</v>
      </c>
      <c r="I73" s="207"/>
      <c r="J73" s="79" t="n">
        <f aca="false">H73+H71</f>
        <v>214</v>
      </c>
      <c r="K73" s="210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8.75" hidden="false" customHeight="true" outlineLevel="0" collapsed="false">
      <c r="A74" s="258" t="s">
        <v>243</v>
      </c>
      <c r="B74" s="264" t="n">
        <v>0</v>
      </c>
      <c r="C74" s="207"/>
      <c r="D74" s="207"/>
      <c r="E74" s="210"/>
      <c r="F74" s="19"/>
      <c r="G74" s="258" t="s">
        <v>243</v>
      </c>
      <c r="H74" s="264" t="n">
        <v>150</v>
      </c>
      <c r="I74" s="207"/>
      <c r="J74" s="207"/>
      <c r="K74" s="210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8.75" hidden="false" customHeight="true" outlineLevel="0" collapsed="false">
      <c r="A75" s="261" t="s">
        <v>244</v>
      </c>
      <c r="B75" s="265" t="n">
        <v>0</v>
      </c>
      <c r="C75" s="207"/>
      <c r="D75" s="207"/>
      <c r="E75" s="210"/>
      <c r="F75" s="19"/>
      <c r="G75" s="261" t="s">
        <v>244</v>
      </c>
      <c r="H75" s="265" t="n">
        <f aca="false">IF(G18&gt;40000, 325, 0)</f>
        <v>0</v>
      </c>
      <c r="I75" s="207"/>
      <c r="J75" s="207"/>
      <c r="K75" s="210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8.75" hidden="false" customHeight="true" outlineLevel="0" collapsed="false">
      <c r="A76" s="252" t="s">
        <v>245</v>
      </c>
      <c r="B76" s="139" t="n">
        <f aca="false">((B74+B75)/12)*(H29+1)</f>
        <v>0</v>
      </c>
      <c r="C76" s="207"/>
      <c r="D76" s="79" t="n">
        <f aca="false">B76</f>
        <v>0</v>
      </c>
      <c r="E76" s="210"/>
      <c r="F76" s="19"/>
      <c r="G76" s="252" t="s">
        <v>245</v>
      </c>
      <c r="H76" s="139" t="n">
        <f aca="false">((H74+H75)/12)*(H29-11)</f>
        <v>12.5</v>
      </c>
      <c r="I76" s="207"/>
      <c r="J76" s="79" t="n">
        <f aca="false">H76</f>
        <v>12.5</v>
      </c>
      <c r="K76" s="210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8.75" hidden="false" customHeight="true" outlineLevel="0" collapsed="false">
      <c r="A77" s="258" t="s">
        <v>246</v>
      </c>
      <c r="B77" s="264" t="n">
        <f aca="false">B102/(1-0.1)</f>
        <v>444.444444444444</v>
      </c>
      <c r="C77" s="207"/>
      <c r="D77" s="79" t="n">
        <f aca="false">B77</f>
        <v>444.444444444444</v>
      </c>
      <c r="E77" s="210"/>
      <c r="F77" s="19"/>
      <c r="G77" s="258" t="s">
        <v>246</v>
      </c>
      <c r="H77" s="264" t="n">
        <f aca="false">H102</f>
        <v>1200</v>
      </c>
      <c r="I77" s="207"/>
      <c r="J77" s="79" t="n">
        <f aca="false">H77</f>
        <v>1200</v>
      </c>
      <c r="K77" s="210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8.75" hidden="false" customHeight="true" outlineLevel="0" collapsed="false">
      <c r="A78" s="209" t="s">
        <v>248</v>
      </c>
      <c r="B78" s="273" t="n">
        <f aca="false">D102/(1-0.1)</f>
        <v>222.222222222222</v>
      </c>
      <c r="C78" s="207"/>
      <c r="D78" s="79" t="n">
        <f aca="false">B78</f>
        <v>222.222222222222</v>
      </c>
      <c r="E78" s="210"/>
      <c r="F78" s="19"/>
      <c r="G78" s="209" t="s">
        <v>248</v>
      </c>
      <c r="H78" s="273" t="n">
        <f aca="false">J102</f>
        <v>0</v>
      </c>
      <c r="I78" s="207"/>
      <c r="J78" s="79" t="n">
        <f aca="false">H78</f>
        <v>0</v>
      </c>
      <c r="K78" s="210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8.75" hidden="false" customHeight="true" outlineLevel="0" collapsed="false">
      <c r="A79" s="261" t="s">
        <v>75</v>
      </c>
      <c r="B79" s="265" t="n">
        <v>200</v>
      </c>
      <c r="C79" s="207"/>
      <c r="D79" s="79" t="n">
        <f aca="false">B79</f>
        <v>200</v>
      </c>
      <c r="E79" s="210"/>
      <c r="F79" s="19"/>
      <c r="G79" s="261" t="s">
        <v>75</v>
      </c>
      <c r="H79" s="265" t="n">
        <v>100</v>
      </c>
      <c r="I79" s="207"/>
      <c r="J79" s="79" t="n">
        <f aca="false">H79</f>
        <v>100</v>
      </c>
      <c r="K79" s="210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8.75" hidden="false" customHeight="true" outlineLevel="0" collapsed="false">
      <c r="A80" s="274" t="s">
        <v>76</v>
      </c>
      <c r="B80" s="275" t="n">
        <v>200</v>
      </c>
      <c r="C80" s="207"/>
      <c r="D80" s="79" t="n">
        <f aca="false">B80</f>
        <v>200</v>
      </c>
      <c r="E80" s="210"/>
      <c r="F80" s="19"/>
      <c r="G80" s="274" t="s">
        <v>76</v>
      </c>
      <c r="H80" s="275" t="n">
        <v>100</v>
      </c>
      <c r="I80" s="207"/>
      <c r="J80" s="79" t="n">
        <f aca="false">H80</f>
        <v>100</v>
      </c>
      <c r="K80" s="210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18.75" hidden="false" customHeight="true" outlineLevel="0" collapsed="false">
      <c r="A81" s="276" t="s">
        <v>77</v>
      </c>
      <c r="B81" s="277" t="n">
        <f aca="false">SUM(D64:D80)</f>
        <v>3339.16638666667</v>
      </c>
      <c r="C81" s="207"/>
      <c r="D81" s="207"/>
      <c r="E81" s="210"/>
      <c r="F81" s="19"/>
      <c r="G81" s="276" t="s">
        <v>77</v>
      </c>
      <c r="H81" s="277" t="n">
        <f aca="false">SUM(J64:J80)</f>
        <v>4244.85</v>
      </c>
      <c r="I81" s="207"/>
      <c r="J81" s="207"/>
      <c r="K81" s="210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18.75" hidden="false" customHeight="true" outlineLevel="0" collapsed="false">
      <c r="A82" s="209" t="s">
        <v>78</v>
      </c>
      <c r="B82" s="273" t="n">
        <f aca="false">B81/H29</f>
        <v>278.263865555556</v>
      </c>
      <c r="C82" s="207"/>
      <c r="D82" s="207"/>
      <c r="E82" s="210"/>
      <c r="F82" s="19"/>
      <c r="G82" s="209" t="s">
        <v>78</v>
      </c>
      <c r="H82" s="273" t="n">
        <f aca="false">H81/H29</f>
        <v>353.7375</v>
      </c>
      <c r="I82" s="207"/>
      <c r="J82" s="207"/>
      <c r="K82" s="210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8.75" hidden="false" customHeight="true" outlineLevel="0" collapsed="false">
      <c r="A83" s="278" t="s">
        <v>79</v>
      </c>
      <c r="B83" s="279" t="n">
        <f aca="false">H46</f>
        <v>501</v>
      </c>
      <c r="C83" s="207"/>
      <c r="D83" s="207"/>
      <c r="E83" s="210"/>
      <c r="F83" s="19"/>
      <c r="G83" s="278" t="s">
        <v>79</v>
      </c>
      <c r="H83" s="279" t="n">
        <f aca="false">H46</f>
        <v>501</v>
      </c>
      <c r="I83" s="207"/>
      <c r="J83" s="207"/>
      <c r="K83" s="210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18.75" hidden="false" customHeight="true" outlineLevel="0" collapsed="false">
      <c r="A84" s="209"/>
      <c r="B84" s="79"/>
      <c r="C84" s="207"/>
      <c r="D84" s="207"/>
      <c r="E84" s="210"/>
      <c r="F84" s="19"/>
      <c r="G84" s="209"/>
      <c r="H84" s="79"/>
      <c r="I84" s="207"/>
      <c r="J84" s="207"/>
      <c r="K84" s="210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8.75" hidden="false" customHeight="true" outlineLevel="0" collapsed="false">
      <c r="A85" s="255" t="s">
        <v>88</v>
      </c>
      <c r="B85" s="137" t="n">
        <f aca="false">((B83*(H29)+B81))</f>
        <v>9351.16638666667</v>
      </c>
      <c r="C85" s="207"/>
      <c r="D85" s="207"/>
      <c r="E85" s="210"/>
      <c r="F85" s="19"/>
      <c r="G85" s="255" t="s">
        <v>88</v>
      </c>
      <c r="H85" s="137" t="n">
        <f aca="false">((H83*(H27+H28))+H81)*1.2</f>
        <v>12308.22</v>
      </c>
      <c r="I85" s="207"/>
      <c r="J85" s="207"/>
      <c r="K85" s="210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8.75" hidden="false" customHeight="true" outlineLevel="0" collapsed="false">
      <c r="A86" s="209" t="s">
        <v>89</v>
      </c>
      <c r="B86" s="273" t="n">
        <f aca="false">(B85/(1-B70))*B70</f>
        <v>79.2152053731343</v>
      </c>
      <c r="C86" s="207"/>
      <c r="D86" s="207"/>
      <c r="E86" s="210"/>
      <c r="F86" s="19"/>
      <c r="G86" s="209" t="s">
        <v>89</v>
      </c>
      <c r="H86" s="273" t="n">
        <f aca="false">(((H83*(H27+H28))+H81)/(1-H70))*H70</f>
        <v>86.8873941105285</v>
      </c>
      <c r="I86" s="207"/>
      <c r="J86" s="207"/>
      <c r="K86" s="210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8.75" hidden="false" customHeight="true" outlineLevel="0" collapsed="false">
      <c r="A87" s="252" t="s">
        <v>90</v>
      </c>
      <c r="B87" s="139" t="n">
        <f aca="false">IF(B110="YES",((B85+B86)-E114),((B85+B86)))</f>
        <v>5430.3815920398</v>
      </c>
      <c r="C87" s="207"/>
      <c r="D87" s="207"/>
      <c r="E87" s="210"/>
      <c r="F87" s="19"/>
      <c r="G87" s="252" t="s">
        <v>90</v>
      </c>
      <c r="H87" s="139" t="n">
        <f aca="false">IF(H110="YES",((H85+H86)-A151-K114),((H85+H86)-A151))</f>
        <v>12295.1173941105</v>
      </c>
      <c r="I87" s="207"/>
      <c r="J87" s="207"/>
      <c r="K87" s="210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8.75" hidden="false" customHeight="true" outlineLevel="0" collapsed="false">
      <c r="A88" s="209"/>
      <c r="B88" s="79"/>
      <c r="C88" s="207"/>
      <c r="D88" s="207"/>
      <c r="E88" s="210"/>
      <c r="F88" s="19"/>
      <c r="G88" s="209"/>
      <c r="H88" s="79"/>
      <c r="I88" s="207"/>
      <c r="J88" s="207"/>
      <c r="K88" s="210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8.75" hidden="false" customHeight="true" outlineLevel="0" collapsed="false">
      <c r="A89" s="276" t="s">
        <v>91</v>
      </c>
      <c r="B89" s="365" t="n">
        <f aca="false">IF(B99=Z102,(((H44*B35)+(H44*B35)*(B105/100))/(B58)),(((H44*B35)+(H44*B35)*(B105/100))/(B57+B58)))</f>
        <v>60</v>
      </c>
      <c r="C89" s="207" t="s">
        <v>4</v>
      </c>
      <c r="D89" s="207"/>
      <c r="E89" s="210"/>
      <c r="F89" s="19"/>
      <c r="G89" s="276" t="s">
        <v>91</v>
      </c>
      <c r="H89" s="277" t="n">
        <f aca="false">(A41+(A41*H105))*1.2</f>
        <v>72</v>
      </c>
      <c r="I89" s="207"/>
      <c r="J89" s="207"/>
      <c r="K89" s="210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8.75" hidden="false" customHeight="true" outlineLevel="0" collapsed="false">
      <c r="A90" s="281" t="s">
        <v>92</v>
      </c>
      <c r="B90" s="282" t="n">
        <f aca="false">IF(B99=Z102, (B87-D105)/(B58), B87/(B57+B58))</f>
        <v>452.53179933665</v>
      </c>
      <c r="C90" s="207"/>
      <c r="D90" s="207"/>
      <c r="E90" s="210"/>
      <c r="F90" s="19"/>
      <c r="G90" s="281" t="s">
        <v>92</v>
      </c>
      <c r="H90" s="282" t="n">
        <f aca="false">IF(H99=AE98, (H87-J105)/(H58), H87/(H57+H58))</f>
        <v>1024.59311617588</v>
      </c>
      <c r="I90" s="207"/>
      <c r="K90" s="210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8.75" hidden="false" customHeight="true" outlineLevel="0" collapsed="false">
      <c r="A91" s="283" t="s">
        <v>93</v>
      </c>
      <c r="B91" s="284" t="n">
        <f aca="false">IF(A105="YES", B90+B89, B90)</f>
        <v>512.53179933665</v>
      </c>
      <c r="C91" s="207"/>
      <c r="D91" s="207"/>
      <c r="E91" s="210"/>
      <c r="F91" s="19"/>
      <c r="G91" s="283" t="s">
        <v>93</v>
      </c>
      <c r="H91" s="284" t="n">
        <f aca="false">IF(G105="YES", H90+H89, H90)</f>
        <v>1096.59311617588</v>
      </c>
      <c r="I91" s="207"/>
      <c r="J91" s="207"/>
      <c r="K91" s="210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8.75" hidden="false" customHeight="true" outlineLevel="0" collapsed="false">
      <c r="A92" s="252"/>
      <c r="B92" s="253"/>
      <c r="C92" s="253"/>
      <c r="D92" s="253"/>
      <c r="E92" s="254"/>
      <c r="F92" s="19"/>
      <c r="G92" s="252"/>
      <c r="H92" s="253"/>
      <c r="I92" s="253"/>
      <c r="J92" s="253"/>
      <c r="K92" s="254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8.75" hidden="false" customHeight="true" outlineLevel="0" collapsed="false">
      <c r="A93" s="207"/>
      <c r="B93" s="207"/>
      <c r="C93" s="207"/>
      <c r="D93" s="207"/>
      <c r="E93" s="207"/>
      <c r="F93" s="19"/>
      <c r="G93" s="207"/>
      <c r="H93" s="207"/>
      <c r="I93" s="207"/>
      <c r="J93" s="207"/>
      <c r="K93" s="207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46.5" hidden="false" customHeight="true" outlineLevel="0" collapsed="false">
      <c r="A94" s="208" t="s">
        <v>249</v>
      </c>
      <c r="B94" s="208"/>
      <c r="C94" s="208"/>
      <c r="D94" s="208"/>
      <c r="E94" s="208"/>
      <c r="F94" s="19"/>
      <c r="G94" s="208" t="s">
        <v>250</v>
      </c>
      <c r="H94" s="208"/>
      <c r="I94" s="208"/>
      <c r="J94" s="208"/>
      <c r="K94" s="208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8.75" hidden="false" customHeight="true" outlineLevel="0" collapsed="false">
      <c r="A95" s="209"/>
      <c r="B95" s="207"/>
      <c r="C95" s="207"/>
      <c r="D95" s="207"/>
      <c r="E95" s="210"/>
      <c r="F95" s="19"/>
      <c r="G95" s="209"/>
      <c r="H95" s="207"/>
      <c r="I95" s="207"/>
      <c r="J95" s="207"/>
      <c r="K95" s="210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8.75" hidden="false" customHeight="true" outlineLevel="0" collapsed="false">
      <c r="A96" s="211" t="s">
        <v>26</v>
      </c>
      <c r="B96" s="211"/>
      <c r="C96" s="211"/>
      <c r="D96" s="211"/>
      <c r="E96" s="211"/>
      <c r="F96" s="19"/>
      <c r="G96" s="211" t="s">
        <v>26</v>
      </c>
      <c r="H96" s="211"/>
      <c r="I96" s="211"/>
      <c r="J96" s="211"/>
      <c r="K96" s="2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8.75" hidden="false" customHeight="true" outlineLevel="0" collapsed="false">
      <c r="A97" s="209"/>
      <c r="B97" s="207"/>
      <c r="C97" s="207"/>
      <c r="D97" s="207"/>
      <c r="E97" s="210"/>
      <c r="F97" s="19"/>
      <c r="G97" s="209"/>
      <c r="H97" s="207"/>
      <c r="I97" s="207"/>
      <c r="J97" s="207"/>
      <c r="K97" s="210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18.75" hidden="false" customHeight="true" outlineLevel="0" collapsed="false">
      <c r="A98" s="209" t="s">
        <v>98</v>
      </c>
      <c r="B98" s="207" t="s">
        <v>23</v>
      </c>
      <c r="C98" s="207"/>
      <c r="D98" s="207" t="s">
        <v>252</v>
      </c>
      <c r="E98" s="210"/>
      <c r="F98" s="19"/>
      <c r="G98" s="209" t="s">
        <v>98</v>
      </c>
      <c r="H98" s="207" t="s">
        <v>23</v>
      </c>
      <c r="I98" s="207"/>
      <c r="J98" s="207" t="s">
        <v>252</v>
      </c>
      <c r="K98" s="210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18.75" hidden="false" customHeight="true" outlineLevel="0" collapsed="false">
      <c r="A99" s="214" t="s">
        <v>254</v>
      </c>
      <c r="B99" s="286" t="s">
        <v>315</v>
      </c>
      <c r="C99" s="286"/>
      <c r="D99" s="72" t="n">
        <v>1000</v>
      </c>
      <c r="E99" s="72"/>
      <c r="F99" s="19"/>
      <c r="G99" s="214" t="s">
        <v>254</v>
      </c>
      <c r="H99" s="286" t="s">
        <v>100</v>
      </c>
      <c r="I99" s="286"/>
      <c r="J99" s="72" t="n">
        <v>0</v>
      </c>
      <c r="K99" s="72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18.75" hidden="false" customHeight="true" outlineLevel="0" collapsed="false">
      <c r="A100" s="209"/>
      <c r="B100" s="207"/>
      <c r="C100" s="207"/>
      <c r="D100" s="207"/>
      <c r="E100" s="210"/>
      <c r="F100" s="19"/>
      <c r="G100" s="209"/>
      <c r="H100" s="207"/>
      <c r="I100" s="207"/>
      <c r="J100" s="207"/>
      <c r="K100" s="210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 customFormat="false" ht="18.75" hidden="false" customHeight="true" outlineLevel="0" collapsed="false">
      <c r="A101" s="209" t="s">
        <v>259</v>
      </c>
      <c r="B101" s="207" t="s">
        <v>260</v>
      </c>
      <c r="C101" s="207"/>
      <c r="D101" s="207" t="s">
        <v>261</v>
      </c>
      <c r="E101" s="210"/>
      <c r="F101" s="19"/>
      <c r="G101" s="209" t="s">
        <v>259</v>
      </c>
      <c r="H101" s="207" t="s">
        <v>260</v>
      </c>
      <c r="I101" s="207"/>
      <c r="J101" s="207" t="s">
        <v>261</v>
      </c>
      <c r="K101" s="210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 t="s">
        <v>100</v>
      </c>
      <c r="AA101" s="19"/>
    </row>
    <row r="102" customFormat="false" ht="18.75" hidden="false" customHeight="true" outlineLevel="0" collapsed="false">
      <c r="A102" s="288" t="n">
        <v>199.99</v>
      </c>
      <c r="B102" s="72" t="n">
        <v>400</v>
      </c>
      <c r="C102" s="72"/>
      <c r="D102" s="72" t="n">
        <v>200</v>
      </c>
      <c r="E102" s="72"/>
      <c r="F102" s="19"/>
      <c r="G102" s="288" t="n">
        <f aca="false">199.99*1.2</f>
        <v>239.988</v>
      </c>
      <c r="H102" s="72" t="n">
        <v>1200</v>
      </c>
      <c r="I102" s="72"/>
      <c r="J102" s="72" t="n">
        <v>0</v>
      </c>
      <c r="K102" s="72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 t="s">
        <v>253</v>
      </c>
      <c r="AA102" s="19"/>
    </row>
    <row r="103" customFormat="false" ht="18.75" hidden="false" customHeight="true" outlineLevel="0" collapsed="false">
      <c r="A103" s="209"/>
      <c r="B103" s="207"/>
      <c r="C103" s="207"/>
      <c r="D103" s="207"/>
      <c r="E103" s="210"/>
      <c r="F103" s="19"/>
      <c r="G103" s="209"/>
      <c r="H103" s="207"/>
      <c r="I103" s="207"/>
      <c r="J103" s="207"/>
      <c r="K103" s="210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Z103" s="19" t="s">
        <v>257</v>
      </c>
      <c r="AA103" s="19"/>
    </row>
    <row r="104" customFormat="false" ht="18.75" hidden="false" customHeight="true" outlineLevel="0" collapsed="false">
      <c r="A104" s="214" t="s">
        <v>22</v>
      </c>
      <c r="B104" s="19" t="s">
        <v>101</v>
      </c>
      <c r="C104" s="207"/>
      <c r="D104" s="207" t="s">
        <v>112</v>
      </c>
      <c r="E104" s="210"/>
      <c r="F104" s="19"/>
      <c r="G104" s="214" t="s">
        <v>22</v>
      </c>
      <c r="H104" s="19" t="s">
        <v>101</v>
      </c>
      <c r="I104" s="207"/>
      <c r="J104" s="207" t="s">
        <v>112</v>
      </c>
      <c r="K104" s="210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Z104" s="19" t="s">
        <v>258</v>
      </c>
      <c r="AA104" s="19"/>
    </row>
    <row r="105" customFormat="false" ht="18.75" hidden="false" customHeight="true" outlineLevel="0" collapsed="false">
      <c r="A105" s="216" t="s">
        <v>9</v>
      </c>
      <c r="B105" s="286" t="n">
        <v>20</v>
      </c>
      <c r="C105" s="286"/>
      <c r="D105" s="72" t="s">
        <v>264</v>
      </c>
      <c r="E105" s="72"/>
      <c r="F105" s="19"/>
      <c r="G105" s="216" t="s">
        <v>9</v>
      </c>
      <c r="H105" s="289" t="n">
        <v>0.2</v>
      </c>
      <c r="I105" s="289"/>
      <c r="J105" s="72" t="n">
        <v>0</v>
      </c>
      <c r="K105" s="72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Z105" s="19" t="s">
        <v>262</v>
      </c>
      <c r="AA105" s="19"/>
    </row>
    <row r="106" customFormat="false" ht="18.75" hidden="false" customHeight="true" outlineLevel="0" collapsed="false">
      <c r="A106" s="209"/>
      <c r="B106" s="207"/>
      <c r="C106" s="207"/>
      <c r="D106" s="207"/>
      <c r="E106" s="210"/>
      <c r="F106" s="19"/>
      <c r="G106" s="209"/>
      <c r="H106" s="207"/>
      <c r="I106" s="207"/>
      <c r="J106" s="207"/>
      <c r="K106" s="210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Z106" s="19" t="s">
        <v>256</v>
      </c>
      <c r="AA106" s="19"/>
    </row>
    <row r="107" customFormat="false" ht="18.75" hidden="false" customHeight="true" outlineLevel="0" collapsed="false">
      <c r="A107" s="209"/>
      <c r="B107" s="207"/>
      <c r="C107" s="207"/>
      <c r="D107" s="207"/>
      <c r="E107" s="210"/>
      <c r="F107" s="19"/>
      <c r="G107" s="209"/>
      <c r="H107" s="207"/>
      <c r="I107" s="207"/>
      <c r="J107" s="207"/>
      <c r="K107" s="210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Z107" s="19" t="s">
        <v>255</v>
      </c>
      <c r="AA107" s="19"/>
    </row>
    <row r="108" customFormat="false" ht="18.75" hidden="false" customHeight="true" outlineLevel="0" collapsed="false">
      <c r="A108" s="211" t="s">
        <v>267</v>
      </c>
      <c r="B108" s="211" t="n">
        <v>0</v>
      </c>
      <c r="C108" s="211"/>
      <c r="D108" s="211" t="n">
        <v>0</v>
      </c>
      <c r="E108" s="211"/>
      <c r="F108" s="19"/>
      <c r="G108" s="211" t="s">
        <v>267</v>
      </c>
      <c r="H108" s="211"/>
      <c r="I108" s="211"/>
      <c r="J108" s="211"/>
      <c r="K108" s="2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Z108" s="19" t="s">
        <v>263</v>
      </c>
      <c r="AA108" s="19"/>
    </row>
    <row r="109" customFormat="false" ht="18.75" hidden="false" customHeight="true" outlineLevel="0" collapsed="false">
      <c r="A109" s="209"/>
      <c r="B109" s="207"/>
      <c r="C109" s="207"/>
      <c r="D109" s="207"/>
      <c r="E109" s="210"/>
      <c r="F109" s="19"/>
      <c r="G109" s="209"/>
      <c r="H109" s="207"/>
      <c r="I109" s="207"/>
      <c r="J109" s="207"/>
      <c r="K109" s="210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Z109" s="19" t="s">
        <v>265</v>
      </c>
    </row>
    <row r="110" customFormat="false" ht="18.75" hidden="false" customHeight="true" outlineLevel="0" collapsed="false">
      <c r="A110" s="209" t="s">
        <v>268</v>
      </c>
      <c r="B110" s="216" t="s">
        <v>9</v>
      </c>
      <c r="C110" s="207"/>
      <c r="D110" s="207"/>
      <c r="E110" s="210"/>
      <c r="F110" s="19"/>
      <c r="G110" s="209" t="s">
        <v>268</v>
      </c>
      <c r="H110" s="216" t="s">
        <v>10</v>
      </c>
      <c r="I110" s="207"/>
      <c r="J110" s="207"/>
      <c r="K110" s="210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Z110" s="19"/>
    </row>
    <row r="111" customFormat="false" ht="18.75" hidden="false" customHeight="true" outlineLevel="0" collapsed="false">
      <c r="A111" s="209"/>
      <c r="B111" s="207"/>
      <c r="C111" s="207"/>
      <c r="D111" s="207"/>
      <c r="E111" s="210"/>
      <c r="F111" s="19"/>
      <c r="G111" s="209"/>
      <c r="H111" s="207"/>
      <c r="I111" s="207"/>
      <c r="J111" s="207"/>
      <c r="K111" s="210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Z111" s="19"/>
    </row>
    <row r="112" customFormat="false" ht="18.75" hidden="false" customHeight="true" outlineLevel="0" collapsed="false">
      <c r="A112" s="209" t="s">
        <v>146</v>
      </c>
      <c r="B112" s="207"/>
      <c r="C112" s="207"/>
      <c r="D112" s="288" t="n">
        <v>10000</v>
      </c>
      <c r="E112" s="72" t="n">
        <v>6000</v>
      </c>
      <c r="F112" s="19"/>
      <c r="G112" s="209" t="s">
        <v>146</v>
      </c>
      <c r="H112" s="207"/>
      <c r="I112" s="207"/>
      <c r="J112" s="288" t="n">
        <v>10000</v>
      </c>
      <c r="K112" s="72" t="n">
        <v>5000</v>
      </c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8.75" hidden="false" customHeight="true" outlineLevel="0" collapsed="false">
      <c r="A113" s="209" t="s">
        <v>147</v>
      </c>
      <c r="B113" s="207"/>
      <c r="C113" s="207"/>
      <c r="D113" s="38" t="n">
        <f aca="false">E113</f>
        <v>2000</v>
      </c>
      <c r="E113" s="72" t="n">
        <v>2000</v>
      </c>
      <c r="F113" s="19"/>
      <c r="G113" s="209" t="s">
        <v>147</v>
      </c>
      <c r="H113" s="207"/>
      <c r="I113" s="207"/>
      <c r="J113" s="38" t="n">
        <f aca="false">K113</f>
        <v>7000</v>
      </c>
      <c r="K113" s="72" t="n">
        <v>7000</v>
      </c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8.75" hidden="false" customHeight="true" outlineLevel="0" collapsed="false">
      <c r="A114" s="209" t="s">
        <v>148</v>
      </c>
      <c r="B114" s="207"/>
      <c r="C114" s="207"/>
      <c r="D114" s="38" t="n">
        <f aca="false">D112-D113</f>
        <v>8000</v>
      </c>
      <c r="E114" s="163" t="n">
        <f aca="false">E112-E113</f>
        <v>4000</v>
      </c>
      <c r="F114" s="19"/>
      <c r="G114" s="209" t="s">
        <v>148</v>
      </c>
      <c r="H114" s="207"/>
      <c r="I114" s="207"/>
      <c r="J114" s="38" t="n">
        <f aca="false">J112-J113</f>
        <v>3000</v>
      </c>
      <c r="K114" s="163" t="n">
        <f aca="false">K112-K113</f>
        <v>-2000</v>
      </c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8.75" hidden="false" customHeight="true" outlineLevel="0" collapsed="false">
      <c r="A115" s="209" t="s">
        <v>149</v>
      </c>
      <c r="B115" s="207"/>
      <c r="C115" s="207"/>
      <c r="D115" s="38" t="n">
        <f aca="false">D114-E114</f>
        <v>4000</v>
      </c>
      <c r="E115" s="210"/>
      <c r="F115" s="19"/>
      <c r="G115" s="209" t="s">
        <v>149</v>
      </c>
      <c r="H115" s="207"/>
      <c r="I115" s="207"/>
      <c r="J115" s="38" t="n">
        <f aca="false">J114-K114</f>
        <v>5000</v>
      </c>
      <c r="K115" s="210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8.75" hidden="false" customHeight="true" outlineLevel="0" collapsed="false">
      <c r="A116" s="209"/>
      <c r="B116" s="207"/>
      <c r="C116" s="207"/>
      <c r="D116" s="207"/>
      <c r="E116" s="210"/>
      <c r="F116" s="19"/>
      <c r="G116" s="209"/>
      <c r="H116" s="207"/>
      <c r="I116" s="207"/>
      <c r="J116" s="207"/>
      <c r="K116" s="210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8.75" hidden="false" customHeight="true" outlineLevel="0" collapsed="false">
      <c r="A117" s="255" t="s">
        <v>108</v>
      </c>
      <c r="B117" s="256"/>
      <c r="C117" s="256"/>
      <c r="D117" s="256"/>
      <c r="E117" s="137" t="n">
        <f aca="false">D99</f>
        <v>1000</v>
      </c>
      <c r="F117" s="19"/>
      <c r="G117" s="255" t="s">
        <v>108</v>
      </c>
      <c r="H117" s="256"/>
      <c r="I117" s="256"/>
      <c r="J117" s="256"/>
      <c r="K117" s="137" t="n">
        <f aca="false">J99</f>
        <v>0</v>
      </c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8.75" hidden="false" customHeight="true" outlineLevel="0" collapsed="false">
      <c r="A118" s="209" t="s">
        <v>152</v>
      </c>
      <c r="B118" s="207"/>
      <c r="C118" s="207"/>
      <c r="D118" s="207"/>
      <c r="E118" s="273" t="n">
        <f aca="false">A102</f>
        <v>199.99</v>
      </c>
      <c r="F118" s="19"/>
      <c r="G118" s="209" t="s">
        <v>152</v>
      </c>
      <c r="H118" s="207"/>
      <c r="I118" s="207"/>
      <c r="J118" s="207"/>
      <c r="K118" s="273" t="n">
        <f aca="false">G102</f>
        <v>239.988</v>
      </c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8.75" hidden="false" customHeight="true" outlineLevel="0" collapsed="false">
      <c r="A119" s="290" t="s">
        <v>269</v>
      </c>
      <c r="B119" s="253"/>
      <c r="C119" s="253"/>
      <c r="D119" s="253"/>
      <c r="E119" s="139" t="n">
        <f aca="false">(E118+E117)-D115</f>
        <v>-2800.01</v>
      </c>
      <c r="F119" s="19"/>
      <c r="G119" s="290" t="s">
        <v>269</v>
      </c>
      <c r="H119" s="253"/>
      <c r="I119" s="253"/>
      <c r="J119" s="253"/>
      <c r="K119" s="139" t="n">
        <f aca="false">(K118+K117)-J115</f>
        <v>-4760.012</v>
      </c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8.75" hidden="false" customHeight="true" outlineLevel="0" collapsed="false">
      <c r="A120" s="209"/>
      <c r="B120" s="207"/>
      <c r="C120" s="207"/>
      <c r="D120" s="207"/>
      <c r="E120" s="210"/>
      <c r="F120" s="19"/>
      <c r="G120" s="209"/>
      <c r="H120" s="207"/>
      <c r="I120" s="207"/>
      <c r="J120" s="207"/>
      <c r="K120" s="210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8.75" hidden="false" customHeight="true" outlineLevel="0" collapsed="false">
      <c r="A121" s="209"/>
      <c r="B121" s="207"/>
      <c r="C121" s="207"/>
      <c r="D121" s="207"/>
      <c r="E121" s="210"/>
      <c r="F121" s="19"/>
      <c r="G121" s="209"/>
      <c r="H121" s="207"/>
      <c r="I121" s="207"/>
      <c r="J121" s="207"/>
      <c r="K121" s="210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8.75" hidden="false" customHeight="true" outlineLevel="0" collapsed="false">
      <c r="A122" s="211" t="s">
        <v>270</v>
      </c>
      <c r="B122" s="211"/>
      <c r="C122" s="211"/>
      <c r="D122" s="211"/>
      <c r="E122" s="211"/>
      <c r="F122" s="19"/>
      <c r="G122" s="211" t="s">
        <v>270</v>
      </c>
      <c r="H122" s="211"/>
      <c r="I122" s="211"/>
      <c r="J122" s="211"/>
      <c r="K122" s="211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8.75" hidden="false" customHeight="true" outlineLevel="0" collapsed="false">
      <c r="A123" s="291"/>
      <c r="B123" s="292"/>
      <c r="C123" s="292"/>
      <c r="D123" s="292"/>
      <c r="E123" s="293"/>
      <c r="F123" s="19"/>
      <c r="G123" s="209"/>
      <c r="H123" s="207"/>
      <c r="I123" s="207"/>
      <c r="J123" s="207"/>
      <c r="K123" s="210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8.75" hidden="false" customHeight="true" outlineLevel="0" collapsed="false">
      <c r="A124" s="294" t="s">
        <v>98</v>
      </c>
      <c r="B124" s="295" t="n">
        <v>0</v>
      </c>
      <c r="C124" s="296"/>
      <c r="D124" s="295" t="s">
        <v>33</v>
      </c>
      <c r="E124" s="297"/>
      <c r="F124" s="19"/>
      <c r="G124" s="209" t="s">
        <v>29</v>
      </c>
      <c r="H124" s="168" t="n">
        <v>0</v>
      </c>
      <c r="I124" s="168"/>
      <c r="J124" s="207"/>
      <c r="K124" s="210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8.75" hidden="false" customHeight="true" outlineLevel="0" collapsed="false">
      <c r="A125" s="298" t="s">
        <v>254</v>
      </c>
      <c r="B125" s="299" t="n">
        <f aca="false">A161</f>
        <v>12</v>
      </c>
      <c r="C125" s="300"/>
      <c r="D125" s="299" t="n">
        <f aca="false">B160</f>
        <v>5000</v>
      </c>
      <c r="E125" s="297"/>
      <c r="F125" s="19"/>
      <c r="G125" s="209"/>
      <c r="H125" s="207"/>
      <c r="I125" s="207"/>
      <c r="J125" s="207"/>
      <c r="K125" s="210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8.75" hidden="false" customHeight="true" outlineLevel="0" collapsed="false">
      <c r="A126" s="294"/>
      <c r="B126" s="295"/>
      <c r="C126" s="295"/>
      <c r="D126" s="295"/>
      <c r="E126" s="297"/>
      <c r="F126" s="19"/>
      <c r="G126" s="209" t="s">
        <v>28</v>
      </c>
      <c r="H126" s="207" t="s">
        <v>33</v>
      </c>
      <c r="I126" s="207"/>
      <c r="J126" s="207" t="s">
        <v>60</v>
      </c>
      <c r="K126" s="210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8.75" hidden="false" customHeight="true" outlineLevel="0" collapsed="false">
      <c r="A127" s="294" t="s">
        <v>92</v>
      </c>
      <c r="B127" s="295" t="s">
        <v>271</v>
      </c>
      <c r="C127" s="296"/>
      <c r="D127" s="295" t="s">
        <v>272</v>
      </c>
      <c r="E127" s="297"/>
      <c r="F127" s="19"/>
      <c r="G127" s="222" t="n">
        <f aca="false">G152</f>
        <v>12</v>
      </c>
      <c r="H127" s="174" t="n">
        <f aca="false">A152</f>
        <v>0</v>
      </c>
      <c r="I127" s="223"/>
      <c r="J127" s="174" t="n">
        <f aca="false">B151</f>
        <v>0</v>
      </c>
      <c r="K127" s="210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8.75" hidden="false" customHeight="true" outlineLevel="0" collapsed="false">
      <c r="A128" s="298" t="n">
        <f aca="false">B90</f>
        <v>452.53179933665</v>
      </c>
      <c r="B128" s="296" t="n">
        <f aca="false">IF(A105="YES", B89, 0)</f>
        <v>60</v>
      </c>
      <c r="C128" s="301"/>
      <c r="D128" s="296" t="n">
        <f aca="false">B91</f>
        <v>512.53179933665</v>
      </c>
      <c r="E128" s="297"/>
      <c r="F128" s="19"/>
      <c r="G128" s="209"/>
      <c r="H128" s="207"/>
      <c r="I128" s="207"/>
      <c r="J128" s="207"/>
      <c r="K128" s="210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8.75" hidden="false" customHeight="true" outlineLevel="0" collapsed="false">
      <c r="A129" s="291"/>
      <c r="B129" s="292"/>
      <c r="C129" s="292"/>
      <c r="D129" s="292"/>
      <c r="E129" s="293"/>
      <c r="F129" s="19"/>
      <c r="G129" s="302" t="s">
        <v>273</v>
      </c>
      <c r="H129" s="303" t="s">
        <v>274</v>
      </c>
      <c r="I129" s="303"/>
      <c r="J129" s="303" t="s">
        <v>275</v>
      </c>
      <c r="K129" s="210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366"/>
    </row>
    <row r="130" customFormat="false" ht="18.75" hidden="false" customHeight="true" outlineLevel="0" collapsed="false">
      <c r="A130" s="304" t="s">
        <v>23</v>
      </c>
      <c r="B130" s="305" t="s">
        <v>277</v>
      </c>
      <c r="C130" s="306"/>
      <c r="D130" s="305" t="s">
        <v>278</v>
      </c>
      <c r="E130" s="293"/>
      <c r="F130" s="19"/>
      <c r="G130" s="307" t="n">
        <f aca="false">H90</f>
        <v>1024.59311617588</v>
      </c>
      <c r="H130" s="172" t="n">
        <f aca="false">IF(G105="YES", H89*H57, 0)</f>
        <v>72</v>
      </c>
      <c r="I130" s="172"/>
      <c r="J130" s="308" t="n">
        <f aca="false">H91</f>
        <v>1096.59311617588</v>
      </c>
      <c r="K130" s="177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366"/>
    </row>
    <row r="131" customFormat="false" ht="18.75" hidden="false" customHeight="true" outlineLevel="0" collapsed="false">
      <c r="A131" s="309" t="str">
        <f aca="false">B99</f>
        <v>Terminal pause with 9 down</v>
      </c>
      <c r="B131" s="201" t="n">
        <f aca="false">B90*B57</f>
        <v>4072.78619402985</v>
      </c>
      <c r="C131" s="292"/>
      <c r="D131" s="201" t="n">
        <f aca="false">IF(A105="YES", B89*B57, 0)</f>
        <v>540</v>
      </c>
      <c r="E131" s="293"/>
      <c r="F131" s="19"/>
      <c r="G131" s="209"/>
      <c r="H131" s="207"/>
      <c r="I131" s="207"/>
      <c r="J131" s="207"/>
      <c r="K131" s="210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366"/>
    </row>
    <row r="132" customFormat="false" ht="18.75" hidden="false" customHeight="true" outlineLevel="0" collapsed="false">
      <c r="A132" s="291"/>
      <c r="B132" s="292"/>
      <c r="C132" s="292"/>
      <c r="D132" s="292"/>
      <c r="E132" s="293"/>
      <c r="F132" s="19"/>
      <c r="G132" s="209" t="s">
        <v>279</v>
      </c>
      <c r="H132" s="207" t="s">
        <v>280</v>
      </c>
      <c r="I132" s="207"/>
      <c r="J132" s="207" t="s">
        <v>281</v>
      </c>
      <c r="K132" s="210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8.75" hidden="false" customHeight="true" outlineLevel="0" collapsed="false">
      <c r="A133" s="123" t="s">
        <v>283</v>
      </c>
      <c r="B133" s="200" t="s">
        <v>284</v>
      </c>
      <c r="C133" s="310"/>
      <c r="D133" s="240" t="s">
        <v>177</v>
      </c>
      <c r="E133" s="293"/>
      <c r="F133" s="19"/>
      <c r="G133" s="69" t="n">
        <f aca="false">H90*H57</f>
        <v>1024.59311617588</v>
      </c>
      <c r="H133" s="37" t="n">
        <f aca="false">IF(G105="YES", H89*H57, 0)</f>
        <v>72</v>
      </c>
      <c r="I133" s="215"/>
      <c r="J133" s="232" t="n">
        <f aca="false">H91*H57</f>
        <v>1096.59311617588</v>
      </c>
      <c r="K133" s="210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8.75" hidden="false" customHeight="true" outlineLevel="0" collapsed="false">
      <c r="A134" s="70" t="n">
        <f aca="false">B91*B57</f>
        <v>4612.78619402985</v>
      </c>
      <c r="B134" s="201" t="n">
        <f aca="false">E114</f>
        <v>4000</v>
      </c>
      <c r="C134" s="292"/>
      <c r="D134" s="311" t="n">
        <f aca="false">B58</f>
        <v>3</v>
      </c>
      <c r="E134" s="293"/>
      <c r="F134" s="19"/>
      <c r="G134" s="209"/>
      <c r="H134" s="207"/>
      <c r="I134" s="207"/>
      <c r="J134" s="207"/>
      <c r="K134" s="210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8.75" hidden="false" customHeight="true" outlineLevel="0" collapsed="false">
      <c r="A135" s="70"/>
      <c r="B135" s="312"/>
      <c r="C135" s="292"/>
      <c r="D135" s="292"/>
      <c r="E135" s="293"/>
      <c r="F135" s="19"/>
      <c r="G135" s="209" t="s">
        <v>285</v>
      </c>
      <c r="H135" s="207" t="s">
        <v>286</v>
      </c>
      <c r="I135" s="207"/>
      <c r="J135" s="207" t="s">
        <v>287</v>
      </c>
      <c r="K135" s="210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8.75" hidden="false" customHeight="true" outlineLevel="0" collapsed="false">
      <c r="A136" s="78" t="s">
        <v>92</v>
      </c>
      <c r="B136" s="313" t="s">
        <v>271</v>
      </c>
      <c r="C136" s="292"/>
      <c r="D136" s="292" t="s">
        <v>272</v>
      </c>
      <c r="E136" s="293"/>
      <c r="F136" s="19"/>
      <c r="G136" s="70" t="n">
        <f aca="false">E15*0.000006</f>
        <v>0</v>
      </c>
      <c r="H136" s="37" t="n">
        <f aca="false">IF(G105="YES", E15*0.000002, 0)</f>
        <v>0</v>
      </c>
      <c r="I136" s="37"/>
      <c r="J136" s="37" t="n">
        <f aca="false">G136+H136</f>
        <v>0</v>
      </c>
      <c r="K136" s="177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8.75" hidden="false" customHeight="true" outlineLevel="0" collapsed="false">
      <c r="A137" s="70" t="n">
        <f aca="false">B90</f>
        <v>452.53179933665</v>
      </c>
      <c r="B137" s="201" t="n">
        <f aca="false">IF(A105="YES", B89, 0)</f>
        <v>60</v>
      </c>
      <c r="C137" s="292"/>
      <c r="D137" s="201" t="n">
        <f aca="false">B91</f>
        <v>512.53179933665</v>
      </c>
      <c r="E137" s="293"/>
      <c r="F137" s="19"/>
      <c r="G137" s="209"/>
      <c r="H137" s="207"/>
      <c r="I137" s="207"/>
      <c r="J137" s="207"/>
      <c r="K137" s="210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8.75" hidden="false" customHeight="true" outlineLevel="0" collapsed="false">
      <c r="A138" s="291"/>
      <c r="B138" s="292"/>
      <c r="C138" s="292"/>
      <c r="D138" s="292"/>
      <c r="E138" s="293"/>
      <c r="F138" s="19"/>
      <c r="G138" s="209" t="s">
        <v>288</v>
      </c>
      <c r="H138" s="207" t="s">
        <v>289</v>
      </c>
      <c r="I138" s="207"/>
      <c r="J138" s="207" t="s">
        <v>290</v>
      </c>
      <c r="K138" s="210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8.75" hidden="false" customHeight="true" outlineLevel="0" collapsed="false">
      <c r="A139" s="314" t="s">
        <v>180</v>
      </c>
      <c r="B139" s="315" t="s">
        <v>291</v>
      </c>
      <c r="C139" s="201"/>
      <c r="D139" s="315" t="s">
        <v>182</v>
      </c>
      <c r="E139" s="177"/>
      <c r="F139" s="19"/>
      <c r="G139" s="70" t="n">
        <f aca="false">G102</f>
        <v>239.988</v>
      </c>
      <c r="H139" s="37" t="n">
        <f aca="false">H67</f>
        <v>187.025</v>
      </c>
      <c r="I139" s="37"/>
      <c r="J139" s="37" t="n">
        <f aca="false">H102*0.9</f>
        <v>1080</v>
      </c>
      <c r="K139" s="177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8.75" hidden="false" customHeight="true" outlineLevel="0" collapsed="false">
      <c r="A140" s="316" t="n">
        <f aca="false">(G18*0.000006)*1.2*100</f>
        <v>26.9316</v>
      </c>
      <c r="B140" s="317" t="n">
        <f aca="false">G18*0.000002 *1.2*100</f>
        <v>8.9772</v>
      </c>
      <c r="C140" s="292"/>
      <c r="D140" s="317" t="n">
        <f aca="false">A140+B140</f>
        <v>35.9088</v>
      </c>
      <c r="E140" s="293"/>
      <c r="F140" s="19"/>
      <c r="G140" s="209"/>
      <c r="H140" s="207"/>
      <c r="I140" s="207"/>
      <c r="J140" s="207"/>
      <c r="K140" s="210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8.75" hidden="false" customHeight="true" outlineLevel="0" collapsed="false">
      <c r="A141" s="316"/>
      <c r="B141" s="317"/>
      <c r="C141" s="292"/>
      <c r="D141" s="317"/>
      <c r="E141" s="293"/>
      <c r="F141" s="19"/>
      <c r="G141" s="209" t="s">
        <v>292</v>
      </c>
      <c r="H141" s="207" t="s">
        <v>293</v>
      </c>
      <c r="I141" s="207"/>
      <c r="J141" s="207" t="s">
        <v>294</v>
      </c>
      <c r="K141" s="210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8.75" hidden="false" customHeight="true" outlineLevel="0" collapsed="false">
      <c r="A142" s="314" t="s">
        <v>295</v>
      </c>
      <c r="B142" s="315" t="s">
        <v>152</v>
      </c>
      <c r="C142" s="201"/>
      <c r="D142" s="315" t="s">
        <v>246</v>
      </c>
      <c r="E142" s="293"/>
      <c r="F142" s="19"/>
      <c r="G142" s="70" t="n">
        <f aca="false">IF(G105="YES", H89*0.1, 0)</f>
        <v>7.2</v>
      </c>
      <c r="H142" s="37" t="n">
        <f aca="false">G102-100</f>
        <v>139.988</v>
      </c>
      <c r="I142" s="37"/>
      <c r="J142" s="37" t="n">
        <f aca="false">(H139+J139+G142+H142)-H145</f>
        <v>1414.213</v>
      </c>
      <c r="K142" s="177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8.75" hidden="false" customHeight="true" outlineLevel="0" collapsed="false">
      <c r="A143" s="70" t="n">
        <v>0</v>
      </c>
      <c r="B143" s="201" t="n">
        <f aca="false">E118</f>
        <v>199.99</v>
      </c>
      <c r="C143" s="292"/>
      <c r="D143" s="152" t="n">
        <f aca="false">B102</f>
        <v>400</v>
      </c>
      <c r="E143" s="293"/>
      <c r="F143" s="19"/>
      <c r="G143" s="209"/>
      <c r="H143" s="207"/>
      <c r="I143" s="207"/>
      <c r="J143" s="207"/>
      <c r="K143" s="210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8.75" hidden="false" customHeight="true" outlineLevel="0" collapsed="false">
      <c r="A144" s="70"/>
      <c r="B144" s="201"/>
      <c r="C144" s="292"/>
      <c r="D144" s="201"/>
      <c r="E144" s="293"/>
      <c r="F144" s="19"/>
      <c r="G144" s="209" t="s">
        <v>296</v>
      </c>
      <c r="H144" s="207" t="s">
        <v>297</v>
      </c>
      <c r="I144" s="207"/>
      <c r="J144" s="207"/>
      <c r="K144" s="210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8.75" hidden="false" customHeight="true" outlineLevel="0" collapsed="false">
      <c r="A145" s="318" t="s">
        <v>298</v>
      </c>
      <c r="B145" s="319"/>
      <c r="C145" s="320"/>
      <c r="D145" s="319"/>
      <c r="E145" s="321"/>
      <c r="F145" s="19"/>
      <c r="G145" s="70" t="n">
        <f aca="false">IF((1200-H102) &lt;= 0, 0, (1200-H102))</f>
        <v>0</v>
      </c>
      <c r="H145" s="37" t="n">
        <f aca="false">(H139+J139+G142+H142)*(G145/H64)</f>
        <v>0</v>
      </c>
      <c r="I145" s="207"/>
      <c r="J145" s="207"/>
      <c r="K145" s="210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8.75" hidden="false" customHeight="true" outlineLevel="0" collapsed="false">
      <c r="A146" s="316"/>
      <c r="B146" s="317"/>
      <c r="C146" s="292"/>
      <c r="D146" s="317"/>
      <c r="E146" s="293"/>
      <c r="F146" s="19"/>
      <c r="G146" s="209"/>
      <c r="H146" s="207"/>
      <c r="I146" s="207"/>
      <c r="J146" s="207"/>
      <c r="K146" s="210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8.75" hidden="false" customHeight="true" outlineLevel="0" collapsed="false">
      <c r="A147" s="291" t="s">
        <v>299</v>
      </c>
      <c r="B147" s="292" t="s">
        <v>300</v>
      </c>
      <c r="C147" s="292"/>
      <c r="D147" s="292" t="s">
        <v>301</v>
      </c>
      <c r="E147" s="293"/>
      <c r="F147" s="19"/>
      <c r="G147" s="209"/>
      <c r="H147" s="207"/>
      <c r="I147" s="207"/>
      <c r="J147" s="207"/>
      <c r="K147" s="210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8.75" hidden="false" customHeight="true" outlineLevel="0" collapsed="false">
      <c r="A148" s="70" t="n">
        <f aca="false">B67</f>
        <v>374.05</v>
      </c>
      <c r="B148" s="201" t="n">
        <f aca="false">B102</f>
        <v>400</v>
      </c>
      <c r="C148" s="201"/>
      <c r="D148" s="201" t="n">
        <f aca="false">IF(A105="YES", (A38/100*B105)*B125, 0)*0.001</f>
        <v>12</v>
      </c>
      <c r="E148" s="177"/>
      <c r="F148" s="19"/>
      <c r="G148" s="243" t="s">
        <v>304</v>
      </c>
      <c r="H148" s="207"/>
      <c r="I148" s="207"/>
      <c r="J148" s="244"/>
      <c r="K148" s="245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8.75" hidden="false" customHeight="true" outlineLevel="0" collapsed="false">
      <c r="A149" s="291"/>
      <c r="B149" s="292"/>
      <c r="C149" s="292"/>
      <c r="D149" s="292"/>
      <c r="E149" s="293"/>
      <c r="F149" s="19"/>
      <c r="G149" s="209"/>
      <c r="H149" s="246"/>
      <c r="I149" s="246"/>
      <c r="J149" s="207"/>
      <c r="K149" s="210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8.75" hidden="false" customHeight="true" outlineLevel="0" collapsed="false">
      <c r="A150" s="291" t="s">
        <v>305</v>
      </c>
      <c r="B150" s="292" t="s">
        <v>297</v>
      </c>
      <c r="C150" s="292"/>
      <c r="D150" s="292" t="s">
        <v>294</v>
      </c>
      <c r="E150" s="293"/>
      <c r="F150" s="19"/>
      <c r="G150" s="248" t="s">
        <v>28</v>
      </c>
      <c r="H150" s="249" t="s">
        <v>33</v>
      </c>
      <c r="I150" s="249"/>
      <c r="J150" s="207"/>
      <c r="K150" s="210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8.75" hidden="false" customHeight="true" outlineLevel="0" collapsed="false">
      <c r="A151" s="70" t="n">
        <f aca="false">E118-100</f>
        <v>99.99</v>
      </c>
      <c r="B151" s="201" t="n">
        <f aca="false">(A148+B148+D148+A151)*(A143/B64)</f>
        <v>0</v>
      </c>
      <c r="C151" s="201"/>
      <c r="D151" s="201" t="n">
        <f aca="false">(A148+B148+D148+A151)-B151</f>
        <v>886.04</v>
      </c>
      <c r="E151" s="177"/>
      <c r="F151" s="19"/>
      <c r="G151" s="248"/>
      <c r="H151" s="250" t="n">
        <f aca="false">B51</f>
        <v>5000</v>
      </c>
      <c r="I151" s="250"/>
      <c r="J151" s="207"/>
      <c r="K151" s="210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8.75" hidden="false" customHeight="true" outlineLevel="0" collapsed="false">
      <c r="A152" s="291"/>
      <c r="B152" s="292"/>
      <c r="C152" s="292"/>
      <c r="D152" s="292"/>
      <c r="E152" s="293"/>
      <c r="F152" s="19"/>
      <c r="G152" s="251" t="n">
        <f aca="false">A52</f>
        <v>12</v>
      </c>
      <c r="H152" s="92" t="n">
        <f aca="false">H91</f>
        <v>1096.59311617588</v>
      </c>
      <c r="I152" s="92"/>
      <c r="J152" s="207"/>
      <c r="K152" s="210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8.75" hidden="false" customHeight="true" outlineLevel="0" collapsed="false">
      <c r="A153" s="291" t="s">
        <v>306</v>
      </c>
      <c r="B153" s="292"/>
      <c r="C153" s="292"/>
      <c r="D153" s="292"/>
      <c r="E153" s="293"/>
      <c r="F153" s="19"/>
      <c r="G153" s="209"/>
      <c r="H153" s="207"/>
      <c r="I153" s="207"/>
      <c r="J153" s="207"/>
      <c r="K153" s="210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9.5" hidden="false" customHeight="true" outlineLevel="0" collapsed="false">
      <c r="A154" s="70" t="n">
        <f aca="false">D102</f>
        <v>200</v>
      </c>
      <c r="B154" s="201"/>
      <c r="C154" s="292"/>
      <c r="D154" s="292"/>
      <c r="E154" s="293"/>
      <c r="F154" s="19"/>
      <c r="G154" s="209"/>
      <c r="H154" s="207"/>
      <c r="I154" s="207"/>
      <c r="J154" s="207"/>
      <c r="K154" s="210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8.75" hidden="false" customHeight="true" outlineLevel="0" collapsed="false">
      <c r="A155" s="291"/>
      <c r="B155" s="292"/>
      <c r="C155" s="292"/>
      <c r="D155" s="292"/>
      <c r="E155" s="293"/>
      <c r="F155" s="19"/>
      <c r="G155" s="209"/>
      <c r="H155" s="207"/>
      <c r="I155" s="207"/>
      <c r="J155" s="207"/>
      <c r="K155" s="210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8.75" hidden="false" customHeight="true" outlineLevel="0" collapsed="false">
      <c r="A156" s="291"/>
      <c r="B156" s="292"/>
      <c r="C156" s="292"/>
      <c r="D156" s="292"/>
      <c r="E156" s="293"/>
      <c r="F156" s="19"/>
      <c r="G156" s="209"/>
      <c r="H156" s="207"/>
      <c r="I156" s="207"/>
      <c r="J156" s="207"/>
      <c r="K156" s="210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8.75" hidden="false" customHeight="true" outlineLevel="0" collapsed="false">
      <c r="A157" s="324" t="s">
        <v>304</v>
      </c>
      <c r="B157" s="292"/>
      <c r="C157" s="292"/>
      <c r="D157" s="325"/>
      <c r="E157" s="326"/>
      <c r="F157" s="19"/>
      <c r="G157" s="252"/>
      <c r="H157" s="253"/>
      <c r="I157" s="253"/>
      <c r="J157" s="253"/>
      <c r="K157" s="254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8.75" hidden="false" customHeight="true" outlineLevel="0" collapsed="false">
      <c r="A158" s="291"/>
      <c r="B158" s="327"/>
      <c r="C158" s="327"/>
      <c r="D158" s="292"/>
      <c r="E158" s="293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8.75" hidden="false" customHeight="true" outlineLevel="0" collapsed="false">
      <c r="A159" s="248" t="s">
        <v>28</v>
      </c>
      <c r="B159" s="249" t="s">
        <v>33</v>
      </c>
      <c r="C159" s="249"/>
      <c r="D159" s="292"/>
      <c r="E159" s="293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8.75" hidden="false" customHeight="true" outlineLevel="0" collapsed="false">
      <c r="A160" s="248"/>
      <c r="B160" s="250" t="n">
        <f aca="false">B51</f>
        <v>5000</v>
      </c>
      <c r="C160" s="250"/>
      <c r="D160" s="292"/>
      <c r="E160" s="293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8.75" hidden="false" customHeight="true" outlineLevel="0" collapsed="false">
      <c r="A161" s="251" t="n">
        <f aca="false">A52</f>
        <v>12</v>
      </c>
      <c r="B161" s="92" t="n">
        <f aca="false">B91</f>
        <v>512.53179933665</v>
      </c>
      <c r="C161" s="92"/>
      <c r="D161" s="292"/>
      <c r="E161" s="293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8.75" hidden="false" customHeight="true" outlineLevel="0" collapsed="false">
      <c r="A162" s="291"/>
      <c r="B162" s="292"/>
      <c r="C162" s="292"/>
      <c r="D162" s="292"/>
      <c r="E162" s="293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8.75" hidden="false" customHeight="true" outlineLevel="0" collapsed="false">
      <c r="A163" s="291"/>
      <c r="B163" s="292"/>
      <c r="C163" s="292"/>
      <c r="D163" s="292"/>
      <c r="E163" s="293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8.75" hidden="false" customHeight="true" outlineLevel="0" collapsed="false">
      <c r="A164" s="291"/>
      <c r="B164" s="292"/>
      <c r="C164" s="292"/>
      <c r="D164" s="292"/>
      <c r="E164" s="293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8.75" hidden="false" customHeight="true" outlineLevel="0" collapsed="false">
      <c r="A165" s="328" t="s">
        <v>270</v>
      </c>
      <c r="B165" s="328"/>
      <c r="C165" s="328"/>
      <c r="D165" s="328"/>
      <c r="E165" s="328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8.75" hidden="false" customHeight="true" outlineLevel="0" collapsed="false">
      <c r="A166" s="291"/>
      <c r="B166" s="329"/>
      <c r="C166" s="329"/>
      <c r="D166" s="329"/>
      <c r="E166" s="293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8.75" hidden="false" customHeight="true" outlineLevel="0" collapsed="false">
      <c r="A167" s="294" t="s">
        <v>98</v>
      </c>
      <c r="B167" s="330" t="s">
        <v>174</v>
      </c>
      <c r="C167" s="331"/>
      <c r="D167" s="330" t="s">
        <v>33</v>
      </c>
      <c r="E167" s="297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8.75" hidden="false" customHeight="true" outlineLevel="0" collapsed="false">
      <c r="A168" s="298" t="s">
        <v>254</v>
      </c>
      <c r="B168" s="332" t="n">
        <f aca="false">A161</f>
        <v>12</v>
      </c>
      <c r="C168" s="333"/>
      <c r="D168" s="331" t="n">
        <f aca="false">B160</f>
        <v>5000</v>
      </c>
      <c r="E168" s="297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8.75" hidden="false" customHeight="true" outlineLevel="0" collapsed="false">
      <c r="A169" s="294"/>
      <c r="B169" s="330"/>
      <c r="C169" s="330"/>
      <c r="D169" s="330"/>
      <c r="E169" s="297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8.75" hidden="false" customHeight="true" outlineLevel="0" collapsed="false">
      <c r="A170" s="294" t="s">
        <v>92</v>
      </c>
      <c r="B170" s="330" t="s">
        <v>271</v>
      </c>
      <c r="C170" s="331"/>
      <c r="D170" s="330" t="s">
        <v>272</v>
      </c>
      <c r="E170" s="297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8.75" hidden="false" customHeight="true" outlineLevel="0" collapsed="false">
      <c r="A171" s="298" t="n">
        <f aca="false">B90</f>
        <v>452.53179933665</v>
      </c>
      <c r="B171" s="331" t="n">
        <f aca="false">IF(A105="YES", B89, 0)</f>
        <v>60</v>
      </c>
      <c r="C171" s="334"/>
      <c r="D171" s="331" t="n">
        <f aca="false">B91</f>
        <v>512.53179933665</v>
      </c>
      <c r="E171" s="297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8.75" hidden="false" customHeight="true" outlineLevel="0" collapsed="false">
      <c r="A172" s="291"/>
      <c r="B172" s="329"/>
      <c r="C172" s="329"/>
      <c r="D172" s="329"/>
      <c r="E172" s="293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8.75" hidden="false" customHeight="true" outlineLevel="0" collapsed="false">
      <c r="A173" s="304" t="s">
        <v>23</v>
      </c>
      <c r="B173" s="335" t="s">
        <v>277</v>
      </c>
      <c r="C173" s="223"/>
      <c r="D173" s="335" t="s">
        <v>278</v>
      </c>
      <c r="E173" s="293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8.75" hidden="false" customHeight="true" outlineLevel="0" collapsed="false">
      <c r="A174" s="309" t="str">
        <f aca="false">B99</f>
        <v>Terminal pause with 9 down</v>
      </c>
      <c r="B174" s="37" t="n">
        <f aca="false">B90*B57</f>
        <v>4072.78619402985</v>
      </c>
      <c r="C174" s="329"/>
      <c r="D174" s="37" t="n">
        <f aca="false">IF(A105="YES", B89*B57, 0)</f>
        <v>540</v>
      </c>
      <c r="E174" s="293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8.75" hidden="false" customHeight="true" outlineLevel="0" collapsed="false">
      <c r="A175" s="291"/>
      <c r="B175" s="329"/>
      <c r="C175" s="329"/>
      <c r="D175" s="329"/>
      <c r="E175" s="293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8.75" hidden="false" customHeight="true" outlineLevel="0" collapsed="false">
      <c r="A176" s="123" t="s">
        <v>283</v>
      </c>
      <c r="B176" s="38" t="s">
        <v>284</v>
      </c>
      <c r="C176" s="336"/>
      <c r="D176" s="233" t="s">
        <v>177</v>
      </c>
      <c r="E176" s="293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8.75" hidden="false" customHeight="true" outlineLevel="0" collapsed="false">
      <c r="A177" s="70" t="n">
        <f aca="false">B91*B57</f>
        <v>4612.78619402985</v>
      </c>
      <c r="B177" s="37" t="n">
        <f aca="false">E114</f>
        <v>4000</v>
      </c>
      <c r="C177" s="329"/>
      <c r="D177" s="337" t="n">
        <f aca="false">B58</f>
        <v>3</v>
      </c>
      <c r="E177" s="293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8.75" hidden="false" customHeight="true" outlineLevel="0" collapsed="false">
      <c r="A178" s="70"/>
      <c r="B178" s="338"/>
      <c r="C178" s="329"/>
      <c r="D178" s="329"/>
      <c r="E178" s="293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8.75" hidden="false" customHeight="true" outlineLevel="0" collapsed="false">
      <c r="A179" s="78" t="s">
        <v>92</v>
      </c>
      <c r="B179" s="339" t="s">
        <v>271</v>
      </c>
      <c r="C179" s="329"/>
      <c r="D179" s="329" t="s">
        <v>272</v>
      </c>
      <c r="E179" s="293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8.75" hidden="false" customHeight="true" outlineLevel="0" collapsed="false">
      <c r="A180" s="70" t="n">
        <f aca="false">B90</f>
        <v>452.53179933665</v>
      </c>
      <c r="B180" s="37" t="n">
        <f aca="false">IF(A105="YES", B89, 0)</f>
        <v>60</v>
      </c>
      <c r="C180" s="329"/>
      <c r="D180" s="37" t="n">
        <f aca="false">B91</f>
        <v>512.53179933665</v>
      </c>
      <c r="E180" s="293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8.75" hidden="false" customHeight="true" outlineLevel="0" collapsed="false">
      <c r="A181" s="291"/>
      <c r="B181" s="329"/>
      <c r="C181" s="329"/>
      <c r="D181" s="329"/>
      <c r="E181" s="293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8.75" hidden="false" customHeight="true" outlineLevel="0" collapsed="false">
      <c r="A182" s="314" t="s">
        <v>180</v>
      </c>
      <c r="B182" s="340" t="s">
        <v>291</v>
      </c>
      <c r="C182" s="37"/>
      <c r="D182" s="340" t="s">
        <v>182</v>
      </c>
      <c r="E182" s="177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8.75" hidden="false" customHeight="true" outlineLevel="0" collapsed="false">
      <c r="A183" s="316" t="n">
        <f aca="false">(G18*0.000006)*1.2*100</f>
        <v>26.9316</v>
      </c>
      <c r="B183" s="341" t="n">
        <f aca="false">G18*0.000002 *1.2*100</f>
        <v>8.9772</v>
      </c>
      <c r="C183" s="329"/>
      <c r="D183" s="341" t="n">
        <f aca="false">A183+B183</f>
        <v>35.9088</v>
      </c>
      <c r="E183" s="293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8.75" hidden="false" customHeight="true" outlineLevel="0" collapsed="false">
      <c r="A184" s="316"/>
      <c r="B184" s="341"/>
      <c r="C184" s="329"/>
      <c r="D184" s="341"/>
      <c r="E184" s="293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8.75" hidden="false" customHeight="true" outlineLevel="0" collapsed="false">
      <c r="A185" s="314" t="s">
        <v>295</v>
      </c>
      <c r="B185" s="340" t="s">
        <v>152</v>
      </c>
      <c r="C185" s="37"/>
      <c r="D185" s="340" t="s">
        <v>246</v>
      </c>
      <c r="E185" s="293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8.75" hidden="false" customHeight="true" outlineLevel="0" collapsed="false">
      <c r="A186" s="70" t="n">
        <v>0</v>
      </c>
      <c r="B186" s="37" t="n">
        <f aca="false">E118</f>
        <v>199.99</v>
      </c>
      <c r="C186" s="329"/>
      <c r="D186" s="152" t="n">
        <f aca="false">B102</f>
        <v>400</v>
      </c>
      <c r="E186" s="293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8.75" hidden="false" customHeight="true" outlineLevel="0" collapsed="false">
      <c r="A187" s="70"/>
      <c r="B187" s="37"/>
      <c r="C187" s="329"/>
      <c r="D187" s="37"/>
      <c r="E187" s="293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8.75" hidden="false" customHeight="true" outlineLevel="0" collapsed="false">
      <c r="A188" s="318" t="s">
        <v>298</v>
      </c>
      <c r="B188" s="319"/>
      <c r="C188" s="320"/>
      <c r="D188" s="319"/>
      <c r="E188" s="321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8.75" hidden="false" customHeight="true" outlineLevel="0" collapsed="false">
      <c r="A189" s="316"/>
      <c r="B189" s="341"/>
      <c r="C189" s="329"/>
      <c r="D189" s="341"/>
      <c r="E189" s="293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8.75" hidden="false" customHeight="true" outlineLevel="0" collapsed="false">
      <c r="A190" s="291" t="s">
        <v>299</v>
      </c>
      <c r="B190" s="329" t="s">
        <v>300</v>
      </c>
      <c r="C190" s="329"/>
      <c r="D190" s="329" t="s">
        <v>301</v>
      </c>
      <c r="E190" s="293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8.75" hidden="false" customHeight="true" outlineLevel="0" collapsed="false">
      <c r="A191" s="70" t="n">
        <f aca="false">B67</f>
        <v>374.05</v>
      </c>
      <c r="B191" s="37" t="n">
        <f aca="false">B102</f>
        <v>400</v>
      </c>
      <c r="C191" s="37"/>
      <c r="D191" s="37" t="n">
        <f aca="false">IF(A105="YES", (A38/100*B105)*B125, 0)*0.001</f>
        <v>12</v>
      </c>
      <c r="E191" s="177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8.75" hidden="false" customHeight="true" outlineLevel="0" collapsed="false">
      <c r="A192" s="291"/>
      <c r="B192" s="329"/>
      <c r="C192" s="329"/>
      <c r="D192" s="329"/>
      <c r="E192" s="293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8.75" hidden="false" customHeight="true" outlineLevel="0" collapsed="false">
      <c r="A193" s="291" t="s">
        <v>305</v>
      </c>
      <c r="B193" s="329" t="s">
        <v>297</v>
      </c>
      <c r="C193" s="329"/>
      <c r="D193" s="329" t="s">
        <v>294</v>
      </c>
      <c r="E193" s="293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8.75" hidden="false" customHeight="true" outlineLevel="0" collapsed="false">
      <c r="A194" s="70" t="n">
        <f aca="false">E118-100</f>
        <v>99.99</v>
      </c>
      <c r="B194" s="37" t="n">
        <f aca="false">(A148+B148+D148+A151)*(A143/B64)</f>
        <v>0</v>
      </c>
      <c r="C194" s="37"/>
      <c r="D194" s="37" t="n">
        <f aca="false">(A148+B148+D148+A151)-B151</f>
        <v>886.04</v>
      </c>
      <c r="E194" s="177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8.75" hidden="false" customHeight="true" outlineLevel="0" collapsed="false">
      <c r="A195" s="291"/>
      <c r="B195" s="329"/>
      <c r="C195" s="329"/>
      <c r="D195" s="329"/>
      <c r="E195" s="293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8.75" hidden="false" customHeight="true" outlineLevel="0" collapsed="false">
      <c r="A196" s="291" t="s">
        <v>306</v>
      </c>
      <c r="B196" s="329"/>
      <c r="C196" s="329"/>
      <c r="D196" s="329"/>
      <c r="E196" s="293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8.75" hidden="false" customHeight="true" outlineLevel="0" collapsed="false">
      <c r="A197" s="70" t="n">
        <f aca="false">D102</f>
        <v>200</v>
      </c>
      <c r="B197" s="37"/>
      <c r="C197" s="329"/>
      <c r="D197" s="329"/>
      <c r="E197" s="293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8.75" hidden="false" customHeight="true" outlineLevel="0" collapsed="false">
      <c r="A198" s="342"/>
      <c r="B198" s="343"/>
      <c r="C198" s="343"/>
      <c r="D198" s="343"/>
      <c r="E198" s="344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8.75" hidden="false" customHeight="true" outlineLevel="0" collapsed="false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8.75" hidden="false" customHeight="true" outlineLevel="0" collapsed="false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8.75" hidden="false" customHeight="true" outlineLevel="0" collapsed="false">
      <c r="A201" s="328" t="s">
        <v>185</v>
      </c>
      <c r="B201" s="328"/>
      <c r="C201" s="328"/>
      <c r="D201" s="328"/>
      <c r="E201" s="328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8.75" hidden="false" customHeight="true" outlineLevel="0" collapsed="false">
      <c r="A202" s="291"/>
      <c r="B202" s="292"/>
      <c r="C202" s="292"/>
      <c r="D202" s="292"/>
      <c r="E202" s="293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8.75" hidden="false" customHeight="true" outlineLevel="0" collapsed="false">
      <c r="A203" s="294" t="s">
        <v>186</v>
      </c>
      <c r="B203" s="345" t="n">
        <f aca="false">H29</f>
        <v>12</v>
      </c>
      <c r="C203" s="296" t="s">
        <v>188</v>
      </c>
      <c r="D203" s="346" t="n">
        <f aca="false">D64</f>
        <v>2012.49972</v>
      </c>
      <c r="E203" s="297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8.75" hidden="false" customHeight="true" outlineLevel="0" collapsed="false">
      <c r="A204" s="298"/>
      <c r="B204" s="299"/>
      <c r="C204" s="300"/>
      <c r="D204" s="299"/>
      <c r="E204" s="297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8.75" hidden="false" customHeight="true" outlineLevel="0" collapsed="false">
      <c r="A205" s="294" t="s">
        <v>189</v>
      </c>
      <c r="B205" s="296" t="n">
        <f aca="false">B213</f>
        <v>374.05</v>
      </c>
      <c r="C205" s="295" t="s">
        <v>190</v>
      </c>
      <c r="D205" s="346" t="n">
        <f aca="false">B219+E215+B215+B217</f>
        <v>459.99</v>
      </c>
      <c r="E205" s="297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8.75" hidden="false" customHeight="true" outlineLevel="0" collapsed="false">
      <c r="A206" s="294"/>
      <c r="B206" s="347"/>
      <c r="C206" s="296"/>
      <c r="D206" s="295"/>
      <c r="E206" s="297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8.75" hidden="false" customHeight="true" outlineLevel="0" collapsed="false">
      <c r="A207" s="298" t="s">
        <v>191</v>
      </c>
      <c r="B207" s="296" t="n">
        <f aca="false">E217</f>
        <v>2098.43972</v>
      </c>
      <c r="C207" s="300"/>
      <c r="D207" s="296"/>
      <c r="E207" s="297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8.75" hidden="false" customHeight="true" outlineLevel="0" collapsed="false">
      <c r="A208" s="291"/>
      <c r="B208" s="313"/>
      <c r="C208" s="292"/>
      <c r="D208" s="292"/>
      <c r="E208" s="293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8.75" hidden="false" customHeight="true" outlineLevel="0" collapsed="false">
      <c r="A209" s="222" t="s">
        <v>186</v>
      </c>
      <c r="B209" s="348" t="n">
        <v>0.065</v>
      </c>
      <c r="C209" s="306"/>
      <c r="D209" s="305"/>
      <c r="E209" s="293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8.75" hidden="false" customHeight="true" outlineLevel="0" collapsed="false">
      <c r="A210" s="349"/>
      <c r="B210" s="200"/>
      <c r="C210" s="292"/>
      <c r="D210" s="201"/>
      <c r="E210" s="293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8.75" hidden="false" customHeight="true" outlineLevel="0" collapsed="false">
      <c r="A211" s="350" t="s">
        <v>188</v>
      </c>
      <c r="B211" s="60" t="n">
        <f aca="false">D64</f>
        <v>2012.49972</v>
      </c>
      <c r="C211" s="351" t="s">
        <v>194</v>
      </c>
      <c r="D211" s="292"/>
      <c r="E211" s="352" t="n">
        <f aca="false">B66</f>
        <v>0.01</v>
      </c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8.75" hidden="false" customHeight="true" outlineLevel="0" collapsed="false">
      <c r="A212" s="69"/>
      <c r="B212" s="200"/>
      <c r="C212" s="310"/>
      <c r="D212" s="240"/>
      <c r="E212" s="293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8.75" hidden="false" customHeight="true" outlineLevel="0" collapsed="false">
      <c r="A213" s="70" t="s">
        <v>194</v>
      </c>
      <c r="B213" s="60" t="n">
        <f aca="false">B67</f>
        <v>374.05</v>
      </c>
      <c r="C213" s="310" t="s">
        <v>307</v>
      </c>
      <c r="D213" s="353"/>
      <c r="E213" s="103" t="n">
        <v>0.001</v>
      </c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8.75" hidden="false" customHeight="true" outlineLevel="0" collapsed="false">
      <c r="A214" s="70"/>
      <c r="B214" s="313"/>
      <c r="C214" s="310"/>
      <c r="D214" s="292"/>
      <c r="E214" s="293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8.75" hidden="false" customHeight="true" outlineLevel="0" collapsed="false">
      <c r="A215" s="70" t="s">
        <v>307</v>
      </c>
      <c r="B215" s="233" t="n">
        <f aca="false">B191*E213*100</f>
        <v>40</v>
      </c>
      <c r="C215" s="310" t="s">
        <v>196</v>
      </c>
      <c r="D215" s="292"/>
      <c r="E215" s="20" t="n">
        <f aca="false">A194</f>
        <v>99.99</v>
      </c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8.75" hidden="false" customHeight="true" outlineLevel="0" collapsed="false">
      <c r="A216" s="70"/>
      <c r="B216" s="200"/>
      <c r="C216" s="310"/>
      <c r="D216" s="201"/>
      <c r="E216" s="293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8.75" hidden="false" customHeight="true" outlineLevel="0" collapsed="false">
      <c r="A217" s="350" t="s">
        <v>308</v>
      </c>
      <c r="B217" s="233" t="n">
        <f aca="false">B78-(B78*(E213*100))</f>
        <v>200</v>
      </c>
      <c r="C217" s="310" t="s">
        <v>191</v>
      </c>
      <c r="D217" s="292"/>
      <c r="E217" s="20" t="n">
        <f aca="false">(B211-B205+D205)</f>
        <v>2098.43972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8.75" hidden="false" customHeight="true" outlineLevel="0" collapsed="false">
      <c r="A218" s="354"/>
      <c r="B218" s="315"/>
      <c r="C218" s="201"/>
      <c r="D218" s="315"/>
      <c r="E218" s="163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8.75" hidden="false" customHeight="true" outlineLevel="0" collapsed="false">
      <c r="A219" s="354" t="s">
        <v>309</v>
      </c>
      <c r="B219" s="315" t="n">
        <f aca="false">D191/0.1</f>
        <v>120</v>
      </c>
      <c r="C219" s="201"/>
      <c r="D219" s="315"/>
      <c r="E219" s="163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8.75" hidden="false" customHeight="true" outlineLevel="0" collapsed="false">
      <c r="A220" s="354"/>
      <c r="B220" s="315"/>
      <c r="C220" s="201"/>
      <c r="D220" s="315"/>
      <c r="E220" s="163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8.75" hidden="false" customHeight="true" outlineLevel="0" collapsed="false">
      <c r="A221" s="318" t="s">
        <v>310</v>
      </c>
      <c r="B221" s="355"/>
      <c r="C221" s="320"/>
      <c r="D221" s="319"/>
      <c r="E221" s="321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18.75" hidden="false" customHeight="true" outlineLevel="0" collapsed="false">
      <c r="A222" s="316"/>
      <c r="B222" s="356"/>
      <c r="C222" s="292"/>
      <c r="D222" s="317"/>
      <c r="E222" s="293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18.75" hidden="false" customHeight="true" outlineLevel="0" collapsed="false">
      <c r="A223" s="316" t="s">
        <v>198</v>
      </c>
      <c r="B223" s="60" t="n">
        <f aca="false">B71</f>
        <v>200</v>
      </c>
      <c r="C223" s="310" t="s">
        <v>199</v>
      </c>
      <c r="D223" s="317"/>
      <c r="E223" s="150" t="n">
        <f aca="false">B72</f>
        <v>5</v>
      </c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18.75" hidden="false" customHeight="true" outlineLevel="0" collapsed="false">
      <c r="A224" s="316"/>
      <c r="B224" s="356"/>
      <c r="C224" s="310" t="s">
        <v>200</v>
      </c>
      <c r="D224" s="317"/>
      <c r="E224" s="20" t="n">
        <f aca="false">D73</f>
        <v>260</v>
      </c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18.75" hidden="false" customHeight="true" outlineLevel="0" collapsed="false">
      <c r="A225" s="316" t="s">
        <v>201</v>
      </c>
      <c r="B225" s="357" t="n">
        <f aca="false">B68</f>
        <v>0.0075</v>
      </c>
      <c r="C225" s="310" t="s">
        <v>202</v>
      </c>
      <c r="D225" s="317"/>
      <c r="E225" s="352" t="n">
        <f aca="false">B69</f>
        <v>0.12</v>
      </c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18.75" hidden="false" customHeight="true" outlineLevel="0" collapsed="false">
      <c r="A226" s="316"/>
      <c r="B226" s="356"/>
      <c r="C226" s="310" t="s">
        <v>203</v>
      </c>
      <c r="D226" s="317"/>
      <c r="E226" s="20" t="n">
        <f aca="false">B86</f>
        <v>79.2152053731343</v>
      </c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customFormat="false" ht="18.75" hidden="false" customHeight="true" outlineLevel="0" collapsed="false">
      <c r="A227" s="316" t="s">
        <v>204</v>
      </c>
      <c r="B227" s="60" t="n">
        <f aca="false">B79</f>
        <v>200</v>
      </c>
      <c r="C227" s="358" t="s">
        <v>311</v>
      </c>
      <c r="D227" s="359"/>
      <c r="E227" s="150" t="n">
        <f aca="false">B74</f>
        <v>0</v>
      </c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18.75" hidden="false" customHeight="true" outlineLevel="0" collapsed="false">
      <c r="A228" s="350"/>
      <c r="B228" s="313"/>
      <c r="C228" s="358"/>
      <c r="D228" s="360"/>
      <c r="E228" s="361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18.75" hidden="false" customHeight="true" outlineLevel="0" collapsed="false">
      <c r="A229" s="70" t="s">
        <v>205</v>
      </c>
      <c r="B229" s="60" t="n">
        <f aca="false">B80</f>
        <v>200</v>
      </c>
      <c r="C229" s="362" t="s">
        <v>312</v>
      </c>
      <c r="D229" s="362"/>
      <c r="E229" s="150" t="n">
        <f aca="false">B75</f>
        <v>0</v>
      </c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18.75" hidden="false" customHeight="true" outlineLevel="0" collapsed="false">
      <c r="A230" s="291"/>
      <c r="B230" s="292"/>
      <c r="C230" s="292"/>
      <c r="D230" s="292"/>
      <c r="E230" s="293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18.75" hidden="false" customHeight="true" outlineLevel="0" collapsed="false">
      <c r="A231" s="291"/>
      <c r="B231" s="292"/>
      <c r="C231" s="292"/>
      <c r="D231" s="292"/>
      <c r="E231" s="293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8.75" hidden="false" customHeight="true" outlineLevel="0" collapsed="false">
      <c r="A232" s="70"/>
      <c r="B232" s="201"/>
      <c r="C232" s="201"/>
      <c r="D232" s="201"/>
      <c r="E232" s="177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18.75" hidden="false" customHeight="true" outlineLevel="0" collapsed="false">
      <c r="A233" s="291"/>
      <c r="B233" s="292"/>
      <c r="C233" s="292"/>
      <c r="D233" s="292"/>
      <c r="E233" s="293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18.75" hidden="false" customHeight="true" outlineLevel="0" collapsed="false">
      <c r="A234" s="291"/>
      <c r="B234" s="292"/>
      <c r="C234" s="292"/>
      <c r="D234" s="292"/>
      <c r="E234" s="293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18.75" hidden="false" customHeight="true" outlineLevel="0" collapsed="false">
      <c r="A235" s="70"/>
      <c r="B235" s="201"/>
      <c r="C235" s="292"/>
      <c r="D235" s="292"/>
      <c r="E235" s="293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18.75" hidden="false" customHeight="true" outlineLevel="0" collapsed="false">
      <c r="A236" s="342"/>
      <c r="B236" s="343"/>
      <c r="C236" s="343"/>
      <c r="D236" s="343"/>
      <c r="E236" s="344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18.75" hidden="false" customHeight="true" outlineLevel="0" collapsed="false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18.75" hidden="false" customHeight="true" outlineLevel="0" collapsed="false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18.75" hidden="false" customHeight="true" outlineLevel="0" collapsed="false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18.75" hidden="false" customHeight="true" outlineLevel="0" collapsed="false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18.75" hidden="false" customHeight="true" outlineLevel="0" collapsed="false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18.75" hidden="false" customHeight="true" outlineLevel="0" collapsed="false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18.75" hidden="false" customHeight="tru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18.75" hidden="false" customHeight="tru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18.75" hidden="false" customHeight="tru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18.75" hidden="false" customHeight="tru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18.75" hidden="false" customHeight="tru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18.75" hidden="false" customHeight="tru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18.75" hidden="false" customHeight="tru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18.75" hidden="false" customHeight="tru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18.75" hidden="false" customHeight="tru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18.75" hidden="false" customHeight="tru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18.75" hidden="false" customHeight="tru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18.75" hidden="false" customHeight="tru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18.75" hidden="false" customHeight="tru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18.75" hidden="false" customHeight="tru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18.75" hidden="false" customHeight="tru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18.75" hidden="false" customHeight="tru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18.75" hidden="false" customHeight="tru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18.75" hidden="false" customHeight="tru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18.75" hidden="false" customHeight="tru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18.75" hidden="false" customHeight="tru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18.75" hidden="false" customHeight="tru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18.75" hidden="false" customHeight="tru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18.75" hidden="false" customHeight="tru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18.75" hidden="false" customHeight="tru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18.75" hidden="false" customHeight="tru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18.75" hidden="false" customHeight="tru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18.75" hidden="false" customHeight="tru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18.75" hidden="false" customHeight="tru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18.75" hidden="false" customHeight="tru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18.75" hidden="false" customHeight="tru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18.75" hidden="false" customHeight="tru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18.75" hidden="false" customHeight="tru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18.75" hidden="false" customHeight="tru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18.75" hidden="false" customHeight="tru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18.75" hidden="false" customHeight="tru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18.75" hidden="false" customHeight="tru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18.75" hidden="false" customHeight="tru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18.75" hidden="false" customHeight="tru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18.75" hidden="false" customHeight="tru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18.75" hidden="false" customHeight="tru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18.75" hidden="false" customHeight="tru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18.75" hidden="false" customHeight="tru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18.75" hidden="false" customHeight="tru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18.75" hidden="false" customHeight="tru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18.75" hidden="false" customHeight="tru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18.75" hidden="false" customHeight="tru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18.75" hidden="false" customHeight="tru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18.75" hidden="false" customHeight="tru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18.75" hidden="false" customHeight="tru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18.75" hidden="false" customHeight="tru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18.75" hidden="false" customHeight="tru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18.75" hidden="false" customHeight="tru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18.75" hidden="false" customHeight="tru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18.75" hidden="false" customHeight="tru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18.75" hidden="false" customHeight="tru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18.75" hidden="false" customHeight="tru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18.75" hidden="false" customHeight="tru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18.75" hidden="false" customHeight="tru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18.75" hidden="false" customHeight="tru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18.75" hidden="false" customHeight="tru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18.75" hidden="false" customHeight="tru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18.75" hidden="false" customHeight="tru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18.75" hidden="false" customHeight="tru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18.75" hidden="false" customHeight="tru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18.75" hidden="false" customHeight="tru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18.75" hidden="false" customHeight="tru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18.75" hidden="false" customHeight="tru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18.75" hidden="false" customHeight="tru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18.75" hidden="false" customHeight="tru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18.75" hidden="false" customHeight="tru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18.75" hidden="false" customHeight="tru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18.75" hidden="false" customHeight="tru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18.75" hidden="false" customHeight="tru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18.75" hidden="false" customHeight="tru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18.75" hidden="false" customHeight="tru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18.75" hidden="false" customHeight="tru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18.75" hidden="false" customHeight="tru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18.75" hidden="false" customHeight="tru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18.75" hidden="false" customHeight="tru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18.75" hidden="false" customHeight="tru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18.75" hidden="false" customHeight="tru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18.75" hidden="false" customHeight="tru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18.75" hidden="false" customHeight="tru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18.75" hidden="false" customHeight="tru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18.75" hidden="false" customHeight="tru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18.75" hidden="false" customHeight="tru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18.75" hidden="false" customHeight="tru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18.75" hidden="false" customHeight="tru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18.75" hidden="false" customHeight="tru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18.75" hidden="false" customHeight="tru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18.75" hidden="false" customHeight="tru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18.75" hidden="false" customHeight="tru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18.75" hidden="false" customHeight="tru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18.75" hidden="false" customHeight="tru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18.75" hidden="false" customHeight="tru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18.75" hidden="false" customHeight="tru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18.75" hidden="false" customHeight="tru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18.75" hidden="false" customHeight="tru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18.75" hidden="false" customHeight="tru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18.75" hidden="false" customHeight="tru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18.75" hidden="false" customHeight="tru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18.75" hidden="false" customHeight="tru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18.75" hidden="false" customHeight="tru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18.75" hidden="false" customHeight="tru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18.75" hidden="false" customHeight="tru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18.75" hidden="false" customHeight="tru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18.75" hidden="false" customHeight="tru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18.75" hidden="false" customHeight="tru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18.75" hidden="false" customHeight="tru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18.75" hidden="false" customHeight="tru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6">
    <mergeCell ref="A1:F1"/>
    <mergeCell ref="D7:E18"/>
    <mergeCell ref="A16:C18"/>
    <mergeCell ref="A19:D19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8">
    <dataValidation allowBlank="true" operator="between" showDropDown="false" showErrorMessage="true" showInputMessage="false" sqref="H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N99:O99" type="list">
      <formula1>#ref!</formula1>
      <formula2>0</formula2>
    </dataValidation>
    <dataValidation allowBlank="true" operator="between" showDropDown="false" showErrorMessage="true" showInputMessage="false" sqref="B110" type="list">
      <formula1>"NO,YES"</formula1>
      <formula2>0</formula2>
    </dataValidation>
    <dataValidation allowBlank="true" operator="between" showDropDown="false" showErrorMessage="true" showInputMessage="false" sqref="A105" type="list">
      <formula1>"NO,YES"</formula1>
      <formula2>0</formula2>
    </dataValidation>
    <dataValidation allowBlank="true" operator="between" showDropDown="false" showErrorMessage="true" showInputMessage="false" sqref="B38" type="list">
      <formula1>"NO,YES"</formula1>
      <formula2>0</formula2>
    </dataValidation>
    <dataValidation allowBlank="true" operator="between" showDropDown="false" showErrorMessage="true" showInputMessage="false" sqref="B99" type="list">
      <formula1>'BCH (Formula 3) - BCH'!$Z$101:$Z$109</formula1>
      <formula2>0</formula2>
    </dataValidation>
    <dataValidation allowBlank="true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2"/>
  <sheetViews>
    <sheetView showFormulas="false" showGridLines="true" showRowColHeaders="true" showZeros="true" rightToLeft="false" tabSelected="false" showOutlineSymbols="true" defaultGridColor="true" view="normal" topLeftCell="A13" colorId="64" zoomScale="75" zoomScaleNormal="75" zoomScalePageLayoutView="100" workbookViewId="0">
      <selection pane="topLeft" activeCell="H33" activeCellId="0" sqref="H33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3" t="s">
        <v>0</v>
      </c>
      <c r="B1" s="3"/>
      <c r="C1" s="3"/>
      <c r="D1" s="3"/>
      <c r="E1" s="3"/>
      <c r="F1" s="3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8.75" hidden="false" customHeight="true" outlineLevel="0" collapsed="false">
      <c r="A2" s="5" t="s">
        <v>1</v>
      </c>
      <c r="B2" s="6" t="n">
        <f aca="false">B9+B11</f>
        <v>23958.33</v>
      </c>
      <c r="C2" s="5" t="s">
        <v>2</v>
      </c>
      <c r="D2" s="6" t="n">
        <f aca="false">C9</f>
        <v>4791.666</v>
      </c>
      <c r="E2" s="5" t="s">
        <v>3</v>
      </c>
      <c r="F2" s="7" t="n">
        <f aca="false">B13</f>
        <v>0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8.75" hidden="false" customHeight="true" outlineLevel="0" collapsed="false">
      <c r="A3" s="10"/>
      <c r="B3" s="11"/>
      <c r="C3" s="11"/>
      <c r="D3" s="11"/>
      <c r="E3" s="11"/>
      <c r="F3" s="12" t="s">
        <v>4</v>
      </c>
      <c r="G3" s="19" t="n">
        <v>25000</v>
      </c>
      <c r="H3" s="19"/>
      <c r="I3" s="19" t="s">
        <v>9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8.75" hidden="false" customHeight="true" outlineLevel="0" collapsed="false">
      <c r="A4" s="5" t="s">
        <v>5</v>
      </c>
      <c r="B4" s="6" t="n">
        <f aca="false">B15+C15</f>
        <v>28749.996</v>
      </c>
      <c r="C4" s="15"/>
      <c r="D4" s="15"/>
      <c r="E4" s="15"/>
      <c r="F4" s="16" t="s">
        <v>4</v>
      </c>
      <c r="G4" s="19"/>
      <c r="H4" s="19"/>
      <c r="I4" s="19" t="s">
        <v>10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8.75" hidden="false" customHeight="true" outlineLevel="0" collapsed="false">
      <c r="A5" s="19"/>
      <c r="B5" s="19"/>
      <c r="C5" s="19"/>
      <c r="D5" s="19"/>
      <c r="E5" s="19"/>
      <c r="F5" s="19" t="s">
        <v>4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8.75" hidden="false" customHeight="true" outlineLevel="0" collapsed="false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8.75" hidden="false" customHeight="true" outlineLevel="0" collapsed="false">
      <c r="A7" s="22" t="s">
        <v>6</v>
      </c>
      <c r="B7" s="22" t="s">
        <v>7</v>
      </c>
      <c r="C7" s="22" t="s">
        <v>2</v>
      </c>
      <c r="D7" s="23"/>
      <c r="E7" s="23"/>
      <c r="F7" s="19"/>
      <c r="G7" s="368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7.35" hidden="false" customHeight="false" outlineLevel="0" collapsed="false">
      <c r="A8" s="24"/>
      <c r="B8" s="19"/>
      <c r="C8" s="19"/>
      <c r="D8" s="23"/>
      <c r="E8" s="23"/>
      <c r="F8" s="19"/>
      <c r="G8" s="369" t="e">
        <f aca="false">G9*100/B3</f>
        <v>#DIV/0!</v>
      </c>
      <c r="H8" s="19"/>
      <c r="I8" s="26" t="s">
        <v>3</v>
      </c>
      <c r="J8" s="27" t="n">
        <f aca="false">E13+E14</f>
        <v>0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8.75" hidden="false" customHeight="true" outlineLevel="0" collapsed="false">
      <c r="A9" s="22" t="s">
        <v>8</v>
      </c>
      <c r="B9" s="28" t="n">
        <v>23958.33</v>
      </c>
      <c r="C9" s="27" t="n">
        <f aca="false">B9*0.2</f>
        <v>4791.666</v>
      </c>
      <c r="D9" s="23"/>
      <c r="E9" s="23"/>
      <c r="F9" s="19"/>
      <c r="G9" s="368" t="n">
        <f aca="false">E9-G11</f>
        <v>-152558.333333333</v>
      </c>
      <c r="H9" s="19"/>
      <c r="I9" s="27"/>
      <c r="J9" s="27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8.75" hidden="false" customHeight="true" outlineLevel="0" collapsed="false">
      <c r="A10" s="31"/>
      <c r="B10" s="19"/>
      <c r="C10" s="19"/>
      <c r="D10" s="23"/>
      <c r="E10" s="23"/>
      <c r="F10" s="19"/>
      <c r="G10" s="368"/>
      <c r="H10" s="19"/>
      <c r="I10" s="32" t="s">
        <v>1</v>
      </c>
      <c r="J10" s="27" t="n">
        <f aca="false">E15-E11-J8</f>
        <v>0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8.75" hidden="false" customHeight="true" outlineLevel="0" collapsed="false">
      <c r="A11" s="22" t="s">
        <v>11</v>
      </c>
      <c r="B11" s="28" t="n">
        <v>0</v>
      </c>
      <c r="C11" s="28" t="n">
        <f aca="false">B11*0.2</f>
        <v>0</v>
      </c>
      <c r="D11" s="23"/>
      <c r="E11" s="23"/>
      <c r="F11" s="19"/>
      <c r="G11" s="368" t="n">
        <f aca="false">G13/1.2</f>
        <v>152558.333333333</v>
      </c>
      <c r="H11" s="19"/>
      <c r="I11" s="27"/>
      <c r="J11" s="27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8.75" hidden="false" customHeight="true" outlineLevel="0" collapsed="false">
      <c r="A12" s="31"/>
      <c r="B12" s="19"/>
      <c r="C12" s="19"/>
      <c r="D12" s="23"/>
      <c r="E12" s="23"/>
      <c r="F12" s="19"/>
      <c r="G12" s="19"/>
      <c r="H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8.75" hidden="false" customHeight="true" outlineLevel="0" collapsed="false">
      <c r="A13" s="22" t="s">
        <v>12</v>
      </c>
      <c r="B13" s="28" t="n">
        <v>0</v>
      </c>
      <c r="C13" s="27"/>
      <c r="D13" s="23"/>
      <c r="E13" s="23"/>
      <c r="F13" s="19"/>
      <c r="G13" s="368" t="n">
        <f aca="false">G15-E14-E13-E12</f>
        <v>183070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8.75" hidden="false" customHeight="true" outlineLevel="0" collapsed="false">
      <c r="A14" s="31"/>
      <c r="B14" s="19"/>
      <c r="C14" s="19"/>
      <c r="D14" s="23"/>
      <c r="E14" s="23"/>
      <c r="F14" s="19"/>
      <c r="G14" s="19" t="s">
        <v>13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8.75" hidden="false" customHeight="true" outlineLevel="0" collapsed="false">
      <c r="A15" s="22" t="s">
        <v>14</v>
      </c>
      <c r="B15" s="27" t="n">
        <f aca="false">SUM(B9:B13)</f>
        <v>23958.33</v>
      </c>
      <c r="C15" s="27" t="n">
        <f aca="false">SUM(C9:C13)</f>
        <v>4791.666</v>
      </c>
      <c r="D15" s="23"/>
      <c r="E15" s="23"/>
      <c r="F15" s="19"/>
      <c r="G15" s="205" t="n">
        <v>183070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8.75" hidden="false" customHeight="true" outlineLevel="0" collapsed="false">
      <c r="A16" s="35"/>
      <c r="B16" s="35"/>
      <c r="C16" s="35"/>
      <c r="D16" s="23"/>
      <c r="E16" s="23"/>
      <c r="F16" s="19"/>
      <c r="G16" s="370" t="n">
        <f aca="false">(B3+C3+E10)*1.2</f>
        <v>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6" t="s">
        <v>15</v>
      </c>
      <c r="Z16" s="19"/>
    </row>
    <row r="17" customFormat="false" ht="18.75" hidden="false" customHeight="true" outlineLevel="0" collapsed="false">
      <c r="A17" s="35"/>
      <c r="B17" s="35"/>
      <c r="C17" s="35"/>
      <c r="D17" s="23"/>
      <c r="E17" s="23"/>
      <c r="F17" s="19"/>
      <c r="G17" s="19" t="s">
        <v>16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6" t="s">
        <v>17</v>
      </c>
      <c r="Z17" s="19"/>
    </row>
    <row r="18" customFormat="false" ht="18.75" hidden="false" customHeight="true" outlineLevel="0" collapsed="false">
      <c r="A18" s="35"/>
      <c r="B18" s="35"/>
      <c r="C18" s="35"/>
      <c r="D18" s="23"/>
      <c r="E18" s="23"/>
      <c r="F18" s="19"/>
      <c r="G18" s="205" t="n">
        <f aca="false">(B3+C3+D3+E3+E10)*1.2</f>
        <v>0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6" t="s">
        <v>18</v>
      </c>
      <c r="Z18" s="19"/>
    </row>
    <row r="19" customFormat="false" ht="18.75" hidden="false" customHeight="true" outlineLevel="0" collapsed="false">
      <c r="A19" s="40" t="s">
        <v>19</v>
      </c>
      <c r="B19" s="40"/>
      <c r="C19" s="40"/>
      <c r="D19" s="40"/>
      <c r="E19" s="27" t="n">
        <f aca="false">B4</f>
        <v>28749.996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 t="s">
        <v>9</v>
      </c>
    </row>
    <row r="20" customFormat="false" ht="18.75" hidden="false" customHeight="true" outlineLevel="0" collapsed="false">
      <c r="A20" s="41"/>
      <c r="B20" s="19"/>
      <c r="C20" s="19"/>
      <c r="D20" s="19"/>
      <c r="E20" s="42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 t="s">
        <v>10</v>
      </c>
    </row>
    <row r="21" customFormat="false" ht="22.05" hidden="false" customHeight="true" outlineLevel="0" collapsed="false">
      <c r="A21" s="40" t="s">
        <v>20</v>
      </c>
      <c r="B21" s="40"/>
      <c r="C21" s="40"/>
      <c r="D21" s="40"/>
      <c r="E21" s="27" t="n">
        <f aca="false">B15</f>
        <v>23958.33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8.75" hidden="false" customHeight="true" outlineLevel="0" collapsed="false">
      <c r="A22" s="207"/>
      <c r="B22" s="207"/>
      <c r="C22" s="207"/>
      <c r="D22" s="207"/>
      <c r="E22" s="207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8.75" hidden="false" customHeight="true" outlineLevel="0" collapsed="false">
      <c r="A23" s="207"/>
      <c r="B23" s="207"/>
      <c r="C23" s="207"/>
      <c r="D23" s="207"/>
      <c r="E23" s="207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45.75" hidden="false" customHeight="true" outlineLevel="0" collapsed="false">
      <c r="A24" s="208" t="s">
        <v>21</v>
      </c>
      <c r="B24" s="208"/>
      <c r="C24" s="208"/>
      <c r="D24" s="208"/>
      <c r="E24" s="20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8.75" hidden="false" customHeight="true" outlineLevel="0" collapsed="false">
      <c r="A25" s="209"/>
      <c r="B25" s="207"/>
      <c r="C25" s="207"/>
      <c r="D25" s="207"/>
      <c r="E25" s="21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8.75" hidden="false" customHeight="true" outlineLevel="0" collapsed="false">
      <c r="A26" s="214" t="s">
        <v>22</v>
      </c>
      <c r="B26" s="216" t="s">
        <v>9</v>
      </c>
      <c r="C26" s="207"/>
      <c r="D26" s="207"/>
      <c r="E26" s="210"/>
      <c r="F26" s="19"/>
      <c r="G26" s="212" t="s">
        <v>23</v>
      </c>
      <c r="H26" s="212" t="s">
        <v>24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8.75" hidden="false" customHeight="true" outlineLevel="0" collapsed="false">
      <c r="A27" s="209"/>
      <c r="B27" s="207"/>
      <c r="C27" s="207"/>
      <c r="D27" s="207"/>
      <c r="E27" s="210"/>
      <c r="F27" s="19"/>
      <c r="G27" s="213" t="s">
        <v>25</v>
      </c>
      <c r="H27" s="213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8.75" hidden="false" customHeight="true" outlineLevel="0" collapsed="false">
      <c r="A28" s="211" t="s">
        <v>153</v>
      </c>
      <c r="B28" s="211"/>
      <c r="C28" s="211"/>
      <c r="D28" s="211"/>
      <c r="E28" s="211"/>
      <c r="F28" s="19"/>
      <c r="G28" s="213" t="s">
        <v>27</v>
      </c>
      <c r="H28" s="213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8.75" hidden="false" customHeight="true" outlineLevel="0" collapsed="false">
      <c r="A29" s="209"/>
      <c r="B29" s="207"/>
      <c r="C29" s="207"/>
      <c r="D29" s="207"/>
      <c r="E29" s="210"/>
      <c r="F29" s="19"/>
      <c r="G29" s="212" t="s">
        <v>214</v>
      </c>
      <c r="H29" s="371" t="n">
        <v>35</v>
      </c>
      <c r="I29" s="367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8.75" hidden="false" customHeight="true" outlineLevel="0" collapsed="false">
      <c r="A30" s="209" t="s">
        <v>29</v>
      </c>
      <c r="B30" s="168" t="s">
        <v>30</v>
      </c>
      <c r="C30" s="168"/>
      <c r="D30" s="207"/>
      <c r="E30" s="210"/>
      <c r="F30" s="19"/>
      <c r="G30" s="212" t="s">
        <v>31</v>
      </c>
      <c r="H30" s="371" t="n">
        <v>35000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8.75" hidden="false" customHeight="true" outlineLevel="0" collapsed="false">
      <c r="A31" s="209"/>
      <c r="B31" s="207"/>
      <c r="C31" s="207"/>
      <c r="D31" s="207"/>
      <c r="E31" s="210"/>
      <c r="F31" s="19"/>
      <c r="G31" s="212" t="s">
        <v>32</v>
      </c>
      <c r="H31" s="62" t="n">
        <v>0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8.75" hidden="false" customHeight="true" outlineLevel="0" collapsed="false">
      <c r="A32" s="209" t="s">
        <v>28</v>
      </c>
      <c r="B32" s="207" t="s">
        <v>33</v>
      </c>
      <c r="C32" s="207"/>
      <c r="D32" s="372" t="s">
        <v>34</v>
      </c>
      <c r="E32" s="210"/>
      <c r="F32" s="19"/>
      <c r="G32" s="212" t="s">
        <v>35</v>
      </c>
      <c r="I32" s="62" t="n">
        <v>0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31.6" hidden="false" customHeight="true" outlineLevel="0" collapsed="false">
      <c r="A33" s="222" t="n">
        <f aca="false">A52</f>
        <v>35</v>
      </c>
      <c r="B33" s="174" t="n">
        <v>10000</v>
      </c>
      <c r="C33" s="223"/>
      <c r="D33" s="373" t="n">
        <f aca="false">H48</f>
        <v>753.306610758122</v>
      </c>
      <c r="E33" s="210"/>
      <c r="F33" s="19"/>
      <c r="G33" s="213" t="s">
        <v>36</v>
      </c>
      <c r="H33" s="374" t="n">
        <f aca="false">E21-E11</f>
        <v>23958.33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8.75" hidden="false" customHeight="true" outlineLevel="0" collapsed="false">
      <c r="A34" s="209"/>
      <c r="B34" s="207"/>
      <c r="C34" s="207"/>
      <c r="D34" s="207"/>
      <c r="E34" s="210"/>
      <c r="F34" s="19"/>
      <c r="G34" s="19" t="s">
        <v>316</v>
      </c>
      <c r="H34" s="19" t="n">
        <f aca="false">H29</f>
        <v>35</v>
      </c>
      <c r="I34" s="19" t="n">
        <v>43957.29</v>
      </c>
      <c r="J34" s="19" t="n">
        <v>841.24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8.75" hidden="false" customHeight="true" outlineLevel="0" collapsed="false">
      <c r="A35" s="209" t="s">
        <v>37</v>
      </c>
      <c r="B35" s="207" t="s">
        <v>38</v>
      </c>
      <c r="C35" s="207"/>
      <c r="D35" s="207" t="s">
        <v>39</v>
      </c>
      <c r="E35" s="210"/>
      <c r="F35" s="19"/>
      <c r="G35" s="225" t="s">
        <v>40</v>
      </c>
      <c r="H35" s="226" t="n">
        <v>0.065</v>
      </c>
      <c r="I35" s="19" t="n">
        <v>46215.83</v>
      </c>
      <c r="J35" s="19" t="n">
        <v>909.69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8.75" hidden="false" customHeight="true" outlineLevel="0" collapsed="false">
      <c r="A36" s="69" t="n">
        <f aca="false">H47</f>
        <v>753.306610758122</v>
      </c>
      <c r="B36" s="37" t="n">
        <f aca="false">IF(B26="YES", H42, "")</f>
        <v>0</v>
      </c>
      <c r="C36" s="215"/>
      <c r="D36" s="232" t="n">
        <f aca="false">H31</f>
        <v>0</v>
      </c>
      <c r="E36" s="210"/>
      <c r="F36" s="19"/>
      <c r="G36" s="19"/>
      <c r="H36" s="19"/>
      <c r="I36" s="19" t="n">
        <f aca="false">I35-I34</f>
        <v>2258.54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8.75" hidden="false" customHeight="true" outlineLevel="0" collapsed="false">
      <c r="A37" s="70"/>
      <c r="B37" s="37"/>
      <c r="C37" s="215"/>
      <c r="D37" s="37"/>
      <c r="E37" s="210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8.75" hidden="false" customHeight="true" outlineLevel="0" collapsed="false">
      <c r="A38" s="209"/>
      <c r="B38" s="207"/>
      <c r="C38" s="207"/>
      <c r="D38" s="207"/>
      <c r="E38" s="210"/>
      <c r="F38" s="19"/>
      <c r="G38" s="237" t="s">
        <v>42</v>
      </c>
      <c r="H38" s="237"/>
      <c r="I38" s="22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8.75" hidden="false" customHeight="true" outlineLevel="0" collapsed="false">
      <c r="A39" s="209" t="s">
        <v>43</v>
      </c>
      <c r="B39" s="207" t="s">
        <v>44</v>
      </c>
      <c r="C39" s="207"/>
      <c r="D39" s="207" t="s">
        <v>45</v>
      </c>
      <c r="E39" s="210"/>
      <c r="F39" s="19"/>
      <c r="G39" s="19" t="s">
        <v>46</v>
      </c>
      <c r="H39" s="228" t="n">
        <f aca="false">H33</f>
        <v>23958.33</v>
      </c>
      <c r="I39" s="228" t="n">
        <f aca="false">(I48*H46)+H44</f>
        <v>44525.9095313712</v>
      </c>
      <c r="J39" s="22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8.75" hidden="false" customHeight="true" outlineLevel="0" collapsed="false">
      <c r="A40" s="72" t="n">
        <f aca="false">D36*A45/100</f>
        <v>0</v>
      </c>
      <c r="B40" s="72" t="n">
        <f aca="false">IF(B26="YES",H42,"0")</f>
        <v>0</v>
      </c>
      <c r="C40" s="72"/>
      <c r="D40" s="232" t="n">
        <f aca="false">I32</f>
        <v>0</v>
      </c>
      <c r="E40" s="210"/>
      <c r="F40" s="19"/>
      <c r="G40" s="19" t="s">
        <v>47</v>
      </c>
      <c r="H40" s="228" t="n">
        <f aca="false">A40/1.2</f>
        <v>0</v>
      </c>
      <c r="I40" s="228" t="n">
        <f aca="false">H39-I39</f>
        <v>-20567.5795313712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8.75" hidden="false" customHeight="true" outlineLevel="0" collapsed="false">
      <c r="A41" s="209"/>
      <c r="B41" s="207"/>
      <c r="C41" s="207"/>
      <c r="D41" s="207"/>
      <c r="E41" s="210"/>
      <c r="F41" s="19"/>
      <c r="G41" s="19" t="s">
        <v>48</v>
      </c>
      <c r="H41" s="235" t="n">
        <f aca="false">H35/12</f>
        <v>0.00541666666666667</v>
      </c>
      <c r="I41" s="22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8.75" hidden="false" customHeight="true" outlineLevel="0" collapsed="false">
      <c r="A42" s="209"/>
      <c r="B42" s="207"/>
      <c r="C42" s="207"/>
      <c r="D42" s="207"/>
      <c r="E42" s="210"/>
      <c r="F42" s="19"/>
      <c r="G42" s="19" t="s">
        <v>49</v>
      </c>
      <c r="H42" s="228" t="n">
        <f aca="false">(I32/H34)*(C45/100)</f>
        <v>0</v>
      </c>
      <c r="I42" s="22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8.75" hidden="false" customHeight="true" outlineLevel="0" collapsed="false">
      <c r="A43" s="255"/>
      <c r="B43" s="256"/>
      <c r="C43" s="256"/>
      <c r="D43" s="256"/>
      <c r="E43" s="257"/>
      <c r="F43" s="19"/>
      <c r="G43" s="19" t="s">
        <v>50</v>
      </c>
      <c r="H43" s="19"/>
      <c r="I43" s="22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8.75" hidden="false" customHeight="true" outlineLevel="0" collapsed="false">
      <c r="A44" s="375" t="s">
        <v>51</v>
      </c>
      <c r="B44" s="207"/>
      <c r="C44" s="339" t="s">
        <v>52</v>
      </c>
      <c r="D44" s="339"/>
      <c r="E44" s="210"/>
      <c r="F44" s="19"/>
      <c r="G44" s="19" t="s">
        <v>317</v>
      </c>
      <c r="H44" s="228" t="n">
        <f aca="false">(H40/(1+H41)^(H34+1))</f>
        <v>0</v>
      </c>
      <c r="I44" s="228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8.75" hidden="false" customHeight="true" outlineLevel="0" collapsed="false">
      <c r="A45" s="376" t="n">
        <v>100</v>
      </c>
      <c r="B45" s="207"/>
      <c r="C45" s="377" t="n">
        <v>100</v>
      </c>
      <c r="D45" s="377"/>
      <c r="E45" s="210"/>
      <c r="F45" s="19"/>
      <c r="G45" s="19" t="s">
        <v>318</v>
      </c>
      <c r="H45" s="228" t="n">
        <f aca="false">(H39-H44)</f>
        <v>23958.33</v>
      </c>
      <c r="I45" s="22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8.75" hidden="false" customHeight="true" outlineLevel="0" collapsed="false">
      <c r="A46" s="252"/>
      <c r="B46" s="253"/>
      <c r="C46" s="253"/>
      <c r="D46" s="253"/>
      <c r="E46" s="254"/>
      <c r="F46" s="19"/>
      <c r="G46" s="19" t="s">
        <v>319</v>
      </c>
      <c r="H46" s="228" t="n">
        <f aca="false">((1-(1/((1+H41)^H34)))/H41)</f>
        <v>31.8042210938366</v>
      </c>
      <c r="I46" s="22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8.75" hidden="false" customHeight="true" outlineLevel="0" collapsed="false">
      <c r="A47" s="209"/>
      <c r="B47" s="207"/>
      <c r="C47" s="207"/>
      <c r="D47" s="207"/>
      <c r="E47" s="210"/>
      <c r="F47" s="19"/>
      <c r="G47" s="19" t="s">
        <v>56</v>
      </c>
      <c r="H47" s="228" t="n">
        <f aca="false">H45/H46</f>
        <v>753.306610758122</v>
      </c>
      <c r="I47" s="22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8.75" hidden="false" customHeight="true" outlineLevel="0" collapsed="false">
      <c r="A48" s="243" t="s">
        <v>57</v>
      </c>
      <c r="B48" s="207"/>
      <c r="C48" s="207"/>
      <c r="D48" s="244"/>
      <c r="E48" s="245"/>
      <c r="F48" s="19"/>
      <c r="G48" s="378" t="s">
        <v>58</v>
      </c>
      <c r="H48" s="228" t="n">
        <f aca="false">IF(B26="YES", H47+H42, H47)</f>
        <v>753.306610758122</v>
      </c>
      <c r="I48" s="228" t="n">
        <f aca="false">I49-H42</f>
        <v>1400</v>
      </c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8.75" hidden="false" customHeight="true" outlineLevel="0" collapsed="false">
      <c r="A49" s="209"/>
      <c r="B49" s="246"/>
      <c r="C49" s="246"/>
      <c r="D49" s="207"/>
      <c r="E49" s="210"/>
      <c r="F49" s="19"/>
      <c r="G49" s="19" t="s">
        <v>59</v>
      </c>
      <c r="H49" s="247"/>
      <c r="I49" s="228" t="n">
        <v>1400</v>
      </c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8.75" hidden="false" customHeight="true" outlineLevel="0" collapsed="false">
      <c r="A50" s="248" t="s">
        <v>28</v>
      </c>
      <c r="B50" s="249" t="s">
        <v>33</v>
      </c>
      <c r="C50" s="249"/>
      <c r="D50" s="207"/>
      <c r="E50" s="210"/>
      <c r="F50" s="19"/>
      <c r="G50" s="19"/>
      <c r="H50" s="19"/>
      <c r="I50" s="22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8.75" hidden="false" customHeight="true" outlineLevel="0" collapsed="false">
      <c r="A51" s="248"/>
      <c r="B51" s="250" t="n">
        <f aca="false">H30</f>
        <v>35000</v>
      </c>
      <c r="C51" s="250"/>
      <c r="D51" s="207"/>
      <c r="E51" s="210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8.75" hidden="false" customHeight="true" outlineLevel="0" collapsed="false">
      <c r="A52" s="251" t="n">
        <f aca="false">H29</f>
        <v>35</v>
      </c>
      <c r="B52" s="92" t="n">
        <f aca="false">H48</f>
        <v>753.306610758122</v>
      </c>
      <c r="C52" s="92"/>
      <c r="D52" s="207"/>
      <c r="E52" s="210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8.75" hidden="false" customHeight="true" outlineLevel="0" collapsed="false">
      <c r="A53" s="209"/>
      <c r="B53" s="207"/>
      <c r="C53" s="207"/>
      <c r="D53" s="207"/>
      <c r="E53" s="210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8.75" hidden="false" customHeight="true" outlineLevel="0" collapsed="false">
      <c r="A54" s="252"/>
      <c r="B54" s="253"/>
      <c r="C54" s="253"/>
      <c r="D54" s="253"/>
      <c r="E54" s="254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8.75" hidden="false" customHeight="true" outlineLevel="0" collapsed="false">
      <c r="A55" s="207"/>
      <c r="B55" s="207"/>
      <c r="C55" s="207"/>
      <c r="D55" s="207"/>
      <c r="E55" s="207"/>
      <c r="F55" s="19"/>
      <c r="G55" s="207"/>
      <c r="H55" s="207"/>
      <c r="I55" s="207"/>
      <c r="J55" s="207"/>
      <c r="K55" s="207"/>
      <c r="L55" s="19"/>
      <c r="M55" s="207"/>
      <c r="N55" s="207"/>
      <c r="O55" s="207"/>
      <c r="P55" s="207"/>
      <c r="Q55" s="207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8.75" hidden="false" customHeight="true" outlineLevel="0" collapsed="false">
      <c r="A56" s="255"/>
      <c r="B56" s="256"/>
      <c r="C56" s="256"/>
      <c r="D56" s="256"/>
      <c r="E56" s="257"/>
      <c r="F56" s="19"/>
      <c r="G56" s="255"/>
      <c r="H56" s="256"/>
      <c r="I56" s="256"/>
      <c r="J56" s="256"/>
      <c r="K56" s="257"/>
      <c r="L56" s="19"/>
      <c r="M56" s="255"/>
      <c r="N56" s="256"/>
      <c r="O56" s="256"/>
      <c r="P56" s="256"/>
      <c r="Q56" s="257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8.75" hidden="false" customHeight="true" outlineLevel="0" collapsed="false">
      <c r="A57" s="209" t="s">
        <v>46</v>
      </c>
      <c r="B57" s="207" t="n">
        <f aca="false">IF(B99=Y97,1,IF(B99=Y98,1,IF(B99=Y99,3,IF(B99=Y100,6,IF(B99=Y101,9,IF(B99=Y102,12,IF(B99=Y103,3,IF(B99=Y104,6,IF(B99=Y105,9,0)))))))))</f>
        <v>1</v>
      </c>
      <c r="C57" s="207"/>
      <c r="D57" s="207"/>
      <c r="E57" s="210"/>
      <c r="F57" s="19"/>
      <c r="G57" s="209" t="s">
        <v>46</v>
      </c>
      <c r="H57" s="207" t="n">
        <f aca="false">IF(H99=Y97,1,IF(H99=Y98,1,IF(H99=Y99,3,IF(H99=Y100,6,IF(H99=Y101,9,IF(H99=Y102,12,IF(H99=Y103,3,IF(H99=Y104,6,IF(H99=Y105,9,0)))))))))</f>
        <v>6</v>
      </c>
      <c r="I57" s="207"/>
      <c r="J57" s="207"/>
      <c r="K57" s="210"/>
      <c r="L57" s="19"/>
      <c r="M57" s="209" t="s">
        <v>46</v>
      </c>
      <c r="N57" s="207" t="n">
        <f aca="false">IF(N99=Y97,1,IF(N99=Y98,1,IF(N99=Y99,3,IF(N99=Y100,6,IF(N99=Y101,9,IF(N99=Y102,12,IF(N99=Y103,3,IF(N99=Y104,6,IF(N99=Y105,9,0)))))))))</f>
        <v>6</v>
      </c>
      <c r="O57" s="207"/>
      <c r="P57" s="207"/>
      <c r="Q57" s="210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8.75" hidden="false" customHeight="true" outlineLevel="0" collapsed="false">
      <c r="A58" s="209" t="s">
        <v>60</v>
      </c>
      <c r="B58" s="207" t="n">
        <f aca="false">IF(B99=Y97,H29-B57,IF(B99=Y98,H29-B57,IF(B99=Y99,H29-1,IF(B99=Y100,H29-1,IF(B99=Y101,H29-1,IF(B99=Y102,H29-1,IF(B99=Y103,H29-B57,IF(B99=Y104,H29-B57,IF(B99=Y105,H29-B57,0)))))))))</f>
        <v>34</v>
      </c>
      <c r="C58" s="207"/>
      <c r="D58" s="207"/>
      <c r="E58" s="210"/>
      <c r="F58" s="19"/>
      <c r="G58" s="209" t="s">
        <v>60</v>
      </c>
      <c r="H58" s="207" t="n">
        <f aca="false">IF(H99=Y97,H29-H57,IF(H99=Y98,H29-H57,IF(H99=Y99,H29-1,IF(H99=Y100,H29-1,IF(H99=Y101,H29-1,IF(H99=Y102,H29-1,IF(H99=Y103,H29-H57,IF(H99=Y104,H29-H57,IF(H99=Y105,H29-H57,0)))))))))</f>
        <v>34</v>
      </c>
      <c r="I58" s="207"/>
      <c r="J58" s="207"/>
      <c r="K58" s="210"/>
      <c r="L58" s="19"/>
      <c r="M58" s="209" t="s">
        <v>60</v>
      </c>
      <c r="N58" s="207" t="n">
        <f aca="false">IF(N99=Y97,H29-N57,IF(N99=Y98,H29-N57,IF(N99=Y99,H29-1,IF(N99=Y100,H29-1,IF(N99=Y101,H29-1,IF(N99=Y102,H29-1,IF(N99=Y103,H29-N57,IF(N99=Y104,H29-N57,IF(N99=Y105,H29-N57,0)))))))))</f>
        <v>34</v>
      </c>
      <c r="O58" s="207"/>
      <c r="P58" s="207"/>
      <c r="Q58" s="210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8.75" hidden="false" customHeight="true" outlineLevel="0" collapsed="false">
      <c r="A59" s="209"/>
      <c r="B59" s="207"/>
      <c r="C59" s="207"/>
      <c r="D59" s="207"/>
      <c r="E59" s="210"/>
      <c r="F59" s="19"/>
      <c r="G59" s="209"/>
      <c r="H59" s="207"/>
      <c r="I59" s="207"/>
      <c r="J59" s="207"/>
      <c r="K59" s="210"/>
      <c r="L59" s="19"/>
      <c r="M59" s="209"/>
      <c r="N59" s="207"/>
      <c r="O59" s="207"/>
      <c r="P59" s="207"/>
      <c r="Q59" s="210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8.75" hidden="false" customHeight="true" outlineLevel="0" collapsed="false">
      <c r="A60" s="209" t="s">
        <v>320</v>
      </c>
      <c r="B60" s="207" t="n">
        <f aca="false">E19</f>
        <v>28749.996</v>
      </c>
      <c r="C60" s="207"/>
      <c r="D60" s="207"/>
      <c r="E60" s="210"/>
      <c r="F60" s="19"/>
      <c r="G60" s="209"/>
      <c r="H60" s="207"/>
      <c r="I60" s="207"/>
      <c r="J60" s="207"/>
      <c r="K60" s="210"/>
      <c r="L60" s="19"/>
      <c r="M60" s="209"/>
      <c r="N60" s="207"/>
      <c r="O60" s="207"/>
      <c r="P60" s="207"/>
      <c r="Q60" s="210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8.75" hidden="false" customHeight="true" outlineLevel="0" collapsed="false">
      <c r="A61" s="209" t="s">
        <v>16</v>
      </c>
      <c r="B61" s="79" t="n">
        <v>37404</v>
      </c>
      <c r="C61" s="207"/>
      <c r="D61" s="207"/>
      <c r="E61" s="210"/>
      <c r="F61" s="19"/>
      <c r="G61" s="209" t="s">
        <v>16</v>
      </c>
      <c r="H61" s="79" t="n">
        <f aca="false">G18</f>
        <v>0</v>
      </c>
      <c r="I61" s="207"/>
      <c r="J61" s="207"/>
      <c r="K61" s="210"/>
      <c r="L61" s="19"/>
      <c r="M61" s="209" t="s">
        <v>16</v>
      </c>
      <c r="N61" s="79" t="n">
        <f aca="false">G18</f>
        <v>0</v>
      </c>
      <c r="O61" s="207"/>
      <c r="P61" s="207"/>
      <c r="Q61" s="210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8.75" hidden="false" customHeight="true" outlineLevel="0" collapsed="false">
      <c r="A62" s="258" t="s">
        <v>241</v>
      </c>
      <c r="B62" s="259" t="n">
        <v>0.07</v>
      </c>
      <c r="C62" s="207"/>
      <c r="D62" s="207"/>
      <c r="E62" s="210"/>
      <c r="F62" s="19"/>
      <c r="G62" s="258" t="s">
        <v>241</v>
      </c>
      <c r="H62" s="259" t="n">
        <v>0.07</v>
      </c>
      <c r="I62" s="207"/>
      <c r="J62" s="207"/>
      <c r="K62" s="210"/>
      <c r="L62" s="19"/>
      <c r="M62" s="258" t="s">
        <v>241</v>
      </c>
      <c r="N62" s="259" t="n">
        <v>0.07</v>
      </c>
      <c r="O62" s="207"/>
      <c r="P62" s="207"/>
      <c r="Q62" s="210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8.75" hidden="false" customHeight="true" outlineLevel="0" collapsed="false">
      <c r="A63" s="209" t="s">
        <v>242</v>
      </c>
      <c r="B63" s="260" t="n">
        <f aca="false">B62+(B62*0.25*((H29/12)-1))</f>
        <v>0.103541666666667</v>
      </c>
      <c r="C63" s="207"/>
      <c r="D63" s="207"/>
      <c r="E63" s="210"/>
      <c r="F63" s="19"/>
      <c r="G63" s="209" t="s">
        <v>242</v>
      </c>
      <c r="H63" s="260" t="n">
        <f aca="false">H62+(H62*0.25*(H29/12-1))</f>
        <v>0.103541666666667</v>
      </c>
      <c r="I63" s="207"/>
      <c r="J63" s="207"/>
      <c r="K63" s="210"/>
      <c r="L63" s="19"/>
      <c r="M63" s="209" t="s">
        <v>242</v>
      </c>
      <c r="N63" s="260" t="n">
        <f aca="false">N62+(N62*0.25*(H29/12-1))</f>
        <v>0.103541666666667</v>
      </c>
      <c r="O63" s="207"/>
      <c r="P63" s="207"/>
      <c r="Q63" s="210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8.75" hidden="false" customHeight="true" outlineLevel="0" collapsed="false">
      <c r="A64" s="252" t="s">
        <v>65</v>
      </c>
      <c r="B64" s="139" t="n">
        <f aca="false">B60*B63</f>
        <v>2976.8225025</v>
      </c>
      <c r="C64" s="379" t="n">
        <v>10000</v>
      </c>
      <c r="D64" s="79" t="n">
        <f aca="false">B64</f>
        <v>2976.8225025</v>
      </c>
      <c r="E64" s="380" t="n">
        <f aca="false">D64/(B58+B57)</f>
        <v>85.0520715</v>
      </c>
      <c r="F64" s="19"/>
      <c r="G64" s="252" t="s">
        <v>65</v>
      </c>
      <c r="H64" s="139" t="n">
        <f aca="false">H61*H63</f>
        <v>0</v>
      </c>
      <c r="I64" s="207"/>
      <c r="J64" s="79" t="n">
        <f aca="false">H64-G145</f>
        <v>0</v>
      </c>
      <c r="K64" s="210"/>
      <c r="L64" s="19"/>
      <c r="M64" s="252" t="s">
        <v>65</v>
      </c>
      <c r="N64" s="139" t="n">
        <f aca="false">N61*N63</f>
        <v>0</v>
      </c>
      <c r="O64" s="207"/>
      <c r="P64" s="79" t="n">
        <f aca="false">N64-M145</f>
        <v>0</v>
      </c>
      <c r="Q64" s="210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8.75" hidden="false" customHeight="true" outlineLevel="0" collapsed="false">
      <c r="A65" s="258" t="s">
        <v>66</v>
      </c>
      <c r="B65" s="259" t="n">
        <v>0.01</v>
      </c>
      <c r="C65" s="207"/>
      <c r="D65" s="79"/>
      <c r="E65" s="210"/>
      <c r="F65" s="19"/>
      <c r="G65" s="258" t="s">
        <v>66</v>
      </c>
      <c r="H65" s="259" t="n">
        <v>0.01</v>
      </c>
      <c r="I65" s="207"/>
      <c r="J65" s="207"/>
      <c r="K65" s="210"/>
      <c r="L65" s="19"/>
      <c r="M65" s="258" t="s">
        <v>66</v>
      </c>
      <c r="N65" s="259" t="n">
        <v>0.01</v>
      </c>
      <c r="O65" s="207"/>
      <c r="P65" s="207"/>
      <c r="Q65" s="210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8.75" hidden="false" customHeight="true" outlineLevel="0" collapsed="false">
      <c r="A66" s="209" t="s">
        <v>67</v>
      </c>
      <c r="B66" s="260" t="n">
        <f aca="false">B65+(B65*0.5*(H29/12-1))</f>
        <v>0.0195833333333333</v>
      </c>
      <c r="C66" s="381" t="s">
        <v>194</v>
      </c>
      <c r="D66" s="207"/>
      <c r="E66" s="210"/>
      <c r="F66" s="19"/>
      <c r="G66" s="209" t="s">
        <v>67</v>
      </c>
      <c r="H66" s="260" t="n">
        <f aca="false">H65+(H65*0.5*(H29/12-1))</f>
        <v>0.0195833333333333</v>
      </c>
      <c r="I66" s="207"/>
      <c r="J66" s="207"/>
      <c r="K66" s="210"/>
      <c r="L66" s="19"/>
      <c r="M66" s="209" t="s">
        <v>67</v>
      </c>
      <c r="N66" s="260" t="n">
        <f aca="false">N65+(N65*0.5*(H29/12-1))</f>
        <v>0.0195833333333333</v>
      </c>
      <c r="O66" s="207"/>
      <c r="P66" s="207"/>
      <c r="Q66" s="210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8.75" hidden="false" customHeight="true" outlineLevel="0" collapsed="false">
      <c r="A67" s="252" t="s">
        <v>68</v>
      </c>
      <c r="B67" s="139" t="n">
        <f aca="false">(B61*B66)</f>
        <v>732.495</v>
      </c>
      <c r="C67" s="382" t="s">
        <v>194</v>
      </c>
      <c r="D67" s="383"/>
      <c r="E67" s="210"/>
      <c r="F67" s="19"/>
      <c r="G67" s="252" t="s">
        <v>68</v>
      </c>
      <c r="H67" s="139" t="n">
        <f aca="false">(H61*H66)/1.2</f>
        <v>0</v>
      </c>
      <c r="I67" s="207"/>
      <c r="J67" s="79"/>
      <c r="K67" s="210"/>
      <c r="L67" s="19"/>
      <c r="M67" s="252" t="s">
        <v>68</v>
      </c>
      <c r="N67" s="139" t="n">
        <f aca="false">(N61*N66)/1.2</f>
        <v>0</v>
      </c>
      <c r="O67" s="207"/>
      <c r="P67" s="79"/>
      <c r="Q67" s="210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8.75" hidden="false" customHeight="true" outlineLevel="0" collapsed="false">
      <c r="A68" s="258" t="s">
        <v>69</v>
      </c>
      <c r="B68" s="259" t="n">
        <v>0.0075</v>
      </c>
      <c r="C68" s="384"/>
      <c r="D68" s="79"/>
      <c r="E68" s="210"/>
      <c r="F68" s="19"/>
      <c r="G68" s="258" t="s">
        <v>69</v>
      </c>
      <c r="H68" s="259" t="n">
        <v>0.0075</v>
      </c>
      <c r="I68" s="207"/>
      <c r="J68" s="207"/>
      <c r="K68" s="210"/>
      <c r="L68" s="19"/>
      <c r="M68" s="258" t="s">
        <v>69</v>
      </c>
      <c r="N68" s="259" t="n">
        <v>0.0075</v>
      </c>
      <c r="O68" s="207"/>
      <c r="P68" s="207"/>
      <c r="Q68" s="210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8.75" hidden="false" customHeight="true" outlineLevel="0" collapsed="false">
      <c r="A69" s="261" t="s">
        <v>70</v>
      </c>
      <c r="B69" s="262" t="n">
        <v>0.12</v>
      </c>
      <c r="C69" s="207"/>
      <c r="D69" s="207"/>
      <c r="E69" s="210"/>
      <c r="F69" s="19"/>
      <c r="G69" s="261" t="s">
        <v>70</v>
      </c>
      <c r="H69" s="262" t="n">
        <v>0.12</v>
      </c>
      <c r="I69" s="207"/>
      <c r="J69" s="207"/>
      <c r="K69" s="210"/>
      <c r="L69" s="19"/>
      <c r="M69" s="261" t="s">
        <v>70</v>
      </c>
      <c r="N69" s="262" t="n">
        <v>0.12</v>
      </c>
      <c r="O69" s="207"/>
      <c r="P69" s="207"/>
      <c r="Q69" s="210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18.75" hidden="false" customHeight="true" outlineLevel="0" collapsed="false">
      <c r="A70" s="252" t="s">
        <v>71</v>
      </c>
      <c r="B70" s="263" t="n">
        <f aca="false">B68*(1+B69)</f>
        <v>0.0084</v>
      </c>
      <c r="C70" s="207"/>
      <c r="D70" s="207"/>
      <c r="E70" s="210"/>
      <c r="F70" s="19"/>
      <c r="G70" s="252" t="s">
        <v>71</v>
      </c>
      <c r="H70" s="263" t="n">
        <f aca="false">H68*(1+H69)</f>
        <v>0.0084</v>
      </c>
      <c r="I70" s="207"/>
      <c r="J70" s="207"/>
      <c r="K70" s="210"/>
      <c r="L70" s="19"/>
      <c r="M70" s="252" t="s">
        <v>71</v>
      </c>
      <c r="N70" s="385" t="n">
        <f aca="false">N68*(1+N69)</f>
        <v>0.0084</v>
      </c>
      <c r="O70" s="207"/>
      <c r="P70" s="207"/>
      <c r="Q70" s="210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18.75" hidden="false" customHeight="true" outlineLevel="0" collapsed="false">
      <c r="A71" s="258" t="s">
        <v>72</v>
      </c>
      <c r="B71" s="264" t="n">
        <v>200</v>
      </c>
      <c r="C71" s="207"/>
      <c r="D71" s="207"/>
      <c r="E71" s="210"/>
      <c r="F71" s="19"/>
      <c r="G71" s="258" t="s">
        <v>72</v>
      </c>
      <c r="H71" s="264" t="n">
        <v>160</v>
      </c>
      <c r="I71" s="207"/>
      <c r="J71" s="207"/>
      <c r="K71" s="210"/>
      <c r="L71" s="19"/>
      <c r="M71" s="258" t="s">
        <v>72</v>
      </c>
      <c r="N71" s="264" t="n">
        <v>160</v>
      </c>
      <c r="O71" s="207"/>
      <c r="P71" s="207"/>
      <c r="Q71" s="210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8.75" hidden="false" customHeight="true" outlineLevel="0" collapsed="false">
      <c r="A72" s="261" t="s">
        <v>73</v>
      </c>
      <c r="B72" s="265" t="n">
        <v>5</v>
      </c>
      <c r="C72" s="207"/>
      <c r="D72" s="207"/>
      <c r="E72" s="210"/>
      <c r="F72" s="19"/>
      <c r="G72" s="261" t="s">
        <v>73</v>
      </c>
      <c r="H72" s="265" t="n">
        <v>4.5</v>
      </c>
      <c r="I72" s="207"/>
      <c r="J72" s="207"/>
      <c r="K72" s="210"/>
      <c r="L72" s="19"/>
      <c r="M72" s="261" t="s">
        <v>73</v>
      </c>
      <c r="N72" s="265" t="n">
        <v>4.5</v>
      </c>
      <c r="O72" s="207"/>
      <c r="P72" s="207"/>
      <c r="Q72" s="210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8.75" hidden="false" customHeight="true" outlineLevel="0" collapsed="false">
      <c r="A73" s="252" t="s">
        <v>74</v>
      </c>
      <c r="B73" s="139" t="n">
        <f aca="false">B72*H29</f>
        <v>175</v>
      </c>
      <c r="C73" s="207"/>
      <c r="D73" s="386" t="n">
        <f aca="false">B73+B71</f>
        <v>375</v>
      </c>
      <c r="E73" s="210" t="s">
        <v>200</v>
      </c>
      <c r="F73" s="19"/>
      <c r="G73" s="252" t="s">
        <v>74</v>
      </c>
      <c r="H73" s="139" t="n">
        <f aca="false">H72*H29</f>
        <v>157.5</v>
      </c>
      <c r="I73" s="207"/>
      <c r="J73" s="79" t="n">
        <f aca="false">H73+H71</f>
        <v>317.5</v>
      </c>
      <c r="K73" s="210"/>
      <c r="L73" s="19"/>
      <c r="M73" s="252" t="s">
        <v>74</v>
      </c>
      <c r="N73" s="139" t="n">
        <f aca="false">N72*H29</f>
        <v>157.5</v>
      </c>
      <c r="O73" s="207"/>
      <c r="P73" s="79" t="n">
        <f aca="false">N73+N71</f>
        <v>317.5</v>
      </c>
      <c r="Q73" s="210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8.75" hidden="false" customHeight="true" outlineLevel="0" collapsed="false">
      <c r="A74" s="258" t="s">
        <v>243</v>
      </c>
      <c r="B74" s="264" t="n">
        <v>165</v>
      </c>
      <c r="C74" s="207"/>
      <c r="D74" s="207"/>
      <c r="E74" s="210"/>
      <c r="F74" s="19"/>
      <c r="G74" s="258" t="s">
        <v>243</v>
      </c>
      <c r="H74" s="264" t="n">
        <v>165</v>
      </c>
      <c r="I74" s="207"/>
      <c r="J74" s="207"/>
      <c r="K74" s="210"/>
      <c r="L74" s="19"/>
      <c r="M74" s="267" t="s">
        <v>243</v>
      </c>
      <c r="N74" s="268" t="n">
        <v>0</v>
      </c>
      <c r="O74" s="207"/>
      <c r="P74" s="207"/>
      <c r="Q74" s="210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8.75" hidden="false" customHeight="true" outlineLevel="0" collapsed="false">
      <c r="A75" s="261" t="s">
        <v>244</v>
      </c>
      <c r="B75" s="265" t="n">
        <v>0</v>
      </c>
      <c r="C75" s="207"/>
      <c r="D75" s="207"/>
      <c r="E75" s="210"/>
      <c r="F75" s="19"/>
      <c r="G75" s="261" t="s">
        <v>244</v>
      </c>
      <c r="H75" s="265" t="n">
        <v>0</v>
      </c>
      <c r="I75" s="207"/>
      <c r="J75" s="207"/>
      <c r="K75" s="210"/>
      <c r="L75" s="19"/>
      <c r="M75" s="269" t="s">
        <v>244</v>
      </c>
      <c r="N75" s="270" t="n">
        <v>0</v>
      </c>
      <c r="O75" s="207"/>
      <c r="P75" s="207"/>
      <c r="Q75" s="210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8.75" hidden="false" customHeight="true" outlineLevel="0" collapsed="false">
      <c r="A76" s="252" t="s">
        <v>245</v>
      </c>
      <c r="B76" s="139" t="n">
        <f aca="false">((B74+B75)/12)*(H29+1)</f>
        <v>495</v>
      </c>
      <c r="C76" s="207"/>
      <c r="D76" s="79" t="n">
        <f aca="false">B76</f>
        <v>495</v>
      </c>
      <c r="E76" s="210"/>
      <c r="F76" s="19"/>
      <c r="G76" s="252" t="s">
        <v>245</v>
      </c>
      <c r="H76" s="139" t="n">
        <f aca="false">((H74+H75)/12)*(H29-11)</f>
        <v>330</v>
      </c>
      <c r="I76" s="207"/>
      <c r="J76" s="79" t="n">
        <f aca="false">H76</f>
        <v>330</v>
      </c>
      <c r="K76" s="210"/>
      <c r="L76" s="19"/>
      <c r="M76" s="271" t="s">
        <v>245</v>
      </c>
      <c r="N76" s="272" t="n">
        <f aca="false">((N74+N75)/12)*(H29-11)</f>
        <v>0</v>
      </c>
      <c r="O76" s="207"/>
      <c r="P76" s="79" t="n">
        <f aca="false">N76</f>
        <v>0</v>
      </c>
      <c r="Q76" s="210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8.75" hidden="false" customHeight="true" outlineLevel="0" collapsed="false">
      <c r="A77" s="255" t="s">
        <v>246</v>
      </c>
      <c r="B77" s="137" t="n">
        <f aca="false">B102/(1-0.1)</f>
        <v>0</v>
      </c>
      <c r="C77" s="387"/>
      <c r="D77" s="79" t="n">
        <f aca="false">B77</f>
        <v>0</v>
      </c>
      <c r="E77" s="380" t="n">
        <f aca="false">D77/(B58+B57)</f>
        <v>0</v>
      </c>
      <c r="F77" s="19"/>
      <c r="G77" s="258" t="s">
        <v>246</v>
      </c>
      <c r="H77" s="264" t="n">
        <v>0</v>
      </c>
      <c r="I77" s="207"/>
      <c r="J77" s="79" t="n">
        <f aca="false">H77</f>
        <v>0</v>
      </c>
      <c r="K77" s="210"/>
      <c r="L77" s="19"/>
      <c r="M77" s="258" t="s">
        <v>246</v>
      </c>
      <c r="N77" s="264" t="n">
        <v>0</v>
      </c>
      <c r="O77" s="207"/>
      <c r="P77" s="79" t="n">
        <f aca="false">N77</f>
        <v>0</v>
      </c>
      <c r="Q77" s="210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8.75" hidden="false" customHeight="true" outlineLevel="0" collapsed="false">
      <c r="A78" s="209" t="s">
        <v>248</v>
      </c>
      <c r="B78" s="273" t="n">
        <f aca="false">D102/(1-0.1)</f>
        <v>0</v>
      </c>
      <c r="C78" s="387"/>
      <c r="D78" s="79" t="n">
        <f aca="false">B78</f>
        <v>0</v>
      </c>
      <c r="E78" s="380"/>
      <c r="F78" s="19"/>
      <c r="G78" s="209" t="s">
        <v>248</v>
      </c>
      <c r="H78" s="273" t="n">
        <v>0</v>
      </c>
      <c r="I78" s="207"/>
      <c r="J78" s="79" t="n">
        <f aca="false">H78</f>
        <v>0</v>
      </c>
      <c r="K78" s="210"/>
      <c r="L78" s="19"/>
      <c r="M78" s="209" t="s">
        <v>248</v>
      </c>
      <c r="N78" s="273" t="n">
        <v>0</v>
      </c>
      <c r="O78" s="207"/>
      <c r="P78" s="79" t="n">
        <f aca="false">N78</f>
        <v>0</v>
      </c>
      <c r="Q78" s="210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8.75" hidden="false" customHeight="true" outlineLevel="0" collapsed="false">
      <c r="A79" s="261" t="s">
        <v>75</v>
      </c>
      <c r="B79" s="265" t="n">
        <v>200</v>
      </c>
      <c r="C79" s="387"/>
      <c r="D79" s="79" t="n">
        <f aca="false">B79</f>
        <v>200</v>
      </c>
      <c r="E79" s="380"/>
      <c r="F79" s="19"/>
      <c r="G79" s="261" t="s">
        <v>75</v>
      </c>
      <c r="H79" s="265" t="n">
        <v>200</v>
      </c>
      <c r="I79" s="207"/>
      <c r="J79" s="79" t="n">
        <f aca="false">H79</f>
        <v>200</v>
      </c>
      <c r="K79" s="210"/>
      <c r="L79" s="19"/>
      <c r="M79" s="261" t="s">
        <v>75</v>
      </c>
      <c r="N79" s="265" t="n">
        <v>200</v>
      </c>
      <c r="O79" s="207"/>
      <c r="P79" s="79" t="n">
        <f aca="false">N79</f>
        <v>200</v>
      </c>
      <c r="Q79" s="210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8.75" hidden="false" customHeight="true" outlineLevel="0" collapsed="false">
      <c r="A80" s="274" t="s">
        <v>76</v>
      </c>
      <c r="B80" s="275" t="n">
        <v>200</v>
      </c>
      <c r="C80" s="387"/>
      <c r="D80" s="79" t="n">
        <f aca="false">B80</f>
        <v>200</v>
      </c>
      <c r="E80" s="380" t="n">
        <f aca="false">(D73+D76+D79+D80)/(B58+B57)</f>
        <v>36.2857142857143</v>
      </c>
      <c r="F80" s="19"/>
      <c r="G80" s="274" t="s">
        <v>76</v>
      </c>
      <c r="H80" s="275" t="n">
        <v>200</v>
      </c>
      <c r="I80" s="207"/>
      <c r="J80" s="79" t="n">
        <f aca="false">H80</f>
        <v>200</v>
      </c>
      <c r="K80" s="210"/>
      <c r="L80" s="19"/>
      <c r="M80" s="274" t="s">
        <v>76</v>
      </c>
      <c r="N80" s="275" t="n">
        <v>200</v>
      </c>
      <c r="O80" s="207"/>
      <c r="P80" s="79" t="n">
        <f aca="false">N80</f>
        <v>200</v>
      </c>
      <c r="Q80" s="210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18.75" hidden="false" customHeight="true" outlineLevel="0" collapsed="false">
      <c r="A81" s="276" t="s">
        <v>77</v>
      </c>
      <c r="B81" s="277" t="n">
        <f aca="false">SUM(D64:D80)</f>
        <v>4246.8225025</v>
      </c>
      <c r="C81" s="387"/>
      <c r="D81" s="388"/>
      <c r="E81" s="380"/>
      <c r="F81" s="19"/>
      <c r="G81" s="276" t="s">
        <v>77</v>
      </c>
      <c r="H81" s="277" t="n">
        <f aca="false">SUM(J64:J80)</f>
        <v>1047.5</v>
      </c>
      <c r="I81" s="207"/>
      <c r="J81" s="207"/>
      <c r="K81" s="210"/>
      <c r="L81" s="19"/>
      <c r="M81" s="276" t="s">
        <v>77</v>
      </c>
      <c r="N81" s="277" t="n">
        <f aca="false">SUM(P64:P80)</f>
        <v>717.5</v>
      </c>
      <c r="O81" s="207"/>
      <c r="P81" s="207"/>
      <c r="Q81" s="210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18.75" hidden="false" customHeight="true" outlineLevel="0" collapsed="false">
      <c r="A82" s="209" t="s">
        <v>78</v>
      </c>
      <c r="B82" s="273" t="n">
        <f aca="false">B81/H29</f>
        <v>121.337785785714</v>
      </c>
      <c r="C82" s="387"/>
      <c r="D82" s="207"/>
      <c r="E82" s="380"/>
      <c r="F82" s="19"/>
      <c r="G82" s="209" t="s">
        <v>78</v>
      </c>
      <c r="H82" s="273" t="n">
        <f aca="false">H81/H29</f>
        <v>29.9285714285714</v>
      </c>
      <c r="I82" s="207"/>
      <c r="J82" s="207"/>
      <c r="K82" s="210"/>
      <c r="L82" s="19"/>
      <c r="M82" s="209" t="s">
        <v>78</v>
      </c>
      <c r="N82" s="273" t="n">
        <f aca="false">N81/H29</f>
        <v>20.5</v>
      </c>
      <c r="O82" s="207"/>
      <c r="P82" s="207"/>
      <c r="Q82" s="210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8.75" hidden="false" customHeight="true" outlineLevel="0" collapsed="false">
      <c r="A83" s="278" t="s">
        <v>79</v>
      </c>
      <c r="B83" s="279" t="n">
        <f aca="false">H47</f>
        <v>753.306610758122</v>
      </c>
      <c r="C83" s="387"/>
      <c r="D83" s="207"/>
      <c r="E83" s="380" t="n">
        <f aca="false">B83+E80+E77+E64</f>
        <v>874.644396543837</v>
      </c>
      <c r="F83" s="19"/>
      <c r="G83" s="278" t="s">
        <v>79</v>
      </c>
      <c r="H83" s="279" t="n">
        <f aca="false">H47</f>
        <v>753.306610758122</v>
      </c>
      <c r="I83" s="207"/>
      <c r="J83" s="207"/>
      <c r="K83" s="210"/>
      <c r="L83" s="19"/>
      <c r="M83" s="278" t="s">
        <v>79</v>
      </c>
      <c r="N83" s="279" t="n">
        <f aca="false">H47</f>
        <v>753.306610758122</v>
      </c>
      <c r="O83" s="207"/>
      <c r="P83" s="207"/>
      <c r="Q83" s="210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18.75" hidden="false" customHeight="true" outlineLevel="0" collapsed="false">
      <c r="A84" s="209"/>
      <c r="B84" s="79"/>
      <c r="C84" s="387"/>
      <c r="D84" s="387"/>
      <c r="E84" s="380"/>
      <c r="F84" s="19"/>
      <c r="G84" s="209"/>
      <c r="H84" s="79"/>
      <c r="I84" s="207"/>
      <c r="J84" s="207"/>
      <c r="K84" s="210"/>
      <c r="L84" s="19"/>
      <c r="M84" s="209"/>
      <c r="N84" s="79"/>
      <c r="O84" s="207"/>
      <c r="P84" s="207"/>
      <c r="Q84" s="210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8.75" hidden="false" customHeight="true" outlineLevel="0" collapsed="false">
      <c r="A85" s="255" t="s">
        <v>88</v>
      </c>
      <c r="B85" s="137" t="n">
        <f aca="false">((B83*H29)+B81)</f>
        <v>30612.5538790343</v>
      </c>
      <c r="C85" s="387"/>
      <c r="D85" s="387"/>
      <c r="E85" s="380" t="n">
        <f aca="false">B85/(B58+B57)</f>
        <v>874.644396543837</v>
      </c>
      <c r="F85" s="19"/>
      <c r="G85" s="255" t="s">
        <v>88</v>
      </c>
      <c r="H85" s="137" t="n">
        <f aca="false">((H83*H29)+H81)*1.2</f>
        <v>32895.8776518411</v>
      </c>
      <c r="I85" s="207"/>
      <c r="J85" s="207"/>
      <c r="K85" s="210"/>
      <c r="L85" s="19"/>
      <c r="M85" s="255" t="s">
        <v>88</v>
      </c>
      <c r="N85" s="137" t="n">
        <f aca="false">((N83*H29)+N81)</f>
        <v>27083.2313765343</v>
      </c>
      <c r="O85" s="207"/>
      <c r="P85" s="207"/>
      <c r="Q85" s="210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8.75" hidden="false" customHeight="true" outlineLevel="0" collapsed="false">
      <c r="A86" s="209" t="s">
        <v>89</v>
      </c>
      <c r="B86" s="273" t="n">
        <f aca="false">(((B83*H29)+B81)/(1-B70))*B70</f>
        <v>259.323772270964</v>
      </c>
      <c r="C86" s="387" t="s">
        <v>203</v>
      </c>
      <c r="D86" s="207"/>
      <c r="E86" s="380" t="n">
        <f aca="false">B86/(B58+B57)</f>
        <v>7.40925063631326</v>
      </c>
      <c r="F86" s="19"/>
      <c r="G86" s="209" t="s">
        <v>89</v>
      </c>
      <c r="H86" s="273" t="n">
        <f aca="false">((((H83*H29)+H81))/(1-H70))*H70</f>
        <v>232.2218067395</v>
      </c>
      <c r="I86" s="207"/>
      <c r="J86" s="207"/>
      <c r="K86" s="210"/>
      <c r="L86" s="19"/>
      <c r="M86" s="209" t="s">
        <v>89</v>
      </c>
      <c r="N86" s="273" t="n">
        <f aca="false">(N85/(1-N70))*N70</f>
        <v>229.426324690286</v>
      </c>
      <c r="O86" s="207"/>
      <c r="P86" s="207"/>
      <c r="Q86" s="210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8.75" hidden="false" customHeight="true" outlineLevel="0" collapsed="false">
      <c r="A87" s="252" t="s">
        <v>90</v>
      </c>
      <c r="B87" s="139" t="n">
        <f aca="false">IF(B110="YES",((B85+B86)-E114),((B85+B86)))</f>
        <v>30871.8776513052</v>
      </c>
      <c r="C87" s="387"/>
      <c r="D87" s="389"/>
      <c r="E87" s="380" t="n">
        <f aca="false">E86+E85</f>
        <v>882.05364718015</v>
      </c>
      <c r="F87" s="19"/>
      <c r="G87" s="252" t="s">
        <v>90</v>
      </c>
      <c r="H87" s="139" t="n">
        <f aca="false">IF(H110="YES",((H85+H86)-K114),(H85+H86))</f>
        <v>33128.0994585806</v>
      </c>
      <c r="I87" s="207"/>
      <c r="J87" s="207"/>
      <c r="K87" s="210"/>
      <c r="L87" s="19"/>
      <c r="M87" s="252" t="s">
        <v>90</v>
      </c>
      <c r="N87" s="139" t="n">
        <f aca="false">IF(N110="YES",((N85+N86)-Q114),(N85+N86))</f>
        <v>27312.6577012246</v>
      </c>
      <c r="O87" s="207"/>
      <c r="P87" s="207"/>
      <c r="Q87" s="210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8.75" hidden="false" customHeight="true" outlineLevel="0" collapsed="false">
      <c r="A88" s="209"/>
      <c r="B88" s="79"/>
      <c r="C88" s="387"/>
      <c r="D88" s="207"/>
      <c r="E88" s="380"/>
      <c r="F88" s="19"/>
      <c r="G88" s="209"/>
      <c r="H88" s="79"/>
      <c r="I88" s="207"/>
      <c r="J88" s="207"/>
      <c r="K88" s="210"/>
      <c r="L88" s="19"/>
      <c r="M88" s="209"/>
      <c r="N88" s="79"/>
      <c r="O88" s="207"/>
      <c r="P88" s="207"/>
      <c r="Q88" s="210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8.75" hidden="false" customHeight="true" outlineLevel="0" collapsed="false">
      <c r="A89" s="276" t="s">
        <v>91</v>
      </c>
      <c r="B89" s="277" t="n">
        <f aca="false">IF(B99=Y98, (I32+(I32*B105))/(B58), (I32+(I32*B105))/(B57+B58))*(C45/100)</f>
        <v>0</v>
      </c>
      <c r="C89" s="387"/>
      <c r="D89" s="207"/>
      <c r="E89" s="210"/>
      <c r="F89" s="19"/>
      <c r="G89" s="276" t="s">
        <v>91</v>
      </c>
      <c r="H89" s="277" t="n">
        <f aca="false">IF(H99=Y98, (D40+(D40*H105))/(H58), (D40+(D40*H105))/(H57+H58))*1.2</f>
        <v>0</v>
      </c>
      <c r="I89" s="207"/>
      <c r="J89" s="207"/>
      <c r="K89" s="210"/>
      <c r="L89" s="19"/>
      <c r="M89" s="276" t="s">
        <v>91</v>
      </c>
      <c r="N89" s="277" t="n">
        <f aca="false">IF(N99=Y98, (D40+(D40*N105))/(N58), (D40+(D40*N105))/(N57+N58))</f>
        <v>0</v>
      </c>
      <c r="O89" s="207"/>
      <c r="P89" s="207"/>
      <c r="Q89" s="210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8.75" hidden="false" customHeight="true" outlineLevel="0" collapsed="false">
      <c r="A90" s="281" t="s">
        <v>92</v>
      </c>
      <c r="B90" s="282" t="n">
        <f aca="false">IF(B99=Y98, (B87-D105)/(B58), B87/(B57+B58))</f>
        <v>882.05364718015</v>
      </c>
      <c r="C90" s="387"/>
      <c r="D90" s="207"/>
      <c r="E90" s="390"/>
      <c r="F90" s="19"/>
      <c r="G90" s="281" t="s">
        <v>92</v>
      </c>
      <c r="H90" s="282" t="n">
        <f aca="false">IF(H99=Y98, (H87-J105)/(H58), H87/(H57+H58))</f>
        <v>828.202486464516</v>
      </c>
      <c r="I90" s="207"/>
      <c r="J90" s="207"/>
      <c r="K90" s="210"/>
      <c r="L90" s="19"/>
      <c r="M90" s="281" t="s">
        <v>92</v>
      </c>
      <c r="N90" s="282" t="n">
        <f aca="false">IF(N99=Y98, (N87-P105)/(N58), N87/(N57+N58))</f>
        <v>682.816442530614</v>
      </c>
      <c r="O90" s="207"/>
      <c r="P90" s="207"/>
      <c r="Q90" s="210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8.75" hidden="false" customHeight="true" outlineLevel="0" collapsed="false">
      <c r="A91" s="283" t="s">
        <v>93</v>
      </c>
      <c r="B91" s="284" t="n">
        <f aca="false">IF(A105="YES", B90+B89, B90)</f>
        <v>882.05364718015</v>
      </c>
      <c r="C91" s="387"/>
      <c r="D91" s="391"/>
      <c r="E91" s="266"/>
      <c r="F91" s="19"/>
      <c r="G91" s="283" t="s">
        <v>93</v>
      </c>
      <c r="H91" s="284" t="n">
        <f aca="false">IF(G105="YES", H90+H89, H90)</f>
        <v>828.202486464516</v>
      </c>
      <c r="I91" s="207"/>
      <c r="J91" s="207"/>
      <c r="K91" s="210"/>
      <c r="L91" s="19"/>
      <c r="M91" s="283" t="s">
        <v>93</v>
      </c>
      <c r="N91" s="284" t="n">
        <f aca="false">IF(M105="YES", N90+N89, N90)</f>
        <v>682.816442530614</v>
      </c>
      <c r="O91" s="207"/>
      <c r="P91" s="207"/>
      <c r="Q91" s="210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8.75" hidden="false" customHeight="true" outlineLevel="0" collapsed="false">
      <c r="A92" s="252"/>
      <c r="B92" s="392"/>
      <c r="C92" s="253"/>
      <c r="D92" s="253"/>
      <c r="E92" s="254"/>
      <c r="F92" s="19"/>
      <c r="G92" s="252"/>
      <c r="H92" s="253"/>
      <c r="I92" s="253"/>
      <c r="J92" s="253"/>
      <c r="K92" s="254"/>
      <c r="L92" s="19"/>
      <c r="M92" s="252"/>
      <c r="N92" s="253"/>
      <c r="O92" s="253"/>
      <c r="P92" s="253"/>
      <c r="Q92" s="254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8.75" hidden="false" customHeight="true" outlineLevel="0" collapsed="false">
      <c r="A93" s="207"/>
      <c r="B93" s="207"/>
      <c r="C93" s="207"/>
      <c r="D93" s="207"/>
      <c r="E93" s="207"/>
      <c r="F93" s="19"/>
      <c r="G93" s="207"/>
      <c r="H93" s="207"/>
      <c r="I93" s="207"/>
      <c r="J93" s="207"/>
      <c r="K93" s="207"/>
      <c r="L93" s="19"/>
      <c r="M93" s="207"/>
      <c r="N93" s="207"/>
      <c r="O93" s="207"/>
      <c r="P93" s="207"/>
      <c r="Q93" s="207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56.25" hidden="false" customHeight="true" outlineLevel="0" collapsed="false">
      <c r="A94" s="208" t="s">
        <v>249</v>
      </c>
      <c r="B94" s="208"/>
      <c r="C94" s="208"/>
      <c r="D94" s="208"/>
      <c r="E94" s="208"/>
      <c r="F94" s="19"/>
      <c r="G94" s="208" t="s">
        <v>250</v>
      </c>
      <c r="H94" s="208"/>
      <c r="I94" s="208"/>
      <c r="J94" s="208"/>
      <c r="K94" s="208"/>
      <c r="L94" s="19"/>
      <c r="M94" s="208" t="s">
        <v>251</v>
      </c>
      <c r="N94" s="208"/>
      <c r="O94" s="208"/>
      <c r="P94" s="208"/>
      <c r="Q94" s="208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8.75" hidden="false" customHeight="true" outlineLevel="0" collapsed="false">
      <c r="A95" s="209"/>
      <c r="B95" s="207"/>
      <c r="C95" s="207"/>
      <c r="D95" s="207"/>
      <c r="E95" s="210" t="s">
        <v>321</v>
      </c>
      <c r="F95" s="19"/>
      <c r="G95" s="209"/>
      <c r="H95" s="207"/>
      <c r="I95" s="207"/>
      <c r="J95" s="207"/>
      <c r="K95" s="210"/>
      <c r="L95" s="19"/>
      <c r="M95" s="209"/>
      <c r="N95" s="207"/>
      <c r="O95" s="207"/>
      <c r="P95" s="207"/>
      <c r="Q95" s="210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8.75" hidden="false" customHeight="true" outlineLevel="0" collapsed="false">
      <c r="A96" s="211" t="s">
        <v>26</v>
      </c>
      <c r="B96" s="211"/>
      <c r="C96" s="211"/>
      <c r="D96" s="211"/>
      <c r="E96" s="211"/>
      <c r="F96" s="19"/>
      <c r="G96" s="211" t="s">
        <v>26</v>
      </c>
      <c r="H96" s="211"/>
      <c r="I96" s="211"/>
      <c r="J96" s="211"/>
      <c r="K96" s="211"/>
      <c r="L96" s="19"/>
      <c r="M96" s="211" t="s">
        <v>26</v>
      </c>
      <c r="N96" s="211"/>
      <c r="O96" s="211"/>
      <c r="P96" s="211"/>
      <c r="Q96" s="211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8.75" hidden="false" customHeight="true" outlineLevel="0" collapsed="false">
      <c r="A97" s="209"/>
      <c r="B97" s="393"/>
      <c r="C97" s="393"/>
      <c r="D97" s="207"/>
      <c r="E97" s="210"/>
      <c r="F97" s="19"/>
      <c r="G97" s="209"/>
      <c r="H97" s="207"/>
      <c r="I97" s="207"/>
      <c r="J97" s="207"/>
      <c r="K97" s="210"/>
      <c r="L97" s="19"/>
      <c r="M97" s="209"/>
      <c r="N97" s="207"/>
      <c r="O97" s="207"/>
      <c r="P97" s="207"/>
      <c r="Q97" s="210"/>
      <c r="R97" s="19"/>
      <c r="S97" s="19"/>
      <c r="T97" s="19"/>
      <c r="U97" s="19"/>
      <c r="V97" s="19"/>
      <c r="W97" s="19"/>
      <c r="X97" s="19"/>
      <c r="Y97" s="19" t="s">
        <v>100</v>
      </c>
      <c r="Z97" s="19"/>
      <c r="AC97" s="394"/>
    </row>
    <row r="98" customFormat="false" ht="18.75" hidden="false" customHeight="true" outlineLevel="0" collapsed="false">
      <c r="A98" s="209" t="s">
        <v>98</v>
      </c>
      <c r="B98" s="207" t="s">
        <v>23</v>
      </c>
      <c r="C98" s="207"/>
      <c r="D98" s="207" t="s">
        <v>252</v>
      </c>
      <c r="E98" s="210"/>
      <c r="F98" s="19"/>
      <c r="G98" s="209" t="s">
        <v>98</v>
      </c>
      <c r="H98" s="207" t="s">
        <v>23</v>
      </c>
      <c r="I98" s="207"/>
      <c r="J98" s="207" t="s">
        <v>252</v>
      </c>
      <c r="K98" s="210"/>
      <c r="L98" s="19"/>
      <c r="M98" s="209" t="s">
        <v>98</v>
      </c>
      <c r="N98" s="207" t="s">
        <v>23</v>
      </c>
      <c r="O98" s="207"/>
      <c r="P98" s="207" t="s">
        <v>252</v>
      </c>
      <c r="Q98" s="210"/>
      <c r="R98" s="19"/>
      <c r="S98" s="19"/>
      <c r="T98" s="19"/>
      <c r="U98" s="19"/>
      <c r="V98" s="19"/>
      <c r="W98" s="19"/>
      <c r="X98" s="19"/>
      <c r="Y98" s="19" t="s">
        <v>253</v>
      </c>
      <c r="Z98" s="19"/>
    </row>
    <row r="99" customFormat="false" ht="18.75" hidden="false" customHeight="true" outlineLevel="0" collapsed="false">
      <c r="A99" s="214" t="s">
        <v>254</v>
      </c>
      <c r="B99" s="286" t="s">
        <v>100</v>
      </c>
      <c r="C99" s="286"/>
      <c r="D99" s="72" t="n">
        <v>1000</v>
      </c>
      <c r="E99" s="72"/>
      <c r="F99" s="19"/>
      <c r="G99" s="214" t="s">
        <v>254</v>
      </c>
      <c r="H99" s="286" t="s">
        <v>258</v>
      </c>
      <c r="I99" s="286"/>
      <c r="J99" s="72" t="n">
        <v>0</v>
      </c>
      <c r="K99" s="72"/>
      <c r="L99" s="19"/>
      <c r="M99" s="214" t="s">
        <v>254</v>
      </c>
      <c r="N99" s="286" t="s">
        <v>258</v>
      </c>
      <c r="O99" s="286"/>
      <c r="P99" s="72" t="n">
        <v>0</v>
      </c>
      <c r="Q99" s="72"/>
      <c r="R99" s="19"/>
      <c r="S99" s="19"/>
      <c r="T99" s="19"/>
      <c r="U99" s="19"/>
      <c r="V99" s="19"/>
      <c r="W99" s="19"/>
      <c r="X99" s="19"/>
      <c r="Y99" s="19" t="s">
        <v>257</v>
      </c>
      <c r="Z99" s="19"/>
    </row>
    <row r="100" customFormat="false" ht="18.75" hidden="false" customHeight="true" outlineLevel="0" collapsed="false">
      <c r="A100" s="209"/>
      <c r="B100" s="207"/>
      <c r="C100" s="207"/>
      <c r="D100" s="207"/>
      <c r="E100" s="210"/>
      <c r="F100" s="19"/>
      <c r="G100" s="209"/>
      <c r="H100" s="207"/>
      <c r="I100" s="207"/>
      <c r="J100" s="207"/>
      <c r="K100" s="210"/>
      <c r="L100" s="19"/>
      <c r="M100" s="209"/>
      <c r="N100" s="207"/>
      <c r="O100" s="207"/>
      <c r="P100" s="207"/>
      <c r="Q100" s="210"/>
      <c r="R100" s="19"/>
      <c r="S100" s="19"/>
      <c r="T100" s="19"/>
      <c r="U100" s="19"/>
      <c r="V100" s="19"/>
      <c r="W100" s="19"/>
      <c r="X100" s="19"/>
      <c r="Y100" s="19" t="s">
        <v>258</v>
      </c>
      <c r="Z100" s="19"/>
    </row>
    <row r="101" customFormat="false" ht="18.75" hidden="false" customHeight="true" outlineLevel="0" collapsed="false">
      <c r="A101" s="209" t="s">
        <v>259</v>
      </c>
      <c r="B101" s="207" t="s">
        <v>260</v>
      </c>
      <c r="C101" s="207"/>
      <c r="D101" s="207" t="s">
        <v>322</v>
      </c>
      <c r="E101" s="210"/>
      <c r="F101" s="19"/>
      <c r="G101" s="209" t="s">
        <v>259</v>
      </c>
      <c r="H101" s="207" t="s">
        <v>260</v>
      </c>
      <c r="I101" s="207"/>
      <c r="J101" s="207" t="s">
        <v>261</v>
      </c>
      <c r="K101" s="210"/>
      <c r="L101" s="19"/>
      <c r="M101" s="209" t="s">
        <v>259</v>
      </c>
      <c r="N101" s="207" t="s">
        <v>260</v>
      </c>
      <c r="O101" s="207"/>
      <c r="P101" s="207" t="s">
        <v>261</v>
      </c>
      <c r="Q101" s="210"/>
      <c r="R101" s="19"/>
      <c r="S101" s="19"/>
      <c r="T101" s="19"/>
      <c r="U101" s="19"/>
      <c r="V101" s="19"/>
      <c r="W101" s="19"/>
      <c r="X101" s="19"/>
      <c r="Y101" s="19" t="s">
        <v>262</v>
      </c>
      <c r="Z101" s="19"/>
    </row>
    <row r="102" customFormat="false" ht="18.75" hidden="false" customHeight="true" outlineLevel="0" collapsed="false">
      <c r="A102" s="288" t="n">
        <v>199.99</v>
      </c>
      <c r="B102" s="72" t="n">
        <v>0</v>
      </c>
      <c r="C102" s="72"/>
      <c r="D102" s="72" t="n">
        <v>0</v>
      </c>
      <c r="E102" s="72"/>
      <c r="F102" s="19"/>
      <c r="G102" s="288" t="n">
        <v>199.99</v>
      </c>
      <c r="H102" s="72" t="n">
        <v>0</v>
      </c>
      <c r="I102" s="72"/>
      <c r="J102" s="72" t="n">
        <v>0</v>
      </c>
      <c r="K102" s="72"/>
      <c r="L102" s="19"/>
      <c r="M102" s="288" t="n">
        <v>199.99</v>
      </c>
      <c r="N102" s="72" t="n">
        <v>0</v>
      </c>
      <c r="O102" s="72"/>
      <c r="P102" s="72" t="n">
        <v>0</v>
      </c>
      <c r="Q102" s="72"/>
      <c r="R102" s="19"/>
      <c r="S102" s="19"/>
      <c r="T102" s="19"/>
      <c r="U102" s="19"/>
      <c r="V102" s="19"/>
      <c r="W102" s="19"/>
      <c r="X102" s="19"/>
      <c r="Y102" s="19" t="s">
        <v>256</v>
      </c>
      <c r="Z102" s="19"/>
    </row>
    <row r="103" customFormat="false" ht="18.75" hidden="false" customHeight="true" outlineLevel="0" collapsed="false">
      <c r="A103" s="209"/>
      <c r="B103" s="207"/>
      <c r="C103" s="207"/>
      <c r="D103" s="207"/>
      <c r="E103" s="210"/>
      <c r="F103" s="19"/>
      <c r="G103" s="209"/>
      <c r="H103" s="207"/>
      <c r="I103" s="207"/>
      <c r="J103" s="207"/>
      <c r="K103" s="210"/>
      <c r="L103" s="19"/>
      <c r="M103" s="209"/>
      <c r="N103" s="207"/>
      <c r="O103" s="207"/>
      <c r="P103" s="207"/>
      <c r="Q103" s="210"/>
      <c r="R103" s="19"/>
      <c r="S103" s="19"/>
      <c r="T103" s="19"/>
      <c r="U103" s="19"/>
      <c r="V103" s="19"/>
      <c r="W103" s="19"/>
      <c r="X103" s="19"/>
      <c r="Y103" s="19" t="s">
        <v>255</v>
      </c>
      <c r="Z103" s="19"/>
    </row>
    <row r="104" customFormat="false" ht="18.75" hidden="false" customHeight="true" outlineLevel="0" collapsed="false">
      <c r="A104" s="214" t="s">
        <v>22</v>
      </c>
      <c r="B104" s="19" t="s">
        <v>101</v>
      </c>
      <c r="C104" s="207"/>
      <c r="D104" s="207" t="s">
        <v>112</v>
      </c>
      <c r="E104" s="210"/>
      <c r="F104" s="19"/>
      <c r="G104" s="214" t="s">
        <v>22</v>
      </c>
      <c r="H104" s="19" t="s">
        <v>101</v>
      </c>
      <c r="I104" s="207"/>
      <c r="J104" s="207" t="s">
        <v>112</v>
      </c>
      <c r="K104" s="210"/>
      <c r="L104" s="19"/>
      <c r="M104" s="214" t="s">
        <v>22</v>
      </c>
      <c r="N104" s="19" t="s">
        <v>101</v>
      </c>
      <c r="O104" s="207"/>
      <c r="P104" s="207" t="s">
        <v>112</v>
      </c>
      <c r="Q104" s="210"/>
      <c r="R104" s="19"/>
      <c r="S104" s="19"/>
      <c r="T104" s="19"/>
      <c r="U104" s="19"/>
      <c r="V104" s="19"/>
      <c r="W104" s="19"/>
      <c r="X104" s="19"/>
      <c r="Y104" s="19" t="s">
        <v>263</v>
      </c>
      <c r="Z104" s="19"/>
    </row>
    <row r="105" customFormat="false" ht="18.75" hidden="false" customHeight="true" outlineLevel="0" collapsed="false">
      <c r="A105" s="216" t="s">
        <v>9</v>
      </c>
      <c r="B105" s="289" t="n">
        <v>0.2</v>
      </c>
      <c r="C105" s="289"/>
      <c r="D105" s="72" t="n">
        <v>200</v>
      </c>
      <c r="E105" s="72"/>
      <c r="F105" s="19"/>
      <c r="G105" s="216" t="s">
        <v>9</v>
      </c>
      <c r="H105" s="289" t="n">
        <v>0.2</v>
      </c>
      <c r="I105" s="289"/>
      <c r="J105" s="72"/>
      <c r="K105" s="72"/>
      <c r="L105" s="19"/>
      <c r="M105" s="216" t="s">
        <v>9</v>
      </c>
      <c r="N105" s="289" t="n">
        <v>0.2</v>
      </c>
      <c r="O105" s="289"/>
      <c r="P105" s="72" t="n">
        <v>0</v>
      </c>
      <c r="Q105" s="72"/>
      <c r="R105" s="19"/>
      <c r="S105" s="19"/>
      <c r="T105" s="19"/>
      <c r="U105" s="19"/>
      <c r="V105" s="19"/>
      <c r="W105" s="19"/>
      <c r="X105" s="19"/>
      <c r="Y105" s="19" t="s">
        <v>265</v>
      </c>
      <c r="Z105" s="19"/>
    </row>
    <row r="106" customFormat="false" ht="18.75" hidden="false" customHeight="true" outlineLevel="0" collapsed="false">
      <c r="A106" s="209"/>
      <c r="B106" s="207"/>
      <c r="C106" s="207"/>
      <c r="D106" s="207"/>
      <c r="E106" s="210"/>
      <c r="F106" s="19"/>
      <c r="G106" s="209"/>
      <c r="H106" s="207"/>
      <c r="I106" s="207"/>
      <c r="J106" s="207"/>
      <c r="K106" s="210"/>
      <c r="L106" s="19"/>
      <c r="M106" s="209"/>
      <c r="N106" s="207"/>
      <c r="O106" s="207"/>
      <c r="P106" s="207"/>
      <c r="Q106" s="210"/>
      <c r="R106" s="19"/>
      <c r="S106" s="19"/>
      <c r="T106" s="19"/>
      <c r="U106" s="19"/>
      <c r="V106" s="19"/>
      <c r="W106" s="19"/>
      <c r="X106" s="19"/>
      <c r="Y106" s="19"/>
      <c r="Z106" s="19"/>
    </row>
    <row r="107" customFormat="false" ht="18.75" hidden="false" customHeight="true" outlineLevel="0" collapsed="false">
      <c r="A107" s="209"/>
      <c r="B107" s="207"/>
      <c r="C107" s="207"/>
      <c r="D107" s="207"/>
      <c r="E107" s="210"/>
      <c r="F107" s="19"/>
      <c r="G107" s="209"/>
      <c r="H107" s="207"/>
      <c r="I107" s="207"/>
      <c r="J107" s="207"/>
      <c r="K107" s="210"/>
      <c r="L107" s="19"/>
      <c r="M107" s="209"/>
      <c r="N107" s="207" t="s">
        <v>266</v>
      </c>
      <c r="O107" s="216" t="s">
        <v>9</v>
      </c>
      <c r="P107" s="207"/>
      <c r="Q107" s="210"/>
      <c r="R107" s="19"/>
      <c r="S107" s="19"/>
      <c r="T107" s="19"/>
      <c r="U107" s="19"/>
      <c r="V107" s="19"/>
      <c r="W107" s="19"/>
      <c r="X107" s="19"/>
      <c r="Y107" s="19"/>
      <c r="Z107" s="19"/>
    </row>
    <row r="108" customFormat="false" ht="18.75" hidden="false" customHeight="true" outlineLevel="0" collapsed="false">
      <c r="A108" s="211" t="n">
        <v>199.99</v>
      </c>
      <c r="B108" s="211" t="n">
        <v>0</v>
      </c>
      <c r="C108" s="211"/>
      <c r="D108" s="211"/>
      <c r="E108" s="211"/>
      <c r="F108" s="19"/>
      <c r="G108" s="211" t="s">
        <v>267</v>
      </c>
      <c r="H108" s="211"/>
      <c r="I108" s="211"/>
      <c r="J108" s="211"/>
      <c r="K108" s="211"/>
      <c r="L108" s="19"/>
      <c r="M108" s="211" t="s">
        <v>267</v>
      </c>
      <c r="N108" s="211"/>
      <c r="O108" s="211"/>
      <c r="P108" s="211"/>
      <c r="Q108" s="211"/>
      <c r="R108" s="19"/>
      <c r="S108" s="19"/>
      <c r="T108" s="19"/>
      <c r="U108" s="19"/>
      <c r="V108" s="19"/>
      <c r="W108" s="19"/>
      <c r="X108" s="19"/>
      <c r="Y108" s="19"/>
      <c r="Z108" s="19"/>
    </row>
    <row r="109" customFormat="false" ht="18.75" hidden="false" customHeight="true" outlineLevel="0" collapsed="false">
      <c r="A109" s="209"/>
      <c r="B109" s="207"/>
      <c r="C109" s="207"/>
      <c r="D109" s="207"/>
      <c r="E109" s="210"/>
      <c r="F109" s="19"/>
      <c r="G109" s="209"/>
      <c r="H109" s="207"/>
      <c r="I109" s="207"/>
      <c r="J109" s="207"/>
      <c r="K109" s="210"/>
      <c r="L109" s="19"/>
      <c r="M109" s="209"/>
      <c r="N109" s="207"/>
      <c r="O109" s="207"/>
      <c r="P109" s="207"/>
      <c r="Q109" s="210"/>
      <c r="R109" s="19"/>
      <c r="S109" s="19"/>
      <c r="T109" s="19"/>
      <c r="U109" s="19"/>
      <c r="V109" s="19"/>
      <c r="W109" s="19"/>
      <c r="X109" s="19"/>
      <c r="Y109" s="19"/>
      <c r="Z109" s="19"/>
    </row>
    <row r="110" customFormat="false" ht="18.75" hidden="false" customHeight="true" outlineLevel="0" collapsed="false">
      <c r="A110" s="209" t="s">
        <v>268</v>
      </c>
      <c r="B110" s="216" t="s">
        <v>10</v>
      </c>
      <c r="C110" s="207"/>
      <c r="D110" s="207"/>
      <c r="E110" s="210"/>
      <c r="F110" s="19"/>
      <c r="G110" s="209" t="s">
        <v>268</v>
      </c>
      <c r="H110" s="216" t="s">
        <v>10</v>
      </c>
      <c r="I110" s="207"/>
      <c r="J110" s="207"/>
      <c r="K110" s="210"/>
      <c r="L110" s="19"/>
      <c r="M110" s="209" t="s">
        <v>268</v>
      </c>
      <c r="N110" s="216" t="s">
        <v>10</v>
      </c>
      <c r="O110" s="207"/>
      <c r="P110" s="207"/>
      <c r="Q110" s="210"/>
      <c r="R110" s="19"/>
      <c r="S110" s="19"/>
      <c r="T110" s="19"/>
      <c r="U110" s="19"/>
      <c r="V110" s="19"/>
      <c r="W110" s="19"/>
      <c r="X110" s="19"/>
      <c r="Y110" s="19"/>
      <c r="Z110" s="19"/>
    </row>
    <row r="111" customFormat="false" ht="18.75" hidden="false" customHeight="true" outlineLevel="0" collapsed="false">
      <c r="A111" s="209" t="s">
        <v>10</v>
      </c>
      <c r="B111" s="207"/>
      <c r="C111" s="207"/>
      <c r="D111" s="207"/>
      <c r="E111" s="210"/>
      <c r="F111" s="19"/>
      <c r="G111" s="209"/>
      <c r="H111" s="207"/>
      <c r="I111" s="207"/>
      <c r="J111" s="207"/>
      <c r="K111" s="210"/>
      <c r="L111" s="19"/>
      <c r="M111" s="209"/>
      <c r="N111" s="207"/>
      <c r="O111" s="207"/>
      <c r="P111" s="207"/>
      <c r="Q111" s="210"/>
      <c r="R111" s="19"/>
      <c r="S111" s="19"/>
      <c r="T111" s="19"/>
      <c r="U111" s="19"/>
      <c r="V111" s="19"/>
      <c r="W111" s="19"/>
      <c r="X111" s="19"/>
      <c r="Y111" s="19"/>
      <c r="Z111" s="19"/>
    </row>
    <row r="112" customFormat="false" ht="18.75" hidden="false" customHeight="true" outlineLevel="0" collapsed="false">
      <c r="A112" s="209" t="s">
        <v>146</v>
      </c>
      <c r="B112" s="207"/>
      <c r="C112" s="207"/>
      <c r="D112" s="288" t="n">
        <v>10000</v>
      </c>
      <c r="E112" s="72" t="n">
        <v>6000</v>
      </c>
      <c r="F112" s="19"/>
      <c r="G112" s="209" t="s">
        <v>146</v>
      </c>
      <c r="H112" s="207"/>
      <c r="I112" s="207"/>
      <c r="J112" s="288" t="n">
        <v>0</v>
      </c>
      <c r="K112" s="72" t="n">
        <v>0</v>
      </c>
      <c r="L112" s="19"/>
      <c r="M112" s="209" t="s">
        <v>146</v>
      </c>
      <c r="N112" s="207"/>
      <c r="O112" s="207"/>
      <c r="P112" s="288" t="n">
        <v>500</v>
      </c>
      <c r="Q112" s="72" t="n">
        <v>300</v>
      </c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8.75" hidden="false" customHeight="true" outlineLevel="0" collapsed="false">
      <c r="A113" s="209" t="s">
        <v>147</v>
      </c>
      <c r="B113" s="207"/>
      <c r="C113" s="207"/>
      <c r="D113" s="38" t="n">
        <f aca="false">E113</f>
        <v>2000</v>
      </c>
      <c r="E113" s="72" t="n">
        <v>2000</v>
      </c>
      <c r="F113" s="19"/>
      <c r="G113" s="209" t="s">
        <v>147</v>
      </c>
      <c r="H113" s="207"/>
      <c r="I113" s="207"/>
      <c r="J113" s="38" t="n">
        <f aca="false">K113</f>
        <v>0</v>
      </c>
      <c r="K113" s="72" t="n">
        <v>0</v>
      </c>
      <c r="L113" s="19"/>
      <c r="M113" s="209" t="s">
        <v>147</v>
      </c>
      <c r="N113" s="207"/>
      <c r="O113" s="207"/>
      <c r="P113" s="38" t="n">
        <f aca="false">Q113</f>
        <v>100</v>
      </c>
      <c r="Q113" s="72" t="n">
        <v>100</v>
      </c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8.75" hidden="false" customHeight="true" outlineLevel="0" collapsed="false">
      <c r="A114" s="209" t="s">
        <v>148</v>
      </c>
      <c r="B114" s="207"/>
      <c r="C114" s="207"/>
      <c r="D114" s="38" t="n">
        <f aca="false">D112-D113</f>
        <v>8000</v>
      </c>
      <c r="E114" s="163" t="n">
        <f aca="false">E112-E113</f>
        <v>4000</v>
      </c>
      <c r="F114" s="19"/>
      <c r="G114" s="209" t="s">
        <v>148</v>
      </c>
      <c r="H114" s="207"/>
      <c r="I114" s="207"/>
      <c r="J114" s="38" t="n">
        <f aca="false">J112-J113</f>
        <v>0</v>
      </c>
      <c r="K114" s="163" t="n">
        <f aca="false">K112-K113</f>
        <v>0</v>
      </c>
      <c r="L114" s="19"/>
      <c r="M114" s="209" t="s">
        <v>148</v>
      </c>
      <c r="N114" s="207"/>
      <c r="O114" s="207"/>
      <c r="P114" s="38" t="n">
        <f aca="false">P112-P113</f>
        <v>400</v>
      </c>
      <c r="Q114" s="163" t="n">
        <f aca="false">Q112-Q113</f>
        <v>200</v>
      </c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8.75" hidden="false" customHeight="true" outlineLevel="0" collapsed="false">
      <c r="A115" s="209" t="s">
        <v>149</v>
      </c>
      <c r="B115" s="207"/>
      <c r="C115" s="207"/>
      <c r="D115" s="38" t="n">
        <f aca="false">D114-E114</f>
        <v>4000</v>
      </c>
      <c r="E115" s="210"/>
      <c r="F115" s="19"/>
      <c r="G115" s="209" t="s">
        <v>149</v>
      </c>
      <c r="H115" s="207"/>
      <c r="I115" s="207"/>
      <c r="J115" s="38" t="n">
        <f aca="false">J114-K114</f>
        <v>0</v>
      </c>
      <c r="K115" s="210"/>
      <c r="L115" s="19"/>
      <c r="M115" s="209" t="s">
        <v>149</v>
      </c>
      <c r="N115" s="207"/>
      <c r="O115" s="207"/>
      <c r="P115" s="38" t="n">
        <f aca="false">P114-Q114</f>
        <v>200</v>
      </c>
      <c r="Q115" s="210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8.75" hidden="false" customHeight="true" outlineLevel="0" collapsed="false">
      <c r="A116" s="209"/>
      <c r="B116" s="207"/>
      <c r="C116" s="207"/>
      <c r="D116" s="207"/>
      <c r="E116" s="210"/>
      <c r="F116" s="19"/>
      <c r="G116" s="209"/>
      <c r="H116" s="207"/>
      <c r="I116" s="207"/>
      <c r="J116" s="207"/>
      <c r="K116" s="210"/>
      <c r="L116" s="19"/>
      <c r="M116" s="209"/>
      <c r="N116" s="207"/>
      <c r="O116" s="207"/>
      <c r="P116" s="207"/>
      <c r="Q116" s="210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8.75" hidden="false" customHeight="true" outlineLevel="0" collapsed="false">
      <c r="A117" s="255" t="s">
        <v>108</v>
      </c>
      <c r="B117" s="256"/>
      <c r="C117" s="256"/>
      <c r="D117" s="256"/>
      <c r="E117" s="137" t="n">
        <v>1000</v>
      </c>
      <c r="F117" s="19"/>
      <c r="G117" s="255" t="s">
        <v>108</v>
      </c>
      <c r="H117" s="256"/>
      <c r="I117" s="256"/>
      <c r="J117" s="256"/>
      <c r="K117" s="137" t="n">
        <f aca="false">J99</f>
        <v>0</v>
      </c>
      <c r="L117" s="19"/>
      <c r="M117" s="255" t="s">
        <v>108</v>
      </c>
      <c r="N117" s="256"/>
      <c r="O117" s="256"/>
      <c r="P117" s="256"/>
      <c r="Q117" s="137" t="n">
        <f aca="false">P99</f>
        <v>0</v>
      </c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8.75" hidden="false" customHeight="true" outlineLevel="0" collapsed="false">
      <c r="A118" s="209" t="s">
        <v>152</v>
      </c>
      <c r="B118" s="207"/>
      <c r="C118" s="207"/>
      <c r="D118" s="207"/>
      <c r="E118" s="273" t="n">
        <v>199.99</v>
      </c>
      <c r="F118" s="19"/>
      <c r="G118" s="209" t="s">
        <v>152</v>
      </c>
      <c r="H118" s="207"/>
      <c r="I118" s="207"/>
      <c r="J118" s="207"/>
      <c r="K118" s="273" t="n">
        <f aca="false">G102</f>
        <v>199.99</v>
      </c>
      <c r="L118" s="19"/>
      <c r="M118" s="209" t="s">
        <v>152</v>
      </c>
      <c r="N118" s="207"/>
      <c r="O118" s="207"/>
      <c r="P118" s="207"/>
      <c r="Q118" s="273" t="n">
        <f aca="false">M102</f>
        <v>199.99</v>
      </c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8.75" hidden="false" customHeight="true" outlineLevel="0" collapsed="false">
      <c r="A119" s="290" t="s">
        <v>269</v>
      </c>
      <c r="B119" s="253"/>
      <c r="C119" s="253"/>
      <c r="D119" s="253"/>
      <c r="E119" s="139" t="n">
        <f aca="false">IF(B110="YES",((E118*1.2)+E117)-E114,((E118*1.2)+E117))</f>
        <v>1239.988</v>
      </c>
      <c r="F119" s="19"/>
      <c r="G119" s="290" t="s">
        <v>269</v>
      </c>
      <c r="H119" s="253"/>
      <c r="I119" s="253"/>
      <c r="J119" s="253"/>
      <c r="K119" s="139" t="n">
        <f aca="false">((K118/1.2)+K117)-(J115-K113)</f>
        <v>166.658333333333</v>
      </c>
      <c r="L119" s="19"/>
      <c r="M119" s="290" t="s">
        <v>269</v>
      </c>
      <c r="N119" s="253"/>
      <c r="O119" s="253"/>
      <c r="P119" s="253"/>
      <c r="Q119" s="139" t="n">
        <f aca="false">(Q118+Q117)-P115</f>
        <v>-0.00999999999999091</v>
      </c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8.75" hidden="false" customHeight="true" outlineLevel="0" collapsed="false">
      <c r="A120" s="209"/>
      <c r="B120" s="207"/>
      <c r="C120" s="207"/>
      <c r="D120" s="207"/>
      <c r="E120" s="210"/>
      <c r="F120" s="19"/>
      <c r="G120" s="209"/>
      <c r="H120" s="207"/>
      <c r="I120" s="207"/>
      <c r="J120" s="207"/>
      <c r="K120" s="210"/>
      <c r="L120" s="19"/>
      <c r="M120" s="209"/>
      <c r="N120" s="207"/>
      <c r="O120" s="207"/>
      <c r="P120" s="207"/>
      <c r="Q120" s="210"/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8.75" hidden="false" customHeight="true" outlineLevel="0" collapsed="false">
      <c r="A121" s="209"/>
      <c r="B121" s="207"/>
      <c r="C121" s="207"/>
      <c r="D121" s="207"/>
      <c r="E121" s="210"/>
      <c r="F121" s="19"/>
      <c r="G121" s="209"/>
      <c r="H121" s="207"/>
      <c r="I121" s="207"/>
      <c r="J121" s="207"/>
      <c r="K121" s="210"/>
      <c r="L121" s="19"/>
      <c r="M121" s="209"/>
      <c r="N121" s="207"/>
      <c r="O121" s="207"/>
      <c r="P121" s="207"/>
      <c r="Q121" s="210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8.75" hidden="false" customHeight="true" outlineLevel="0" collapsed="false">
      <c r="A122" s="211" t="s">
        <v>270</v>
      </c>
      <c r="B122" s="211"/>
      <c r="C122" s="211"/>
      <c r="D122" s="211"/>
      <c r="E122" s="211"/>
      <c r="F122" s="19"/>
      <c r="G122" s="211" t="s">
        <v>270</v>
      </c>
      <c r="H122" s="211"/>
      <c r="I122" s="211"/>
      <c r="J122" s="211"/>
      <c r="K122" s="211"/>
      <c r="L122" s="19"/>
      <c r="M122" s="211" t="s">
        <v>270</v>
      </c>
      <c r="N122" s="211"/>
      <c r="O122" s="211"/>
      <c r="P122" s="211"/>
      <c r="Q122" s="211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8.75" hidden="false" customHeight="true" outlineLevel="0" collapsed="false">
      <c r="A123" s="291"/>
      <c r="B123" s="292"/>
      <c r="C123" s="292"/>
      <c r="D123" s="292"/>
      <c r="E123" s="293"/>
      <c r="F123" s="19"/>
      <c r="G123" s="209"/>
      <c r="H123" s="207"/>
      <c r="I123" s="207"/>
      <c r="J123" s="207"/>
      <c r="K123" s="210"/>
      <c r="L123" s="19"/>
      <c r="M123" s="209"/>
      <c r="N123" s="207"/>
      <c r="O123" s="207"/>
      <c r="P123" s="207"/>
      <c r="Q123" s="210"/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8.75" hidden="false" customHeight="true" outlineLevel="0" collapsed="false">
      <c r="A124" s="294" t="s">
        <v>98</v>
      </c>
      <c r="B124" s="295" t="n">
        <v>0</v>
      </c>
      <c r="C124" s="296"/>
      <c r="D124" s="295" t="s">
        <v>33</v>
      </c>
      <c r="E124" s="297"/>
      <c r="F124" s="19"/>
      <c r="G124" s="209" t="s">
        <v>29</v>
      </c>
      <c r="H124" s="168" t="n">
        <v>0</v>
      </c>
      <c r="I124" s="168"/>
      <c r="J124" s="207"/>
      <c r="K124" s="210"/>
      <c r="L124" s="19"/>
      <c r="M124" s="209" t="s">
        <v>29</v>
      </c>
      <c r="N124" s="168" t="n">
        <v>0</v>
      </c>
      <c r="O124" s="168"/>
      <c r="P124" s="207"/>
      <c r="Q124" s="210"/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8.75" hidden="false" customHeight="true" outlineLevel="0" collapsed="false">
      <c r="A125" s="298" t="s">
        <v>254</v>
      </c>
      <c r="B125" s="299" t="n">
        <f aca="false">A161</f>
        <v>35</v>
      </c>
      <c r="C125" s="300"/>
      <c r="D125" s="299" t="n">
        <f aca="false">B160</f>
        <v>35000</v>
      </c>
      <c r="E125" s="297"/>
      <c r="F125" s="19"/>
      <c r="G125" s="209"/>
      <c r="H125" s="207"/>
      <c r="I125" s="207"/>
      <c r="J125" s="207"/>
      <c r="K125" s="210"/>
      <c r="L125" s="19"/>
      <c r="M125" s="209"/>
      <c r="N125" s="207"/>
      <c r="O125" s="207"/>
      <c r="P125" s="207"/>
      <c r="Q125" s="210"/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8.75" hidden="false" customHeight="true" outlineLevel="0" collapsed="false">
      <c r="A126" s="294"/>
      <c r="B126" s="295"/>
      <c r="C126" s="295"/>
      <c r="D126" s="295"/>
      <c r="E126" s="297"/>
      <c r="F126" s="19"/>
      <c r="G126" s="302" t="s">
        <v>273</v>
      </c>
      <c r="H126" s="303" t="s">
        <v>274</v>
      </c>
      <c r="I126" s="303"/>
      <c r="J126" s="303" t="s">
        <v>275</v>
      </c>
      <c r="K126" s="210"/>
      <c r="L126" s="19"/>
      <c r="M126" s="302" t="s">
        <v>276</v>
      </c>
      <c r="N126" s="303" t="s">
        <v>227</v>
      </c>
      <c r="O126" s="303"/>
      <c r="P126" s="303" t="s">
        <v>93</v>
      </c>
      <c r="Q126" s="210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8.75" hidden="false" customHeight="true" outlineLevel="0" collapsed="false">
      <c r="A127" s="294" t="s">
        <v>92</v>
      </c>
      <c r="B127" s="295" t="s">
        <v>271</v>
      </c>
      <c r="C127" s="296"/>
      <c r="D127" s="295" t="s">
        <v>272</v>
      </c>
      <c r="E127" s="297"/>
      <c r="F127" s="19"/>
      <c r="G127" s="307" t="n">
        <f aca="false">H90</f>
        <v>828.202486464516</v>
      </c>
      <c r="H127" s="172" t="n">
        <f aca="false">IF(G105="YES", H89*H57, 0)</f>
        <v>0</v>
      </c>
      <c r="I127" s="172"/>
      <c r="J127" s="308" t="n">
        <f aca="false">H91</f>
        <v>828.202486464516</v>
      </c>
      <c r="K127" s="210"/>
      <c r="L127" s="19"/>
      <c r="M127" s="307" t="n">
        <f aca="false">N90</f>
        <v>682.816442530614</v>
      </c>
      <c r="N127" s="172" t="n">
        <f aca="false">IF(M105="YES", N89*N57, 0)</f>
        <v>0</v>
      </c>
      <c r="O127" s="172"/>
      <c r="P127" s="172" t="n">
        <f aca="false">N91</f>
        <v>682.816442530614</v>
      </c>
      <c r="Q127" s="210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8.75" hidden="false" customHeight="true" outlineLevel="0" collapsed="false">
      <c r="A128" s="298" t="n">
        <f aca="false">B90</f>
        <v>882.05364718015</v>
      </c>
      <c r="B128" s="296" t="n">
        <f aca="false">IF(A105="YES", B89, 0)</f>
        <v>0</v>
      </c>
      <c r="C128" s="300"/>
      <c r="D128" s="296" t="n">
        <f aca="false">B91</f>
        <v>882.05364718015</v>
      </c>
      <c r="E128" s="297"/>
      <c r="F128" s="19"/>
      <c r="G128" s="209"/>
      <c r="H128" s="207"/>
      <c r="I128" s="207"/>
      <c r="J128" s="207"/>
      <c r="K128" s="210"/>
      <c r="L128" s="19"/>
      <c r="M128" s="209"/>
      <c r="N128" s="207"/>
      <c r="O128" s="207"/>
      <c r="P128" s="207"/>
      <c r="Q128" s="210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8.75" hidden="false" customHeight="true" outlineLevel="0" collapsed="false">
      <c r="A129" s="291"/>
      <c r="B129" s="292"/>
      <c r="C129" s="292"/>
      <c r="D129" s="292"/>
      <c r="E129" s="293"/>
      <c r="F129" s="19"/>
      <c r="G129" s="209" t="s">
        <v>28</v>
      </c>
      <c r="H129" s="207" t="s">
        <v>33</v>
      </c>
      <c r="I129" s="207"/>
      <c r="J129" s="207" t="s">
        <v>60</v>
      </c>
      <c r="K129" s="210"/>
      <c r="L129" s="19"/>
      <c r="M129" s="209" t="s">
        <v>28</v>
      </c>
      <c r="N129" s="207" t="s">
        <v>33</v>
      </c>
      <c r="O129" s="207"/>
      <c r="P129" s="207" t="s">
        <v>60</v>
      </c>
      <c r="Q129" s="210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8.75" hidden="false" customHeight="true" outlineLevel="0" collapsed="false">
      <c r="A130" s="304" t="s">
        <v>23</v>
      </c>
      <c r="B130" s="305" t="s">
        <v>277</v>
      </c>
      <c r="C130" s="306"/>
      <c r="D130" s="305" t="s">
        <v>278</v>
      </c>
      <c r="E130" s="293"/>
      <c r="F130" s="19"/>
      <c r="G130" s="222" t="n">
        <f aca="false">G152</f>
        <v>35</v>
      </c>
      <c r="H130" s="174" t="n">
        <f aca="false">B151</f>
        <v>0</v>
      </c>
      <c r="I130" s="223"/>
      <c r="J130" s="174" t="n">
        <f aca="false">B58</f>
        <v>34</v>
      </c>
      <c r="K130" s="210"/>
      <c r="L130" s="19"/>
      <c r="M130" s="222" t="n">
        <f aca="false">M155</f>
        <v>35</v>
      </c>
      <c r="N130" s="174" t="n">
        <f aca="false">B151</f>
        <v>0</v>
      </c>
      <c r="O130" s="223"/>
      <c r="P130" s="174" t="n">
        <f aca="false">B58</f>
        <v>34</v>
      </c>
      <c r="Q130" s="210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8.75" hidden="false" customHeight="true" outlineLevel="0" collapsed="false">
      <c r="A131" s="309" t="str">
        <f aca="false">B99</f>
        <v>Monthly in advance</v>
      </c>
      <c r="B131" s="201" t="n">
        <f aca="false">B90*B57</f>
        <v>882.05364718015</v>
      </c>
      <c r="C131" s="292"/>
      <c r="D131" s="201" t="n">
        <f aca="false">IF(A105="YES", B89*B57, 0)</f>
        <v>0</v>
      </c>
      <c r="E131" s="293"/>
      <c r="F131" s="19"/>
      <c r="G131" s="209"/>
      <c r="H131" s="207"/>
      <c r="I131" s="207"/>
      <c r="J131" s="207"/>
      <c r="K131" s="210"/>
      <c r="L131" s="19"/>
      <c r="M131" s="209"/>
      <c r="N131" s="207"/>
      <c r="O131" s="207"/>
      <c r="P131" s="207"/>
      <c r="Q131" s="210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8.75" hidden="false" customHeight="true" outlineLevel="0" collapsed="false">
      <c r="A132" s="291"/>
      <c r="B132" s="292"/>
      <c r="C132" s="292"/>
      <c r="D132" s="292"/>
      <c r="E132" s="293"/>
      <c r="F132" s="19"/>
      <c r="G132" s="209" t="s">
        <v>279</v>
      </c>
      <c r="H132" s="207" t="s">
        <v>280</v>
      </c>
      <c r="I132" s="207"/>
      <c r="J132" s="207" t="s">
        <v>281</v>
      </c>
      <c r="K132" s="210"/>
      <c r="L132" s="19"/>
      <c r="M132" s="209" t="s">
        <v>282</v>
      </c>
      <c r="N132" s="207" t="s">
        <v>216</v>
      </c>
      <c r="O132" s="207"/>
      <c r="P132" s="207" t="s">
        <v>220</v>
      </c>
      <c r="Q132" s="210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8.75" hidden="false" customHeight="true" outlineLevel="0" collapsed="false">
      <c r="A133" s="123" t="s">
        <v>283</v>
      </c>
      <c r="B133" s="200" t="s">
        <v>284</v>
      </c>
      <c r="C133" s="310"/>
      <c r="D133" s="240" t="s">
        <v>177</v>
      </c>
      <c r="E133" s="293"/>
      <c r="F133" s="19"/>
      <c r="G133" s="69" t="n">
        <f aca="false">H90*H57</f>
        <v>4969.2149187871</v>
      </c>
      <c r="H133" s="37" t="n">
        <f aca="false">IF(G105="YES", H89*H57, 0)</f>
        <v>0</v>
      </c>
      <c r="I133" s="215"/>
      <c r="J133" s="232" t="n">
        <f aca="false">H91*H57</f>
        <v>4969.2149187871</v>
      </c>
      <c r="K133" s="210"/>
      <c r="L133" s="19"/>
      <c r="M133" s="69" t="n">
        <f aca="false">N90*N57</f>
        <v>4096.89865518369</v>
      </c>
      <c r="N133" s="37" t="n">
        <f aca="false">IF(M105="YES", N89*N57, 0)</f>
        <v>0</v>
      </c>
      <c r="O133" s="215"/>
      <c r="P133" s="232" t="n">
        <f aca="false">N91*N57</f>
        <v>4096.89865518369</v>
      </c>
      <c r="Q133" s="210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8.75" hidden="false" customHeight="true" outlineLevel="0" collapsed="false">
      <c r="A134" s="70" t="n">
        <f aca="false">B91*B57</f>
        <v>882.05364718015</v>
      </c>
      <c r="B134" s="201" t="n">
        <f aca="false">E114</f>
        <v>4000</v>
      </c>
      <c r="C134" s="292"/>
      <c r="D134" s="311" t="n">
        <f aca="false">B58</f>
        <v>34</v>
      </c>
      <c r="E134" s="293"/>
      <c r="F134" s="19"/>
      <c r="G134" s="209"/>
      <c r="H134" s="207"/>
      <c r="I134" s="207"/>
      <c r="J134" s="207"/>
      <c r="K134" s="210"/>
      <c r="L134" s="19"/>
      <c r="M134" s="209"/>
      <c r="N134" s="207"/>
      <c r="O134" s="207"/>
      <c r="P134" s="207"/>
      <c r="Q134" s="210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8.75" hidden="false" customHeight="true" outlineLevel="0" collapsed="false">
      <c r="A135" s="70"/>
      <c r="B135" s="312"/>
      <c r="C135" s="292"/>
      <c r="D135" s="292"/>
      <c r="E135" s="293"/>
      <c r="F135" s="19"/>
      <c r="G135" s="209" t="s">
        <v>285</v>
      </c>
      <c r="H135" s="207" t="s">
        <v>286</v>
      </c>
      <c r="I135" s="207"/>
      <c r="J135" s="207" t="s">
        <v>287</v>
      </c>
      <c r="K135" s="210"/>
      <c r="L135" s="19"/>
      <c r="M135" s="209" t="s">
        <v>229</v>
      </c>
      <c r="N135" s="207" t="s">
        <v>230</v>
      </c>
      <c r="O135" s="207"/>
      <c r="P135" s="207" t="s">
        <v>235</v>
      </c>
      <c r="Q135" s="210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8.75" hidden="false" customHeight="true" outlineLevel="0" collapsed="false">
      <c r="A136" s="78" t="s">
        <v>92</v>
      </c>
      <c r="B136" s="313" t="s">
        <v>271</v>
      </c>
      <c r="C136" s="292"/>
      <c r="D136" s="292" t="s">
        <v>272</v>
      </c>
      <c r="E136" s="293"/>
      <c r="F136" s="19"/>
      <c r="G136" s="70" t="n">
        <f aca="false">E15*0.000006</f>
        <v>0</v>
      </c>
      <c r="H136" s="37" t="n">
        <f aca="false">IF(G105="YES", E15*0.000002, 0)</f>
        <v>0</v>
      </c>
      <c r="I136" s="37"/>
      <c r="J136" s="37" t="n">
        <f aca="false">G136+H136</f>
        <v>0</v>
      </c>
      <c r="K136" s="177"/>
      <c r="L136" s="19"/>
      <c r="M136" s="70" t="n">
        <f aca="false">E15*0.000006</f>
        <v>0</v>
      </c>
      <c r="N136" s="37" t="n">
        <f aca="false">IF(M105="YES", E15*0.000002, 0)</f>
        <v>0</v>
      </c>
      <c r="O136" s="37"/>
      <c r="P136" s="37" t="n">
        <f aca="false">M136+N136</f>
        <v>0</v>
      </c>
      <c r="Q136" s="177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8.75" hidden="false" customHeight="true" outlineLevel="0" collapsed="false">
      <c r="A137" s="70" t="n">
        <f aca="false">B90</f>
        <v>882.05364718015</v>
      </c>
      <c r="B137" s="201" t="n">
        <f aca="false">IF(A105="YES", B89, 0)</f>
        <v>0</v>
      </c>
      <c r="C137" s="292"/>
      <c r="D137" s="201" t="n">
        <f aca="false">B91</f>
        <v>882.05364718015</v>
      </c>
      <c r="E137" s="293"/>
      <c r="F137" s="19"/>
      <c r="G137" s="209"/>
      <c r="H137" s="207"/>
      <c r="I137" s="207"/>
      <c r="J137" s="207"/>
      <c r="K137" s="210"/>
      <c r="L137" s="19"/>
      <c r="M137" s="209"/>
      <c r="N137" s="207"/>
      <c r="O137" s="207"/>
      <c r="P137" s="207"/>
      <c r="Q137" s="210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8.75" hidden="false" customHeight="true" outlineLevel="0" collapsed="false">
      <c r="A138" s="291"/>
      <c r="B138" s="292"/>
      <c r="C138" s="292"/>
      <c r="D138" s="292"/>
      <c r="E138" s="293"/>
      <c r="F138" s="19"/>
      <c r="G138" s="209" t="s">
        <v>288</v>
      </c>
      <c r="H138" s="207" t="s">
        <v>289</v>
      </c>
      <c r="I138" s="207"/>
      <c r="J138" s="207" t="s">
        <v>290</v>
      </c>
      <c r="K138" s="210"/>
      <c r="L138" s="19"/>
      <c r="M138" s="209" t="s">
        <v>111</v>
      </c>
      <c r="N138" s="207" t="s">
        <v>289</v>
      </c>
      <c r="O138" s="207"/>
      <c r="P138" s="207" t="s">
        <v>290</v>
      </c>
      <c r="Q138" s="210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8.75" hidden="false" customHeight="true" outlineLevel="0" collapsed="false">
      <c r="A139" s="314" t="s">
        <v>180</v>
      </c>
      <c r="B139" s="315" t="s">
        <v>291</v>
      </c>
      <c r="C139" s="201"/>
      <c r="D139" s="315" t="s">
        <v>182</v>
      </c>
      <c r="E139" s="177"/>
      <c r="F139" s="19"/>
      <c r="G139" s="70" t="n">
        <f aca="false">G102</f>
        <v>199.99</v>
      </c>
      <c r="H139" s="37" t="n">
        <f aca="false">H67</f>
        <v>0</v>
      </c>
      <c r="I139" s="37"/>
      <c r="J139" s="37" t="n">
        <f aca="false">H102*0.9</f>
        <v>0</v>
      </c>
      <c r="K139" s="177"/>
      <c r="L139" s="19"/>
      <c r="M139" s="70" t="n">
        <f aca="false">M102</f>
        <v>199.99</v>
      </c>
      <c r="N139" s="37" t="n">
        <f aca="false">N67</f>
        <v>0</v>
      </c>
      <c r="O139" s="37"/>
      <c r="P139" s="37" t="n">
        <f aca="false">N102*0.9</f>
        <v>0</v>
      </c>
      <c r="Q139" s="177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8.75" hidden="false" customHeight="true" outlineLevel="0" collapsed="false">
      <c r="A140" s="316" t="n">
        <f aca="false">(B61*0.000006)*1.2*100</f>
        <v>26.93088</v>
      </c>
      <c r="B140" s="317" t="n">
        <f aca="false">IF(A105="YES", B61*0.000002, 0)*1.2*100</f>
        <v>8.97696</v>
      </c>
      <c r="C140" s="292"/>
      <c r="D140" s="317" t="n">
        <f aca="false">A140+B140</f>
        <v>35.90784</v>
      </c>
      <c r="E140" s="293"/>
      <c r="F140" s="19"/>
      <c r="G140" s="209"/>
      <c r="H140" s="207"/>
      <c r="I140" s="207"/>
      <c r="J140" s="207"/>
      <c r="K140" s="210"/>
      <c r="L140" s="19"/>
      <c r="M140" s="209"/>
      <c r="N140" s="207"/>
      <c r="O140" s="207"/>
      <c r="P140" s="207"/>
      <c r="Q140" s="210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8.75" hidden="false" customHeight="true" outlineLevel="0" collapsed="false">
      <c r="A141" s="316"/>
      <c r="B141" s="317"/>
      <c r="C141" s="292"/>
      <c r="D141" s="317"/>
      <c r="E141" s="293"/>
      <c r="F141" s="19"/>
      <c r="G141" s="209" t="s">
        <v>292</v>
      </c>
      <c r="H141" s="207" t="s">
        <v>293</v>
      </c>
      <c r="I141" s="207"/>
      <c r="J141" s="207" t="s">
        <v>294</v>
      </c>
      <c r="K141" s="210"/>
      <c r="L141" s="19"/>
      <c r="M141" s="209" t="s">
        <v>292</v>
      </c>
      <c r="N141" s="207" t="s">
        <v>293</v>
      </c>
      <c r="O141" s="207"/>
      <c r="P141" s="207" t="s">
        <v>294</v>
      </c>
      <c r="Q141" s="210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8.75" hidden="false" customHeight="true" outlineLevel="0" collapsed="false">
      <c r="A142" s="314" t="s">
        <v>295</v>
      </c>
      <c r="B142" s="315" t="s">
        <v>152</v>
      </c>
      <c r="C142" s="201"/>
      <c r="D142" s="315" t="s">
        <v>246</v>
      </c>
      <c r="E142" s="293"/>
      <c r="F142" s="19"/>
      <c r="G142" s="70" t="n">
        <f aca="false">IF(G105="YES", ((B36*H105)*0.1)*(G130), 0)</f>
        <v>0</v>
      </c>
      <c r="H142" s="37" t="n">
        <f aca="false">G102-100</f>
        <v>99.99</v>
      </c>
      <c r="I142" s="37"/>
      <c r="J142" s="37" t="e">
        <f aca="false">(H139+J139+G142+H142)-H145</f>
        <v>#DIV/0!</v>
      </c>
      <c r="K142" s="177"/>
      <c r="L142" s="19"/>
      <c r="M142" s="70" t="n">
        <f aca="false">IF(M105="YES", ((B36*N105)*0.1)*(M130), 0)</f>
        <v>0</v>
      </c>
      <c r="N142" s="37" t="n">
        <f aca="false">M102-100</f>
        <v>99.99</v>
      </c>
      <c r="O142" s="37"/>
      <c r="P142" s="37" t="e">
        <f aca="false">(N139+P139+M142+N142)-N145</f>
        <v>#DIV/0!</v>
      </c>
      <c r="Q142" s="177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8.75" hidden="false" customHeight="true" outlineLevel="0" collapsed="false">
      <c r="A143" s="70" t="n">
        <v>0</v>
      </c>
      <c r="B143" s="201" t="n">
        <f aca="false">E118</f>
        <v>199.99</v>
      </c>
      <c r="C143" s="292"/>
      <c r="D143" s="152" t="n">
        <f aca="false">B102</f>
        <v>0</v>
      </c>
      <c r="E143" s="293"/>
      <c r="F143" s="19"/>
      <c r="G143" s="209"/>
      <c r="H143" s="207"/>
      <c r="I143" s="207"/>
      <c r="J143" s="207"/>
      <c r="K143" s="210"/>
      <c r="L143" s="19"/>
      <c r="M143" s="209"/>
      <c r="N143" s="207"/>
      <c r="O143" s="207"/>
      <c r="P143" s="207"/>
      <c r="Q143" s="210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8.75" hidden="false" customHeight="true" outlineLevel="0" collapsed="false">
      <c r="A144" s="70"/>
      <c r="B144" s="201"/>
      <c r="C144" s="292"/>
      <c r="D144" s="201"/>
      <c r="E144" s="293"/>
      <c r="F144" s="19"/>
      <c r="G144" s="209" t="s">
        <v>296</v>
      </c>
      <c r="H144" s="207" t="s">
        <v>297</v>
      </c>
      <c r="I144" s="207"/>
      <c r="J144" s="207"/>
      <c r="K144" s="210"/>
      <c r="L144" s="19"/>
      <c r="M144" s="209" t="s">
        <v>296</v>
      </c>
      <c r="N144" s="207" t="s">
        <v>297</v>
      </c>
      <c r="O144" s="207"/>
      <c r="P144" s="207"/>
      <c r="Q144" s="210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8.75" hidden="false" customHeight="true" outlineLevel="0" collapsed="false">
      <c r="A145" s="318" t="s">
        <v>298</v>
      </c>
      <c r="B145" s="319"/>
      <c r="C145" s="320"/>
      <c r="D145" s="319"/>
      <c r="E145" s="321"/>
      <c r="F145" s="19"/>
      <c r="G145" s="70" t="n">
        <v>0</v>
      </c>
      <c r="H145" s="37" t="e">
        <f aca="false">(H139+J139+G142+H142)*(G145/H64)</f>
        <v>#DIV/0!</v>
      </c>
      <c r="I145" s="207"/>
      <c r="J145" s="207"/>
      <c r="K145" s="210"/>
      <c r="L145" s="19"/>
      <c r="M145" s="70" t="n">
        <v>0</v>
      </c>
      <c r="N145" s="37" t="e">
        <f aca="false">(N139+P139+M142+N142)*(M145/N64)</f>
        <v>#DIV/0!</v>
      </c>
      <c r="O145" s="207"/>
      <c r="P145" s="207"/>
      <c r="Q145" s="210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8.75" hidden="false" customHeight="true" outlineLevel="0" collapsed="false">
      <c r="A146" s="316"/>
      <c r="B146" s="317"/>
      <c r="C146" s="292"/>
      <c r="D146" s="317"/>
      <c r="E146" s="293"/>
      <c r="F146" s="19"/>
      <c r="G146" s="209"/>
      <c r="H146" s="207"/>
      <c r="I146" s="207"/>
      <c r="J146" s="207"/>
      <c r="K146" s="210"/>
      <c r="L146" s="19"/>
      <c r="M146" s="70"/>
      <c r="N146" s="37"/>
      <c r="O146" s="207"/>
      <c r="P146" s="207"/>
      <c r="Q146" s="210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8.75" hidden="false" customHeight="true" outlineLevel="0" collapsed="false">
      <c r="A147" s="291" t="s">
        <v>299</v>
      </c>
      <c r="B147" s="292" t="s">
        <v>300</v>
      </c>
      <c r="C147" s="292"/>
      <c r="D147" s="292" t="s">
        <v>301</v>
      </c>
      <c r="E147" s="293"/>
      <c r="F147" s="19"/>
      <c r="G147" s="209"/>
      <c r="H147" s="207"/>
      <c r="I147" s="207"/>
      <c r="J147" s="207"/>
      <c r="K147" s="210"/>
      <c r="L147" s="19"/>
      <c r="M147" s="78" t="s">
        <v>302</v>
      </c>
      <c r="N147" s="38" t="s">
        <v>303</v>
      </c>
      <c r="O147" s="207"/>
      <c r="P147" s="207"/>
      <c r="Q147" s="210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8.75" hidden="false" customHeight="true" outlineLevel="0" collapsed="false">
      <c r="A148" s="70" t="n">
        <f aca="false">B67</f>
        <v>732.495</v>
      </c>
      <c r="B148" s="37" t="n">
        <f aca="false">B102</f>
        <v>0</v>
      </c>
      <c r="C148" s="201"/>
      <c r="D148" s="201" t="n">
        <f aca="false">IF(A105="YES", (B40*B105)*B125, 0)*0.1</f>
        <v>0</v>
      </c>
      <c r="E148" s="177"/>
      <c r="F148" s="19"/>
      <c r="G148" s="243" t="s">
        <v>304</v>
      </c>
      <c r="H148" s="207"/>
      <c r="I148" s="207"/>
      <c r="J148" s="244"/>
      <c r="K148" s="245"/>
      <c r="L148" s="19"/>
      <c r="M148" s="322" t="n">
        <v>18000</v>
      </c>
      <c r="N148" s="323" t="n">
        <v>0.99</v>
      </c>
      <c r="O148" s="323"/>
      <c r="P148" s="207"/>
      <c r="Q148" s="210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8.75" hidden="false" customHeight="true" outlineLevel="0" collapsed="false">
      <c r="A149" s="291"/>
      <c r="B149" s="292"/>
      <c r="C149" s="292"/>
      <c r="D149" s="292"/>
      <c r="E149" s="293"/>
      <c r="F149" s="19"/>
      <c r="G149" s="209"/>
      <c r="H149" s="246"/>
      <c r="I149" s="246"/>
      <c r="J149" s="207"/>
      <c r="K149" s="210"/>
      <c r="L149" s="19"/>
      <c r="M149" s="209"/>
      <c r="N149" s="207"/>
      <c r="O149" s="207"/>
      <c r="P149" s="207"/>
      <c r="Q149" s="210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8.75" hidden="false" customHeight="true" outlineLevel="0" collapsed="false">
      <c r="A150" s="291" t="s">
        <v>305</v>
      </c>
      <c r="B150" s="292" t="s">
        <v>297</v>
      </c>
      <c r="C150" s="292"/>
      <c r="D150" s="292" t="s">
        <v>294</v>
      </c>
      <c r="E150" s="293"/>
      <c r="F150" s="19"/>
      <c r="G150" s="248" t="s">
        <v>28</v>
      </c>
      <c r="H150" s="249" t="s">
        <v>33</v>
      </c>
      <c r="I150" s="249"/>
      <c r="J150" s="207"/>
      <c r="K150" s="210"/>
      <c r="L150" s="19"/>
      <c r="M150" s="209"/>
      <c r="N150" s="207"/>
      <c r="O150" s="207"/>
      <c r="P150" s="207"/>
      <c r="Q150" s="210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8.75" hidden="false" customHeight="true" outlineLevel="0" collapsed="false">
      <c r="A151" s="70" t="n">
        <f aca="false">E118-100</f>
        <v>99.99</v>
      </c>
      <c r="B151" s="201" t="n">
        <f aca="false">(A148+B148+D148+A151)*(A143/B64)</f>
        <v>0</v>
      </c>
      <c r="C151" s="201"/>
      <c r="D151" s="201" t="n">
        <f aca="false">(A148+B148+D148+A151)-B151</f>
        <v>832.485</v>
      </c>
      <c r="E151" s="177"/>
      <c r="F151" s="19"/>
      <c r="G151" s="248"/>
      <c r="H151" s="250" t="n">
        <f aca="false">B51</f>
        <v>35000</v>
      </c>
      <c r="I151" s="250"/>
      <c r="J151" s="207"/>
      <c r="K151" s="210"/>
      <c r="L151" s="19"/>
      <c r="M151" s="243" t="s">
        <v>304</v>
      </c>
      <c r="N151" s="207"/>
      <c r="O151" s="207"/>
      <c r="P151" s="244"/>
      <c r="Q151" s="245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8.75" hidden="false" customHeight="true" outlineLevel="0" collapsed="false">
      <c r="A152" s="291"/>
      <c r="B152" s="292"/>
      <c r="C152" s="292"/>
      <c r="D152" s="292"/>
      <c r="E152" s="293"/>
      <c r="F152" s="19"/>
      <c r="G152" s="251" t="n">
        <f aca="false">A52</f>
        <v>35</v>
      </c>
      <c r="H152" s="92" t="n">
        <f aca="false">H91</f>
        <v>828.202486464516</v>
      </c>
      <c r="I152" s="92"/>
      <c r="J152" s="207"/>
      <c r="K152" s="210"/>
      <c r="L152" s="19"/>
      <c r="M152" s="209"/>
      <c r="N152" s="246"/>
      <c r="O152" s="246"/>
      <c r="P152" s="207"/>
      <c r="Q152" s="210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8.75" hidden="false" customHeight="true" outlineLevel="0" collapsed="false">
      <c r="A153" s="291" t="s">
        <v>306</v>
      </c>
      <c r="B153" s="292"/>
      <c r="C153" s="292"/>
      <c r="D153" s="292"/>
      <c r="E153" s="293"/>
      <c r="F153" s="19"/>
      <c r="G153" s="209"/>
      <c r="H153" s="207"/>
      <c r="I153" s="207"/>
      <c r="J153" s="207"/>
      <c r="K153" s="210"/>
      <c r="L153" s="19"/>
      <c r="M153" s="248" t="s">
        <v>28</v>
      </c>
      <c r="N153" s="249" t="s">
        <v>33</v>
      </c>
      <c r="O153" s="249"/>
      <c r="P153" s="207"/>
      <c r="Q153" s="210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8.75" hidden="false" customHeight="true" outlineLevel="0" collapsed="false">
      <c r="A154" s="70" t="n">
        <f aca="false">D102</f>
        <v>0</v>
      </c>
      <c r="B154" s="201"/>
      <c r="C154" s="292"/>
      <c r="D154" s="292"/>
      <c r="E154" s="293"/>
      <c r="F154" s="19"/>
      <c r="G154" s="209"/>
      <c r="H154" s="207"/>
      <c r="I154" s="207"/>
      <c r="J154" s="207"/>
      <c r="K154" s="210"/>
      <c r="L154" s="19"/>
      <c r="M154" s="248"/>
      <c r="N154" s="250" t="n">
        <f aca="false">B51</f>
        <v>35000</v>
      </c>
      <c r="O154" s="250"/>
      <c r="P154" s="207"/>
      <c r="Q154" s="210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8.75" hidden="false" customHeight="true" outlineLevel="0" collapsed="false">
      <c r="A155" s="291"/>
      <c r="B155" s="292"/>
      <c r="C155" s="292"/>
      <c r="D155" s="292"/>
      <c r="E155" s="293"/>
      <c r="F155" s="19"/>
      <c r="G155" s="209"/>
      <c r="H155" s="207"/>
      <c r="I155" s="207"/>
      <c r="J155" s="207"/>
      <c r="K155" s="210"/>
      <c r="L155" s="19"/>
      <c r="M155" s="251" t="n">
        <f aca="false">A52</f>
        <v>35</v>
      </c>
      <c r="N155" s="92" t="n">
        <f aca="false">N91</f>
        <v>682.816442530614</v>
      </c>
      <c r="O155" s="92"/>
      <c r="P155" s="207"/>
      <c r="Q155" s="210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8.75" hidden="false" customHeight="true" outlineLevel="0" collapsed="false">
      <c r="A156" s="291"/>
      <c r="B156" s="292"/>
      <c r="C156" s="292"/>
      <c r="D156" s="292"/>
      <c r="E156" s="293"/>
      <c r="F156" s="19"/>
      <c r="G156" s="209"/>
      <c r="H156" s="207"/>
      <c r="I156" s="207"/>
      <c r="J156" s="207"/>
      <c r="K156" s="210"/>
      <c r="L156" s="19"/>
      <c r="M156" s="209"/>
      <c r="N156" s="207"/>
      <c r="O156" s="207"/>
      <c r="P156" s="207"/>
      <c r="Q156" s="210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8.75" hidden="false" customHeight="true" outlineLevel="0" collapsed="false">
      <c r="A157" s="324" t="s">
        <v>304</v>
      </c>
      <c r="B157" s="292"/>
      <c r="C157" s="292"/>
      <c r="D157" s="325"/>
      <c r="E157" s="326"/>
      <c r="F157" s="19"/>
      <c r="G157" s="252"/>
      <c r="H157" s="253"/>
      <c r="I157" s="253"/>
      <c r="J157" s="253"/>
      <c r="K157" s="254"/>
      <c r="L157" s="19"/>
      <c r="M157" s="209"/>
      <c r="N157" s="207"/>
      <c r="O157" s="207"/>
      <c r="P157" s="207"/>
      <c r="Q157" s="210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8.75" hidden="false" customHeight="true" outlineLevel="0" collapsed="false">
      <c r="A158" s="291"/>
      <c r="B158" s="327"/>
      <c r="C158" s="327"/>
      <c r="D158" s="292"/>
      <c r="E158" s="293"/>
      <c r="F158" s="19"/>
      <c r="G158" s="19"/>
      <c r="H158" s="19"/>
      <c r="I158" s="19"/>
      <c r="J158" s="19"/>
      <c r="K158" s="19"/>
      <c r="L158" s="19"/>
      <c r="M158" s="209"/>
      <c r="N158" s="207"/>
      <c r="O158" s="207"/>
      <c r="P158" s="207"/>
      <c r="Q158" s="210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8.75" hidden="false" customHeight="true" outlineLevel="0" collapsed="false">
      <c r="A159" s="248" t="s">
        <v>28</v>
      </c>
      <c r="B159" s="249" t="s">
        <v>33</v>
      </c>
      <c r="C159" s="249"/>
      <c r="D159" s="292"/>
      <c r="E159" s="293"/>
      <c r="F159" s="19"/>
      <c r="G159" s="19"/>
      <c r="H159" s="19"/>
      <c r="I159" s="19"/>
      <c r="J159" s="19"/>
      <c r="K159" s="19"/>
      <c r="L159" s="19"/>
      <c r="M159" s="209"/>
      <c r="N159" s="207"/>
      <c r="O159" s="207"/>
      <c r="P159" s="207"/>
      <c r="Q159" s="210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8.75" hidden="false" customHeight="true" outlineLevel="0" collapsed="false">
      <c r="A160" s="248"/>
      <c r="B160" s="250" t="n">
        <f aca="false">B51</f>
        <v>35000</v>
      </c>
      <c r="C160" s="250"/>
      <c r="D160" s="292"/>
      <c r="E160" s="293"/>
      <c r="F160" s="19"/>
      <c r="G160" s="19"/>
      <c r="H160" s="19"/>
      <c r="I160" s="19"/>
      <c r="J160" s="19"/>
      <c r="K160" s="19"/>
      <c r="L160" s="19"/>
      <c r="M160" s="209"/>
      <c r="N160" s="207"/>
      <c r="O160" s="207"/>
      <c r="P160" s="207"/>
      <c r="Q160" s="210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8.75" hidden="false" customHeight="true" outlineLevel="0" collapsed="false">
      <c r="A161" s="251" t="n">
        <f aca="false">A52</f>
        <v>35</v>
      </c>
      <c r="B161" s="92" t="n">
        <f aca="false">B91</f>
        <v>882.05364718015</v>
      </c>
      <c r="C161" s="92"/>
      <c r="D161" s="292"/>
      <c r="E161" s="293"/>
      <c r="F161" s="19"/>
      <c r="G161" s="19"/>
      <c r="H161" s="19"/>
      <c r="I161" s="19"/>
      <c r="J161" s="19"/>
      <c r="K161" s="19"/>
      <c r="L161" s="19"/>
      <c r="M161" s="209"/>
      <c r="N161" s="207"/>
      <c r="O161" s="207"/>
      <c r="P161" s="207"/>
      <c r="Q161" s="210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8.75" hidden="false" customHeight="true" outlineLevel="0" collapsed="false">
      <c r="A162" s="291"/>
      <c r="B162" s="292"/>
      <c r="C162" s="292"/>
      <c r="D162" s="292"/>
      <c r="E162" s="293"/>
      <c r="F162" s="19"/>
      <c r="G162" s="19"/>
      <c r="H162" s="19"/>
      <c r="I162" s="19"/>
      <c r="J162" s="19"/>
      <c r="K162" s="19"/>
      <c r="L162" s="19"/>
      <c r="M162" s="252"/>
      <c r="N162" s="253"/>
      <c r="O162" s="253"/>
      <c r="P162" s="253"/>
      <c r="Q162" s="254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8.75" hidden="false" customHeight="true" outlineLevel="0" collapsed="false">
      <c r="A163" s="291"/>
      <c r="B163" s="292"/>
      <c r="C163" s="292"/>
      <c r="D163" s="292"/>
      <c r="E163" s="293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8.75" hidden="false" customHeight="true" outlineLevel="0" collapsed="false">
      <c r="A164" s="291"/>
      <c r="B164" s="292"/>
      <c r="C164" s="292"/>
      <c r="D164" s="292"/>
      <c r="E164" s="293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8.75" hidden="false" customHeight="true" outlineLevel="0" collapsed="false">
      <c r="A165" s="291"/>
      <c r="B165" s="292"/>
      <c r="C165" s="292"/>
      <c r="D165" s="292"/>
      <c r="E165" s="293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8.75" hidden="false" customHeight="true" outlineLevel="0" collapsed="false">
      <c r="A166" s="342"/>
      <c r="B166" s="343"/>
      <c r="C166" s="343"/>
      <c r="D166" s="343"/>
      <c r="E166" s="344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8.75" hidden="false" customHeight="true" outlineLevel="0" collapsed="false">
      <c r="A167" s="394"/>
      <c r="B167" s="394"/>
      <c r="C167" s="394"/>
      <c r="D167" s="394"/>
      <c r="E167" s="394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8.75" hidden="false" customHeight="true" outlineLevel="0" collapsed="false">
      <c r="A168" s="394"/>
      <c r="B168" s="394"/>
      <c r="C168" s="394"/>
      <c r="D168" s="394"/>
      <c r="E168" s="394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8.75" hidden="false" customHeight="true" outlineLevel="0" collapsed="false">
      <c r="A169" s="394"/>
      <c r="B169" s="394"/>
      <c r="C169" s="394"/>
      <c r="D169" s="394"/>
      <c r="E169" s="394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8.75" hidden="false" customHeight="true" outlineLevel="0" collapsed="false">
      <c r="A170" s="394"/>
      <c r="B170" s="394"/>
      <c r="C170" s="394"/>
      <c r="D170" s="394"/>
      <c r="E170" s="394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8.75" hidden="false" customHeight="true" outlineLevel="0" collapsed="false">
      <c r="A171" s="328" t="s">
        <v>270</v>
      </c>
      <c r="B171" s="328"/>
      <c r="C171" s="328"/>
      <c r="D171" s="328"/>
      <c r="E171" s="328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8.75" hidden="false" customHeight="true" outlineLevel="0" collapsed="false">
      <c r="A172" s="291"/>
      <c r="B172" s="329"/>
      <c r="C172" s="329"/>
      <c r="D172" s="329"/>
      <c r="E172" s="293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8.75" hidden="false" customHeight="true" outlineLevel="0" collapsed="false">
      <c r="A173" s="294" t="s">
        <v>98</v>
      </c>
      <c r="B173" s="330" t="s">
        <v>174</v>
      </c>
      <c r="C173" s="331"/>
      <c r="D173" s="330" t="s">
        <v>33</v>
      </c>
      <c r="E173" s="297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8.75" hidden="false" customHeight="true" outlineLevel="0" collapsed="false">
      <c r="A174" s="298" t="s">
        <v>254</v>
      </c>
      <c r="B174" s="299" t="n">
        <f aca="false">A161</f>
        <v>35</v>
      </c>
      <c r="C174" s="333"/>
      <c r="D174" s="299" t="n">
        <f aca="false">D125</f>
        <v>35000</v>
      </c>
      <c r="E174" s="297"/>
      <c r="F174" s="19"/>
      <c r="G174" s="367" t="s">
        <v>323</v>
      </c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8.75" hidden="false" customHeight="true" outlineLevel="0" collapsed="false">
      <c r="A175" s="294"/>
      <c r="B175" s="330"/>
      <c r="C175" s="330"/>
      <c r="D175" s="330"/>
      <c r="E175" s="297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8.75" hidden="false" customHeight="true" outlineLevel="0" collapsed="false">
      <c r="A176" s="294" t="s">
        <v>92</v>
      </c>
      <c r="B176" s="330" t="s">
        <v>271</v>
      </c>
      <c r="C176" s="331"/>
      <c r="D176" s="330" t="s">
        <v>272</v>
      </c>
      <c r="E176" s="297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8.75" hidden="false" customHeight="true" outlineLevel="0" collapsed="false">
      <c r="A177" s="298" t="n">
        <f aca="false">B90</f>
        <v>882.05364718015</v>
      </c>
      <c r="B177" s="331" t="n">
        <f aca="false">IF(A105="YES", B89, 0)</f>
        <v>0</v>
      </c>
      <c r="C177" s="333"/>
      <c r="D177" s="331" t="n">
        <f aca="false">B91</f>
        <v>882.05364718015</v>
      </c>
      <c r="E177" s="297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8.75" hidden="false" customHeight="true" outlineLevel="0" collapsed="false">
      <c r="A178" s="291"/>
      <c r="B178" s="329"/>
      <c r="C178" s="329"/>
      <c r="D178" s="329"/>
      <c r="E178" s="293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8.75" hidden="false" customHeight="true" outlineLevel="0" collapsed="false">
      <c r="A179" s="304" t="s">
        <v>23</v>
      </c>
      <c r="B179" s="335" t="s">
        <v>277</v>
      </c>
      <c r="C179" s="223"/>
      <c r="D179" s="335" t="s">
        <v>278</v>
      </c>
      <c r="E179" s="293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8.75" hidden="false" customHeight="true" outlineLevel="0" collapsed="false">
      <c r="A180" s="309" t="str">
        <f aca="false">B99</f>
        <v>Monthly in advance</v>
      </c>
      <c r="B180" s="37" t="n">
        <f aca="false">B90*B57</f>
        <v>882.05364718015</v>
      </c>
      <c r="C180" s="329"/>
      <c r="D180" s="37" t="n">
        <f aca="false">IF(A105="YES", B89*B57, 0)</f>
        <v>0</v>
      </c>
      <c r="E180" s="293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8.75" hidden="false" customHeight="true" outlineLevel="0" collapsed="false">
      <c r="A181" s="291"/>
      <c r="B181" s="329"/>
      <c r="C181" s="329"/>
      <c r="D181" s="329"/>
      <c r="E181" s="293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8.75" hidden="false" customHeight="true" outlineLevel="0" collapsed="false">
      <c r="A182" s="123" t="s">
        <v>283</v>
      </c>
      <c r="B182" s="38" t="s">
        <v>284</v>
      </c>
      <c r="C182" s="336"/>
      <c r="D182" s="233" t="s">
        <v>177</v>
      </c>
      <c r="E182" s="293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8.75" hidden="false" customHeight="true" outlineLevel="0" collapsed="false">
      <c r="A183" s="70" t="n">
        <f aca="false">B91*B57</f>
        <v>882.05364718015</v>
      </c>
      <c r="B183" s="37" t="n">
        <f aca="false">E114</f>
        <v>4000</v>
      </c>
      <c r="C183" s="329"/>
      <c r="D183" s="337" t="n">
        <f aca="false">B58</f>
        <v>34</v>
      </c>
      <c r="E183" s="293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8.75" hidden="false" customHeight="true" outlineLevel="0" collapsed="false">
      <c r="A184" s="70"/>
      <c r="B184" s="338"/>
      <c r="C184" s="329"/>
      <c r="D184" s="329"/>
      <c r="E184" s="293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8.75" hidden="false" customHeight="true" outlineLevel="0" collapsed="false">
      <c r="A185" s="78" t="s">
        <v>92</v>
      </c>
      <c r="B185" s="339" t="s">
        <v>271</v>
      </c>
      <c r="C185" s="329"/>
      <c r="D185" s="329" t="s">
        <v>272</v>
      </c>
      <c r="E185" s="293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8.75" hidden="false" customHeight="true" outlineLevel="0" collapsed="false">
      <c r="A186" s="70" t="n">
        <f aca="false">B90</f>
        <v>882.05364718015</v>
      </c>
      <c r="B186" s="37" t="n">
        <f aca="false">IF(A105="YES", B89, 0)</f>
        <v>0</v>
      </c>
      <c r="C186" s="329"/>
      <c r="D186" s="37" t="n">
        <f aca="false">B91</f>
        <v>882.05364718015</v>
      </c>
      <c r="E186" s="293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8.75" hidden="false" customHeight="true" outlineLevel="0" collapsed="false">
      <c r="A187" s="291"/>
      <c r="B187" s="329"/>
      <c r="C187" s="329"/>
      <c r="D187" s="329"/>
      <c r="E187" s="293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8.75" hidden="false" customHeight="true" outlineLevel="0" collapsed="false">
      <c r="A188" s="314" t="s">
        <v>180</v>
      </c>
      <c r="B188" s="340" t="s">
        <v>291</v>
      </c>
      <c r="C188" s="37"/>
      <c r="D188" s="340" t="s">
        <v>182</v>
      </c>
      <c r="E188" s="177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8.75" hidden="false" customHeight="true" outlineLevel="0" collapsed="false">
      <c r="A189" s="316" t="n">
        <f aca="false">A140</f>
        <v>26.93088</v>
      </c>
      <c r="B189" s="341" t="n">
        <f aca="false">B140</f>
        <v>8.97696</v>
      </c>
      <c r="C189" s="329"/>
      <c r="D189" s="341" t="n">
        <f aca="false">A189+B189</f>
        <v>35.90784</v>
      </c>
      <c r="E189" s="293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8.75" hidden="false" customHeight="true" outlineLevel="0" collapsed="false">
      <c r="A190" s="316"/>
      <c r="B190" s="341"/>
      <c r="C190" s="329"/>
      <c r="D190" s="341"/>
      <c r="E190" s="293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8.75" hidden="false" customHeight="true" outlineLevel="0" collapsed="false">
      <c r="A191" s="314" t="s">
        <v>295</v>
      </c>
      <c r="B191" s="340" t="s">
        <v>152</v>
      </c>
      <c r="C191" s="37"/>
      <c r="D191" s="340" t="s">
        <v>246</v>
      </c>
      <c r="E191" s="293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8.75" hidden="false" customHeight="true" outlineLevel="0" collapsed="false">
      <c r="A192" s="70" t="n">
        <v>0</v>
      </c>
      <c r="B192" s="37" t="n">
        <f aca="false">E118</f>
        <v>199.99</v>
      </c>
      <c r="C192" s="329"/>
      <c r="D192" s="152" t="n">
        <f aca="false">B102</f>
        <v>0</v>
      </c>
      <c r="E192" s="293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8.75" hidden="false" customHeight="true" outlineLevel="0" collapsed="false">
      <c r="A193" s="70"/>
      <c r="B193" s="37"/>
      <c r="C193" s="329"/>
      <c r="D193" s="37"/>
      <c r="E193" s="293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8.75" hidden="false" customHeight="true" outlineLevel="0" collapsed="false">
      <c r="A194" s="318" t="s">
        <v>298</v>
      </c>
      <c r="B194" s="319"/>
      <c r="C194" s="320"/>
      <c r="D194" s="319"/>
      <c r="E194" s="321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8.75" hidden="false" customHeight="true" outlineLevel="0" collapsed="false">
      <c r="A195" s="316"/>
      <c r="B195" s="341"/>
      <c r="C195" s="329"/>
      <c r="D195" s="341"/>
      <c r="E195" s="293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8.75" hidden="false" customHeight="true" outlineLevel="0" collapsed="false">
      <c r="A196" s="291" t="s">
        <v>299</v>
      </c>
      <c r="B196" s="329" t="s">
        <v>300</v>
      </c>
      <c r="C196" s="329"/>
      <c r="D196" s="329" t="s">
        <v>301</v>
      </c>
      <c r="E196" s="293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8.75" hidden="false" customHeight="true" outlineLevel="0" collapsed="false">
      <c r="A197" s="70" t="n">
        <f aca="false">B67</f>
        <v>732.495</v>
      </c>
      <c r="B197" s="37" t="n">
        <f aca="false">B102</f>
        <v>0</v>
      </c>
      <c r="C197" s="37"/>
      <c r="D197" s="37" t="n">
        <f aca="false">IF(A105="YES", (B40*B105)*B125, 0)*0.1</f>
        <v>0</v>
      </c>
      <c r="E197" s="177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8.75" hidden="false" customHeight="true" outlineLevel="0" collapsed="false">
      <c r="A198" s="291"/>
      <c r="B198" s="329"/>
      <c r="C198" s="329"/>
      <c r="D198" s="329"/>
      <c r="E198" s="293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8.75" hidden="false" customHeight="true" outlineLevel="0" collapsed="false">
      <c r="A199" s="291" t="s">
        <v>305</v>
      </c>
      <c r="B199" s="329" t="s">
        <v>297</v>
      </c>
      <c r="C199" s="329"/>
      <c r="D199" s="329" t="s">
        <v>294</v>
      </c>
      <c r="E199" s="293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8.75" hidden="false" customHeight="true" outlineLevel="0" collapsed="false">
      <c r="A200" s="70" t="n">
        <f aca="false">E118-100</f>
        <v>99.99</v>
      </c>
      <c r="B200" s="37" t="n">
        <f aca="false">(A148+B148+D148+A151)*(A143/B64)</f>
        <v>0</v>
      </c>
      <c r="C200" s="37"/>
      <c r="D200" s="37" t="n">
        <f aca="false">(A148+B148+D148+A151)-B151</f>
        <v>832.485</v>
      </c>
      <c r="E200" s="177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8.75" hidden="false" customHeight="true" outlineLevel="0" collapsed="false">
      <c r="A201" s="291"/>
      <c r="B201" s="329"/>
      <c r="C201" s="329"/>
      <c r="D201" s="329"/>
      <c r="E201" s="293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8.75" hidden="false" customHeight="true" outlineLevel="0" collapsed="false">
      <c r="A202" s="291" t="s">
        <v>306</v>
      </c>
      <c r="B202" s="329"/>
      <c r="C202" s="329"/>
      <c r="D202" s="329"/>
      <c r="E202" s="293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8.75" hidden="false" customHeight="true" outlineLevel="0" collapsed="false">
      <c r="A203" s="70" t="n">
        <f aca="false">D102</f>
        <v>0</v>
      </c>
      <c r="B203" s="37"/>
      <c r="C203" s="329"/>
      <c r="D203" s="329"/>
      <c r="E203" s="293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8.75" hidden="false" customHeight="true" outlineLevel="0" collapsed="false">
      <c r="A204" s="342"/>
      <c r="B204" s="343"/>
      <c r="C204" s="343"/>
      <c r="D204" s="343"/>
      <c r="E204" s="344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8.75" hidden="false" customHeight="true" outlineLevel="0" collapsed="false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8.75" hidden="false" customHeight="true" outlineLevel="0" collapsed="false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8.75" hidden="false" customHeight="true" outlineLevel="0" collapsed="false">
      <c r="A207" s="328" t="s">
        <v>185</v>
      </c>
      <c r="B207" s="328"/>
      <c r="C207" s="328"/>
      <c r="D207" s="328"/>
      <c r="E207" s="328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8.75" hidden="false" customHeight="true" outlineLevel="0" collapsed="false">
      <c r="A208" s="291"/>
      <c r="B208" s="292"/>
      <c r="C208" s="292"/>
      <c r="D208" s="292"/>
      <c r="E208" s="293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8.75" hidden="false" customHeight="true" outlineLevel="0" collapsed="false">
      <c r="A209" s="294" t="s">
        <v>186</v>
      </c>
      <c r="B209" s="345" t="n">
        <f aca="false">H35</f>
        <v>0.065</v>
      </c>
      <c r="C209" s="296" t="s">
        <v>188</v>
      </c>
      <c r="D209" s="346" t="n">
        <f aca="false">D64</f>
        <v>2976.8225025</v>
      </c>
      <c r="E209" s="297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8.75" hidden="false" customHeight="true" outlineLevel="0" collapsed="false">
      <c r="A210" s="298"/>
      <c r="B210" s="299"/>
      <c r="C210" s="300"/>
      <c r="D210" s="299"/>
      <c r="E210" s="297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8.75" hidden="false" customHeight="true" outlineLevel="0" collapsed="false">
      <c r="A211" s="294" t="s">
        <v>189</v>
      </c>
      <c r="B211" s="296" t="n">
        <f aca="false">B219</f>
        <v>732.495</v>
      </c>
      <c r="C211" s="295" t="s">
        <v>190</v>
      </c>
      <c r="D211" s="346" t="n">
        <f aca="false">B225+E221+B221+B223</f>
        <v>99.99</v>
      </c>
      <c r="E211" s="297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8.75" hidden="false" customHeight="true" outlineLevel="0" collapsed="false">
      <c r="A212" s="294"/>
      <c r="B212" s="347"/>
      <c r="C212" s="296"/>
      <c r="D212" s="295"/>
      <c r="E212" s="297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8.75" hidden="false" customHeight="true" outlineLevel="0" collapsed="false">
      <c r="A213" s="298" t="s">
        <v>191</v>
      </c>
      <c r="B213" s="296" t="n">
        <f aca="false">E223</f>
        <v>2344.3175025</v>
      </c>
      <c r="C213" s="300"/>
      <c r="D213" s="296"/>
      <c r="E213" s="297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8.75" hidden="false" customHeight="true" outlineLevel="0" collapsed="false">
      <c r="A214" s="291"/>
      <c r="B214" s="313"/>
      <c r="C214" s="292"/>
      <c r="D214" s="292"/>
      <c r="E214" s="293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8.75" hidden="false" customHeight="true" outlineLevel="0" collapsed="false">
      <c r="A215" s="222" t="s">
        <v>186</v>
      </c>
      <c r="B215" s="348" t="n">
        <v>0.065</v>
      </c>
      <c r="C215" s="306"/>
      <c r="D215" s="305"/>
      <c r="E215" s="293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8.75" hidden="false" customHeight="true" outlineLevel="0" collapsed="false">
      <c r="A216" s="349"/>
      <c r="B216" s="200"/>
      <c r="C216" s="292"/>
      <c r="D216" s="201"/>
      <c r="E216" s="293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8.75" hidden="false" customHeight="true" outlineLevel="0" collapsed="false">
      <c r="A217" s="350" t="s">
        <v>188</v>
      </c>
      <c r="B217" s="60" t="n">
        <f aca="false">D64</f>
        <v>2976.8225025</v>
      </c>
      <c r="C217" s="351" t="s">
        <v>194</v>
      </c>
      <c r="D217" s="292"/>
      <c r="E217" s="352" t="n">
        <f aca="false">B66</f>
        <v>0.0195833333333333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8.75" hidden="false" customHeight="true" outlineLevel="0" collapsed="false">
      <c r="A218" s="69"/>
      <c r="B218" s="200"/>
      <c r="C218" s="310"/>
      <c r="D218" s="240"/>
      <c r="E218" s="293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8.75" hidden="false" customHeight="true" outlineLevel="0" collapsed="false">
      <c r="A219" s="70" t="s">
        <v>194</v>
      </c>
      <c r="B219" s="60" t="n">
        <f aca="false">B67</f>
        <v>732.495</v>
      </c>
      <c r="C219" s="310" t="s">
        <v>307</v>
      </c>
      <c r="D219" s="353"/>
      <c r="E219" s="103" t="n">
        <v>0.001</v>
      </c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8.75" hidden="false" customHeight="true" outlineLevel="0" collapsed="false">
      <c r="A220" s="70"/>
      <c r="B220" s="313"/>
      <c r="C220" s="310"/>
      <c r="D220" s="292"/>
      <c r="E220" s="293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8.75" hidden="false" customHeight="true" outlineLevel="0" collapsed="false">
      <c r="A221" s="70" t="s">
        <v>307</v>
      </c>
      <c r="B221" s="233" t="n">
        <f aca="false">(B77-(B77*(E219*100)))*0.1</f>
        <v>0</v>
      </c>
      <c r="C221" s="310" t="s">
        <v>196</v>
      </c>
      <c r="D221" s="292"/>
      <c r="E221" s="20" t="n">
        <f aca="false">A200</f>
        <v>99.99</v>
      </c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18.75" hidden="false" customHeight="true" outlineLevel="0" collapsed="false">
      <c r="A222" s="70"/>
      <c r="B222" s="200"/>
      <c r="C222" s="310"/>
      <c r="D222" s="201"/>
      <c r="E222" s="293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18.75" hidden="false" customHeight="true" outlineLevel="0" collapsed="false">
      <c r="A223" s="350" t="s">
        <v>308</v>
      </c>
      <c r="B223" s="233" t="n">
        <f aca="false">B78-(B78*(E219*100))</f>
        <v>0</v>
      </c>
      <c r="C223" s="310" t="s">
        <v>191</v>
      </c>
      <c r="D223" s="292"/>
      <c r="E223" s="20" t="n">
        <f aca="false">(B217-B211+D211)</f>
        <v>2344.3175025</v>
      </c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18.75" hidden="false" customHeight="true" outlineLevel="0" collapsed="false">
      <c r="A224" s="354"/>
      <c r="B224" s="315"/>
      <c r="C224" s="201"/>
      <c r="D224" s="315"/>
      <c r="E224" s="163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18.75" hidden="false" customHeight="true" outlineLevel="0" collapsed="false">
      <c r="A225" s="354" t="s">
        <v>309</v>
      </c>
      <c r="B225" s="315" t="n">
        <f aca="false">D197/0.1</f>
        <v>0</v>
      </c>
      <c r="C225" s="201"/>
      <c r="D225" s="315"/>
      <c r="E225" s="163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18.75" hidden="false" customHeight="true" outlineLevel="0" collapsed="false">
      <c r="A226" s="354"/>
      <c r="B226" s="315"/>
      <c r="C226" s="201"/>
      <c r="D226" s="315"/>
      <c r="E226" s="163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="395" customFormat="true" ht="18.75" hidden="false" customHeight="true" outlineLevel="0" collapsed="false">
      <c r="A227" s="318" t="s">
        <v>310</v>
      </c>
      <c r="B227" s="355"/>
      <c r="C227" s="320"/>
      <c r="D227" s="319"/>
      <c r="E227" s="321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18.75" hidden="false" customHeight="true" outlineLevel="0" collapsed="false">
      <c r="A228" s="316"/>
      <c r="B228" s="356"/>
      <c r="C228" s="292"/>
      <c r="D228" s="317"/>
      <c r="E228" s="293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18.75" hidden="false" customHeight="true" outlineLevel="0" collapsed="false">
      <c r="A229" s="316" t="s">
        <v>198</v>
      </c>
      <c r="B229" s="60" t="n">
        <f aca="false">B71</f>
        <v>200</v>
      </c>
      <c r="C229" s="310" t="s">
        <v>199</v>
      </c>
      <c r="D229" s="317"/>
      <c r="E229" s="150" t="n">
        <f aca="false">B72</f>
        <v>5</v>
      </c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18.75" hidden="false" customHeight="true" outlineLevel="0" collapsed="false">
      <c r="A230" s="316"/>
      <c r="B230" s="356"/>
      <c r="C230" s="310" t="s">
        <v>200</v>
      </c>
      <c r="D230" s="317"/>
      <c r="E230" s="20" t="n">
        <f aca="false">D73</f>
        <v>375</v>
      </c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18.75" hidden="false" customHeight="true" outlineLevel="0" collapsed="false">
      <c r="A231" s="316" t="s">
        <v>201</v>
      </c>
      <c r="B231" s="357" t="n">
        <f aca="false">B68</f>
        <v>0.0075</v>
      </c>
      <c r="C231" s="310" t="s">
        <v>202</v>
      </c>
      <c r="D231" s="317"/>
      <c r="E231" s="352" t="n">
        <f aca="false">B69</f>
        <v>0.12</v>
      </c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8.75" hidden="false" customHeight="true" outlineLevel="0" collapsed="false">
      <c r="A232" s="316"/>
      <c r="B232" s="356"/>
      <c r="C232" s="310" t="s">
        <v>203</v>
      </c>
      <c r="D232" s="317"/>
      <c r="E232" s="20" t="n">
        <f aca="false">B86</f>
        <v>259.323772270964</v>
      </c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18.75" hidden="false" customHeight="true" outlineLevel="0" collapsed="false">
      <c r="A233" s="316" t="s">
        <v>204</v>
      </c>
      <c r="B233" s="60" t="n">
        <f aca="false">B79</f>
        <v>200</v>
      </c>
      <c r="C233" s="358" t="s">
        <v>311</v>
      </c>
      <c r="D233" s="359"/>
      <c r="E233" s="150" t="n">
        <f aca="false">B74</f>
        <v>165</v>
      </c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18.75" hidden="false" customHeight="true" outlineLevel="0" collapsed="false">
      <c r="A234" s="350"/>
      <c r="B234" s="313"/>
      <c r="C234" s="358"/>
      <c r="D234" s="360"/>
      <c r="E234" s="361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18.75" hidden="false" customHeight="true" outlineLevel="0" collapsed="false">
      <c r="A235" s="70" t="s">
        <v>205</v>
      </c>
      <c r="B235" s="60" t="n">
        <f aca="false">B80</f>
        <v>200</v>
      </c>
      <c r="C235" s="362" t="s">
        <v>312</v>
      </c>
      <c r="D235" s="362"/>
      <c r="E235" s="150" t="n">
        <f aca="false">B75</f>
        <v>0</v>
      </c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18.75" hidden="false" customHeight="true" outlineLevel="0" collapsed="false">
      <c r="A236" s="291"/>
      <c r="B236" s="292"/>
      <c r="C236" s="292"/>
      <c r="D236" s="292"/>
      <c r="E236" s="293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18.75" hidden="false" customHeight="true" outlineLevel="0" collapsed="false">
      <c r="A237" s="291"/>
      <c r="B237" s="292"/>
      <c r="C237" s="292"/>
      <c r="D237" s="292"/>
      <c r="E237" s="293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18.75" hidden="false" customHeight="true" outlineLevel="0" collapsed="false">
      <c r="A238" s="70"/>
      <c r="B238" s="201"/>
      <c r="C238" s="201"/>
      <c r="D238" s="201"/>
      <c r="E238" s="177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18.75" hidden="false" customHeight="true" outlineLevel="0" collapsed="false">
      <c r="A239" s="291"/>
      <c r="B239" s="292"/>
      <c r="C239" s="292"/>
      <c r="D239" s="292"/>
      <c r="E239" s="293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18.75" hidden="false" customHeight="true" outlineLevel="0" collapsed="false">
      <c r="A240" s="291"/>
      <c r="B240" s="292"/>
      <c r="C240" s="292"/>
      <c r="D240" s="292"/>
      <c r="E240" s="293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18.75" hidden="false" customHeight="true" outlineLevel="0" collapsed="false">
      <c r="A241" s="70"/>
      <c r="B241" s="201"/>
      <c r="C241" s="292"/>
      <c r="D241" s="292"/>
      <c r="E241" s="293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18.75" hidden="false" customHeight="true" outlineLevel="0" collapsed="false">
      <c r="A242" s="342"/>
      <c r="B242" s="343"/>
      <c r="C242" s="343"/>
      <c r="D242" s="343"/>
      <c r="E242" s="344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18.75" hidden="false" customHeight="tru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18.75" hidden="false" customHeight="tru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18.75" hidden="false" customHeight="tru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18.75" hidden="false" customHeight="tru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18.75" hidden="false" customHeight="tru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18.75" hidden="false" customHeight="tru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18.75" hidden="false" customHeight="tru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18.75" hidden="false" customHeight="tru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18.75" hidden="false" customHeight="tru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18.75" hidden="false" customHeight="tru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18.75" hidden="false" customHeight="tru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18.75" hidden="false" customHeight="tru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18.75" hidden="false" customHeight="tru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18.75" hidden="false" customHeight="tru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18.75" hidden="false" customHeight="tru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18.75" hidden="false" customHeight="tru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18.75" hidden="false" customHeight="tru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18.75" hidden="false" customHeight="tru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18.75" hidden="false" customHeight="tru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18.75" hidden="false" customHeight="tru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18.75" hidden="false" customHeight="tru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18.75" hidden="false" customHeight="tru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18.75" hidden="false" customHeight="tru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18.75" hidden="false" customHeight="tru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18.75" hidden="false" customHeight="tru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18.75" hidden="false" customHeight="tru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18.75" hidden="false" customHeight="tru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18.75" hidden="false" customHeight="tru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18.75" hidden="false" customHeight="tru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18.75" hidden="false" customHeight="tru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18.75" hidden="false" customHeight="tru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18.75" hidden="false" customHeight="tru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18.75" hidden="false" customHeight="tru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18.75" hidden="false" customHeight="tru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18.75" hidden="false" customHeight="tru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18.75" hidden="false" customHeight="tru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18.75" hidden="false" customHeight="tru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18.75" hidden="false" customHeight="tru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18.75" hidden="false" customHeight="tru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18.75" hidden="false" customHeight="tru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18.75" hidden="false" customHeight="tru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18.75" hidden="false" customHeight="tru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18.75" hidden="false" customHeight="tru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18.75" hidden="false" customHeight="tru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18.75" hidden="false" customHeight="tru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18.75" hidden="false" customHeight="tru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18.75" hidden="false" customHeight="tru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18.75" hidden="false" customHeight="tru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18.75" hidden="false" customHeight="tru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18.75" hidden="false" customHeight="tru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18.75" hidden="false" customHeight="tru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18.75" hidden="false" customHeight="tru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18.75" hidden="false" customHeight="tru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18.75" hidden="false" customHeight="tru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18.75" hidden="false" customHeight="tru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18.75" hidden="false" customHeight="tru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18.75" hidden="false" customHeight="tru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18.75" hidden="false" customHeight="tru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18.75" hidden="false" customHeight="tru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18.75" hidden="false" customHeight="tru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18.75" hidden="false" customHeight="tru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18.75" hidden="false" customHeight="tru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18.75" hidden="false" customHeight="tru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18.75" hidden="false" customHeight="tru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18.75" hidden="false" customHeight="tru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18.75" hidden="false" customHeight="tru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18.75" hidden="false" customHeight="tru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18.75" hidden="false" customHeight="tru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18.75" hidden="false" customHeight="tru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18.75" hidden="false" customHeight="tru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18.75" hidden="false" customHeight="tru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18.75" hidden="false" customHeight="tru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18.75" hidden="false" customHeight="tru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18.75" hidden="false" customHeight="tru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18.75" hidden="false" customHeight="tru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18.75" hidden="false" customHeight="tru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18.75" hidden="false" customHeight="tru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18.75" hidden="false" customHeight="tru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18.75" hidden="false" customHeight="tru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18.75" hidden="false" customHeight="tru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18.75" hidden="false" customHeight="tru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18.75" hidden="false" customHeight="tru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18.75" hidden="false" customHeight="tru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18.75" hidden="false" customHeight="tru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18.75" hidden="false" customHeight="tru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18.75" hidden="false" customHeight="tru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18.75" hidden="false" customHeight="tru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18.75" hidden="false" customHeight="tru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18.75" hidden="false" customHeight="tru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18.75" hidden="false" customHeight="tru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18.75" hidden="false" customHeight="tru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18.75" hidden="false" customHeight="tru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18.75" hidden="false" customHeight="tru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18.75" hidden="false" customHeight="tru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18.75" hidden="false" customHeight="tru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18.75" hidden="false" customHeight="tru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18.75" hidden="false" customHeight="tru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18.75" hidden="false" customHeight="tru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18.75" hidden="false" customHeight="tru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18.75" hidden="false" customHeight="tru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18.75" hidden="false" customHeight="tru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18.75" hidden="false" customHeight="tru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18.75" hidden="false" customHeight="tru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18.75" hidden="false" customHeight="tru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18.75" hidden="false" customHeight="tru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18.75" hidden="false" customHeight="tru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18.75" hidden="false" customHeight="tru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18.75" hidden="false" customHeight="tru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18.75" hidden="false" customHeight="tru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18.75" hidden="false" customHeight="tru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18.75" hidden="false" customHeight="true" outlineLevel="0" collapsed="false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customFormat="false" ht="18.75" hidden="false" customHeight="true" outlineLevel="0" collapsed="false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customFormat="false" ht="18.75" hidden="false" customHeight="tru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customFormat="false" ht="18.75" hidden="false" customHeight="true" outlineLevel="0" collapsed="false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customFormat="false" ht="18.75" hidden="false" customHeight="true" outlineLevel="0" collapsed="false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64">
    <mergeCell ref="A1:F1"/>
    <mergeCell ref="D7:E18"/>
    <mergeCell ref="A16:C18"/>
    <mergeCell ref="A19:D19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5">
    <dataValidation allowBlank="true" operator="between" showDropDown="false" showErrorMessage="true" showInputMessage="false" sqref="H99 N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B99" type="list">
      <formula1>'Formula1-BCH'!$Y$97:$Y$105</formula1>
      <formula2>0</formula2>
    </dataValidation>
    <dataValidation allowBlank="true" operator="between" showDropDown="false" showErrorMessage="true" showInputMessage="false" sqref="B26" type="list">
      <formula1>'Formula1-BCH'!$I$3:$I$4</formula1>
      <formula2>0</formula2>
    </dataValidation>
    <dataValidation allowBlank="true" operator="between" showDropDown="false" showErrorMessage="true" showInputMessage="false" sqref="A105 B110" type="list">
      <formula1>'Formula1-BCH'!$I$3:$I$4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2"/>
  <sheetViews>
    <sheetView showFormulas="false" showGridLines="true" showRowColHeaders="true" showZeros="true" rightToLeft="false" tabSelected="false" showOutlineSymbols="true" defaultGridColor="true" view="normal" topLeftCell="D49" colorId="64" zoomScale="75" zoomScaleNormal="75" zoomScalePageLayoutView="100" workbookViewId="0">
      <selection pane="topLeft" activeCell="B64" activeCellId="0" sqref="B64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3" t="s">
        <v>0</v>
      </c>
      <c r="B1" s="3"/>
      <c r="C1" s="3"/>
      <c r="D1" s="3"/>
      <c r="E1" s="3"/>
      <c r="F1" s="3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8.75" hidden="false" customHeight="true" outlineLevel="0" collapsed="false">
      <c r="A2" s="5" t="s">
        <v>1</v>
      </c>
      <c r="B2" s="6" t="n">
        <f aca="false">B9+B11</f>
        <v>23958.33</v>
      </c>
      <c r="C2" s="5" t="s">
        <v>2</v>
      </c>
      <c r="D2" s="6" t="n">
        <f aca="false">C9</f>
        <v>4791.666</v>
      </c>
      <c r="E2" s="5" t="s">
        <v>3</v>
      </c>
      <c r="F2" s="7" t="n">
        <f aca="false">B13</f>
        <v>0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8.75" hidden="false" customHeight="true" outlineLevel="0" collapsed="false">
      <c r="A3" s="10"/>
      <c r="B3" s="11"/>
      <c r="C3" s="11"/>
      <c r="D3" s="11"/>
      <c r="E3" s="11"/>
      <c r="F3" s="12" t="s">
        <v>4</v>
      </c>
      <c r="G3" s="19" t="n">
        <v>25000</v>
      </c>
      <c r="H3" s="19"/>
      <c r="I3" s="19" t="s">
        <v>9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8.75" hidden="false" customHeight="true" outlineLevel="0" collapsed="false">
      <c r="A4" s="5" t="s">
        <v>5</v>
      </c>
      <c r="B4" s="6" t="n">
        <f aca="false">B15+C15</f>
        <v>28749.996</v>
      </c>
      <c r="C4" s="15"/>
      <c r="D4" s="15"/>
      <c r="E4" s="15"/>
      <c r="F4" s="16" t="s">
        <v>4</v>
      </c>
      <c r="G4" s="19"/>
      <c r="H4" s="19"/>
      <c r="I4" s="19" t="s">
        <v>10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8.75" hidden="false" customHeight="true" outlineLevel="0" collapsed="false">
      <c r="A5" s="19"/>
      <c r="B5" s="19"/>
      <c r="C5" s="19"/>
      <c r="D5" s="19"/>
      <c r="E5" s="19"/>
      <c r="F5" s="19" t="s">
        <v>4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8.75" hidden="false" customHeight="true" outlineLevel="0" collapsed="false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8.75" hidden="false" customHeight="true" outlineLevel="0" collapsed="false">
      <c r="A7" s="22" t="s">
        <v>6</v>
      </c>
      <c r="B7" s="22" t="s">
        <v>7</v>
      </c>
      <c r="C7" s="22" t="s">
        <v>2</v>
      </c>
      <c r="D7" s="23"/>
      <c r="E7" s="23"/>
      <c r="F7" s="19"/>
      <c r="G7" s="368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7.35" hidden="false" customHeight="false" outlineLevel="0" collapsed="false">
      <c r="A8" s="24"/>
      <c r="B8" s="19"/>
      <c r="C8" s="19"/>
      <c r="D8" s="23"/>
      <c r="E8" s="23"/>
      <c r="F8" s="19"/>
      <c r="G8" s="369" t="e">
        <f aca="false">G9*100/B3</f>
        <v>#DIV/0!</v>
      </c>
      <c r="H8" s="19"/>
      <c r="I8" s="26" t="s">
        <v>3</v>
      </c>
      <c r="J8" s="27" t="n">
        <f aca="false">E13+E14</f>
        <v>0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8.75" hidden="false" customHeight="true" outlineLevel="0" collapsed="false">
      <c r="A9" s="22" t="s">
        <v>8</v>
      </c>
      <c r="B9" s="28" t="n">
        <v>23958.33</v>
      </c>
      <c r="C9" s="27" t="n">
        <f aca="false">B9*0.2</f>
        <v>4791.666</v>
      </c>
      <c r="D9" s="23"/>
      <c r="E9" s="23"/>
      <c r="F9" s="19"/>
      <c r="G9" s="368" t="n">
        <f aca="false">E9-G11</f>
        <v>-152558.333333333</v>
      </c>
      <c r="H9" s="19"/>
      <c r="I9" s="27"/>
      <c r="J9" s="27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8.75" hidden="false" customHeight="true" outlineLevel="0" collapsed="false">
      <c r="A10" s="31"/>
      <c r="B10" s="19"/>
      <c r="C10" s="19"/>
      <c r="D10" s="23"/>
      <c r="E10" s="23"/>
      <c r="F10" s="19"/>
      <c r="G10" s="368"/>
      <c r="H10" s="19"/>
      <c r="I10" s="32" t="s">
        <v>1</v>
      </c>
      <c r="J10" s="27" t="n">
        <f aca="false">E15-E11-J8</f>
        <v>0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8.75" hidden="false" customHeight="true" outlineLevel="0" collapsed="false">
      <c r="A11" s="22" t="s">
        <v>11</v>
      </c>
      <c r="B11" s="28" t="n">
        <v>0.0</v>
      </c>
      <c r="C11" s="28" t="n">
        <f aca="false">B11*0.2</f>
        <v>0</v>
      </c>
      <c r="D11" s="23"/>
      <c r="E11" s="23"/>
      <c r="F11" s="19"/>
      <c r="G11" s="368" t="n">
        <f aca="false">G13/1.2</f>
        <v>152558.333333333</v>
      </c>
      <c r="H11" s="19"/>
      <c r="I11" s="27"/>
      <c r="J11" s="27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8.75" hidden="false" customHeight="true" outlineLevel="0" collapsed="false">
      <c r="A12" s="31"/>
      <c r="B12" s="19"/>
      <c r="C12" s="19"/>
      <c r="D12" s="23"/>
      <c r="E12" s="23"/>
      <c r="F12" s="19"/>
      <c r="G12" s="19"/>
      <c r="H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8.75" hidden="false" customHeight="true" outlineLevel="0" collapsed="false">
      <c r="A13" s="22" t="s">
        <v>12</v>
      </c>
      <c r="B13" s="28" t="n">
        <v>0.0</v>
      </c>
      <c r="C13" s="27"/>
      <c r="D13" s="23"/>
      <c r="E13" s="23"/>
      <c r="F13" s="19"/>
      <c r="G13" s="368" t="n">
        <f aca="false">G15-E14-E13-E12</f>
        <v>183070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8.75" hidden="false" customHeight="true" outlineLevel="0" collapsed="false">
      <c r="A14" s="31"/>
      <c r="B14" s="19"/>
      <c r="C14" s="19"/>
      <c r="D14" s="23"/>
      <c r="E14" s="23"/>
      <c r="F14" s="19"/>
      <c r="G14" s="19" t="s">
        <v>13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8.75" hidden="false" customHeight="true" outlineLevel="0" collapsed="false">
      <c r="A15" s="22" t="s">
        <v>14</v>
      </c>
      <c r="B15" s="27" t="n">
        <f aca="false">SUM(B9:B13)</f>
        <v>23958.33</v>
      </c>
      <c r="C15" s="27" t="n">
        <f aca="false">SUM(C9:C13)</f>
        <v>4791.666</v>
      </c>
      <c r="D15" s="23"/>
      <c r="E15" s="23"/>
      <c r="F15" s="19"/>
      <c r="G15" s="205" t="n">
        <v>183070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8.75" hidden="false" customHeight="true" outlineLevel="0" collapsed="false">
      <c r="A16" s="35"/>
      <c r="B16" s="35"/>
      <c r="C16" s="35"/>
      <c r="D16" s="23"/>
      <c r="E16" s="23"/>
      <c r="F16" s="19"/>
      <c r="G16" s="370" t="n">
        <f aca="false">(B3+C3+E10)*1.2</f>
        <v>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6" t="s">
        <v>15</v>
      </c>
      <c r="Z16" s="19"/>
    </row>
    <row r="17" customFormat="false" ht="18.75" hidden="false" customHeight="true" outlineLevel="0" collapsed="false">
      <c r="A17" s="35"/>
      <c r="B17" s="35"/>
      <c r="C17" s="35"/>
      <c r="D17" s="23"/>
      <c r="E17" s="23"/>
      <c r="F17" s="19"/>
      <c r="G17" s="19" t="s">
        <v>16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6" t="s">
        <v>17</v>
      </c>
      <c r="Z17" s="19"/>
    </row>
    <row r="18" customFormat="false" ht="18.75" hidden="false" customHeight="true" outlineLevel="0" collapsed="false">
      <c r="A18" s="35"/>
      <c r="B18" s="35"/>
      <c r="C18" s="35"/>
      <c r="D18" s="23"/>
      <c r="E18" s="23"/>
      <c r="F18" s="19"/>
      <c r="G18" s="205" t="n">
        <f aca="false">(B3+C3+D3+E3+E10)*1.2</f>
        <v>0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6" t="s">
        <v>18</v>
      </c>
      <c r="Z18" s="19"/>
    </row>
    <row r="19" customFormat="false" ht="18.75" hidden="false" customHeight="true" outlineLevel="0" collapsed="false">
      <c r="A19" s="40" t="s">
        <v>19</v>
      </c>
      <c r="B19" s="40"/>
      <c r="C19" s="40"/>
      <c r="D19" s="40"/>
      <c r="E19" s="27" t="n">
        <f aca="false">B4</f>
        <v>28749.996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 t="s">
        <v>9</v>
      </c>
    </row>
    <row r="20" customFormat="false" ht="18.75" hidden="false" customHeight="true" outlineLevel="0" collapsed="false">
      <c r="A20" s="41"/>
      <c r="B20" s="19"/>
      <c r="C20" s="19"/>
      <c r="D20" s="19"/>
      <c r="E20" s="42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 t="s">
        <v>10</v>
      </c>
    </row>
    <row r="21" customFormat="false" ht="22.05" hidden="false" customHeight="true" outlineLevel="0" collapsed="false">
      <c r="A21" s="40" t="s">
        <v>20</v>
      </c>
      <c r="B21" s="40"/>
      <c r="C21" s="40"/>
      <c r="D21" s="40"/>
      <c r="E21" s="27" t="n">
        <f aca="false">B15</f>
        <v>23958.33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8.75" hidden="false" customHeight="true" outlineLevel="0" collapsed="false">
      <c r="A22" s="207"/>
      <c r="B22" s="207"/>
      <c r="C22" s="207"/>
      <c r="D22" s="207"/>
      <c r="E22" s="207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8.75" hidden="false" customHeight="true" outlineLevel="0" collapsed="false">
      <c r="A23" s="207"/>
      <c r="B23" s="207"/>
      <c r="C23" s="207"/>
      <c r="D23" s="207"/>
      <c r="E23" s="207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45.75" hidden="false" customHeight="true" outlineLevel="0" collapsed="false">
      <c r="A24" s="208" t="s">
        <v>21</v>
      </c>
      <c r="B24" s="208"/>
      <c r="C24" s="208"/>
      <c r="D24" s="208"/>
      <c r="E24" s="20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8.75" hidden="false" customHeight="true" outlineLevel="0" collapsed="false">
      <c r="A25" s="209"/>
      <c r="B25" s="207"/>
      <c r="C25" s="207"/>
      <c r="D25" s="207"/>
      <c r="E25" s="21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8.75" hidden="false" customHeight="true" outlineLevel="0" collapsed="false">
      <c r="A26" s="214" t="s">
        <v>22</v>
      </c>
      <c r="B26" s="216" t="s">
        <v>377</v>
      </c>
      <c r="C26" s="207"/>
      <c r="D26" s="207"/>
      <c r="E26" s="210"/>
      <c r="F26" s="19"/>
      <c r="G26" s="212" t="s">
        <v>23</v>
      </c>
      <c r="H26" s="212" t="s">
        <v>24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8.75" hidden="false" customHeight="true" outlineLevel="0" collapsed="false">
      <c r="A27" s="209"/>
      <c r="B27" s="207"/>
      <c r="C27" s="207"/>
      <c r="D27" s="207"/>
      <c r="E27" s="210"/>
      <c r="F27" s="19"/>
      <c r="G27" s="213" t="s">
        <v>25</v>
      </c>
      <c r="H27" s="213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8.75" hidden="false" customHeight="true" outlineLevel="0" collapsed="false">
      <c r="A28" s="211" t="s">
        <v>153</v>
      </c>
      <c r="B28" s="211"/>
      <c r="C28" s="211"/>
      <c r="D28" s="211"/>
      <c r="E28" s="211"/>
      <c r="F28" s="19"/>
      <c r="G28" s="213" t="s">
        <v>27</v>
      </c>
      <c r="H28" s="213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8.75" hidden="false" customHeight="true" outlineLevel="0" collapsed="false">
      <c r="A29" s="209"/>
      <c r="B29" s="207"/>
      <c r="C29" s="207"/>
      <c r="D29" s="207"/>
      <c r="E29" s="210"/>
      <c r="F29" s="19"/>
      <c r="G29" s="212" t="s">
        <v>214</v>
      </c>
      <c r="H29" s="371" t="n">
        <v>35.0</v>
      </c>
      <c r="I29" s="367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8.75" hidden="false" customHeight="true" outlineLevel="0" collapsed="false">
      <c r="A30" s="209" t="s">
        <v>29</v>
      </c>
      <c r="B30" s="168" t="s">
        <v>378</v>
      </c>
      <c r="C30" s="168"/>
      <c r="D30" s="207"/>
      <c r="E30" s="210"/>
      <c r="F30" s="19"/>
      <c r="G30" s="212" t="s">
        <v>31</v>
      </c>
      <c r="H30" s="371" t="n">
        <v>35000.0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8.75" hidden="false" customHeight="true" outlineLevel="0" collapsed="false">
      <c r="A31" s="209"/>
      <c r="B31" s="207"/>
      <c r="C31" s="207"/>
      <c r="D31" s="207"/>
      <c r="E31" s="210"/>
      <c r="F31" s="19"/>
      <c r="G31" s="212" t="s">
        <v>32</v>
      </c>
      <c r="H31" s="62" t="n">
        <v>0.0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8.75" hidden="false" customHeight="true" outlineLevel="0" collapsed="false">
      <c r="A32" s="209" t="s">
        <v>28</v>
      </c>
      <c r="B32" s="207" t="s">
        <v>33</v>
      </c>
      <c r="C32" s="207"/>
      <c r="D32" s="372" t="s">
        <v>34</v>
      </c>
      <c r="E32" s="210"/>
      <c r="F32" s="19"/>
      <c r="G32" s="212" t="s">
        <v>35</v>
      </c>
      <c r="I32" s="62" t="n">
        <v>0.0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31.6" hidden="false" customHeight="true" outlineLevel="0" collapsed="false">
      <c r="A33" s="222" t="n">
        <f aca="false">A52</f>
        <v>35</v>
      </c>
      <c r="B33" s="174" t="n">
        <v>10000</v>
      </c>
      <c r="C33" s="223"/>
      <c r="D33" s="373" t="n">
        <f aca="false">H48</f>
        <v>753.306610758122</v>
      </c>
      <c r="E33" s="210"/>
      <c r="F33" s="19"/>
      <c r="G33" s="213" t="s">
        <v>36</v>
      </c>
      <c r="H33" s="374" t="n">
        <f aca="false">E21-E11</f>
        <v>23958.33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8.75" hidden="false" customHeight="true" outlineLevel="0" collapsed="false">
      <c r="A34" s="209"/>
      <c r="B34" s="207"/>
      <c r="C34" s="207"/>
      <c r="D34" s="207"/>
      <c r="E34" s="210"/>
      <c r="F34" s="19"/>
      <c r="G34" s="19" t="s">
        <v>316</v>
      </c>
      <c r="H34" s="19" t="n">
        <f aca="false">H29</f>
        <v>35</v>
      </c>
      <c r="I34" s="19" t="n">
        <v>43957.29</v>
      </c>
      <c r="J34" s="19" t="n">
        <v>841.24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8.75" hidden="false" customHeight="true" outlineLevel="0" collapsed="false">
      <c r="A35" s="209" t="s">
        <v>37</v>
      </c>
      <c r="B35" s="207" t="s">
        <v>38</v>
      </c>
      <c r="C35" s="207"/>
      <c r="D35" s="207" t="s">
        <v>39</v>
      </c>
      <c r="E35" s="210"/>
      <c r="F35" s="19"/>
      <c r="G35" s="225" t="s">
        <v>40</v>
      </c>
      <c r="H35" s="226" t="n">
        <v>0.065</v>
      </c>
      <c r="I35" s="19" t="n">
        <v>46215.83</v>
      </c>
      <c r="J35" s="19" t="n">
        <v>909.69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8.75" hidden="false" customHeight="true" outlineLevel="0" collapsed="false">
      <c r="A36" s="69" t="n">
        <f aca="false">H47</f>
        <v>753.306610758122</v>
      </c>
      <c r="B36" s="37" t="n">
        <f aca="false">IF(B26="YES", H42, "")</f>
        <v>0</v>
      </c>
      <c r="C36" s="215"/>
      <c r="D36" s="232" t="n">
        <f aca="false">H31</f>
        <v>0</v>
      </c>
      <c r="E36" s="210"/>
      <c r="F36" s="19"/>
      <c r="G36" s="19"/>
      <c r="H36" s="19"/>
      <c r="I36" s="19" t="n">
        <f aca="false">I35-I34</f>
        <v>2258.54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8.75" hidden="false" customHeight="true" outlineLevel="0" collapsed="false">
      <c r="A37" s="70"/>
      <c r="B37" s="37"/>
      <c r="C37" s="215"/>
      <c r="D37" s="37"/>
      <c r="E37" s="210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8.75" hidden="false" customHeight="true" outlineLevel="0" collapsed="false">
      <c r="A38" s="209"/>
      <c r="B38" s="207"/>
      <c r="C38" s="207"/>
      <c r="D38" s="207"/>
      <c r="E38" s="210"/>
      <c r="F38" s="19"/>
      <c r="G38" s="237" t="s">
        <v>42</v>
      </c>
      <c r="H38" s="237"/>
      <c r="I38" s="22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8.75" hidden="false" customHeight="true" outlineLevel="0" collapsed="false">
      <c r="A39" s="209" t="s">
        <v>43</v>
      </c>
      <c r="B39" s="207" t="s">
        <v>44</v>
      </c>
      <c r="C39" s="207"/>
      <c r="D39" s="207" t="s">
        <v>45</v>
      </c>
      <c r="E39" s="210"/>
      <c r="F39" s="19"/>
      <c r="G39" s="19" t="s">
        <v>46</v>
      </c>
      <c r="H39" s="228" t="n">
        <f aca="false">H33</f>
        <v>23958.33</v>
      </c>
      <c r="I39" s="228" t="n">
        <f aca="false">(I48*H46)+H44</f>
        <v>44525.9095313712</v>
      </c>
      <c r="J39" s="22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8.75" hidden="false" customHeight="true" outlineLevel="0" collapsed="false">
      <c r="A40" s="72" t="n">
        <f aca="false">D36*A45/100</f>
        <v>0</v>
      </c>
      <c r="B40" s="72" t="n">
        <f aca="false">IF(B26="YES",H42,"0")</f>
        <v>0</v>
      </c>
      <c r="C40" s="72"/>
      <c r="D40" s="232" t="n">
        <f aca="false">I32</f>
        <v>0</v>
      </c>
      <c r="E40" s="210"/>
      <c r="F40" s="19"/>
      <c r="G40" s="19" t="s">
        <v>47</v>
      </c>
      <c r="H40" s="228" t="n">
        <f aca="false">A40/1.2</f>
        <v>0</v>
      </c>
      <c r="I40" s="228" t="n">
        <f aca="false">H39-I39</f>
        <v>-20567.5795313712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8.75" hidden="false" customHeight="true" outlineLevel="0" collapsed="false">
      <c r="A41" s="209"/>
      <c r="B41" s="207"/>
      <c r="C41" s="207"/>
      <c r="D41" s="207"/>
      <c r="E41" s="210"/>
      <c r="F41" s="19"/>
      <c r="G41" s="19" t="s">
        <v>48</v>
      </c>
      <c r="H41" s="235" t="n">
        <f aca="false">H35/12</f>
        <v>0.00541666666666667</v>
      </c>
      <c r="I41" s="22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8.75" hidden="false" customHeight="true" outlineLevel="0" collapsed="false">
      <c r="A42" s="209"/>
      <c r="B42" s="207"/>
      <c r="C42" s="207"/>
      <c r="D42" s="207"/>
      <c r="E42" s="210"/>
      <c r="F42" s="19"/>
      <c r="G42" s="19" t="s">
        <v>49</v>
      </c>
      <c r="H42" s="228" t="n">
        <f aca="false">(I32/H34)*(C45/100)</f>
        <v>0</v>
      </c>
      <c r="I42" s="22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8.75" hidden="false" customHeight="true" outlineLevel="0" collapsed="false">
      <c r="A43" s="255"/>
      <c r="B43" s="256"/>
      <c r="C43" s="256"/>
      <c r="D43" s="256"/>
      <c r="E43" s="257"/>
      <c r="F43" s="19"/>
      <c r="G43" s="19" t="s">
        <v>50</v>
      </c>
      <c r="H43" s="19"/>
      <c r="I43" s="22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8.75" hidden="false" customHeight="true" outlineLevel="0" collapsed="false">
      <c r="A44" s="375" t="s">
        <v>51</v>
      </c>
      <c r="B44" s="207"/>
      <c r="C44" s="339" t="s">
        <v>52</v>
      </c>
      <c r="D44" s="339"/>
      <c r="E44" s="210"/>
      <c r="F44" s="19"/>
      <c r="G44" s="19" t="s">
        <v>317</v>
      </c>
      <c r="H44" s="228" t="n">
        <f aca="false">(H40/(1+H41)^(H34+1))</f>
        <v>0</v>
      </c>
      <c r="I44" s="228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8.75" hidden="false" customHeight="true" outlineLevel="0" collapsed="false">
      <c r="A45" s="376" t="n">
        <v>100.0</v>
      </c>
      <c r="B45" s="207"/>
      <c r="C45" s="377" t="n">
        <v>100.0</v>
      </c>
      <c r="D45" s="377"/>
      <c r="E45" s="210"/>
      <c r="F45" s="19"/>
      <c r="G45" s="19" t="s">
        <v>318</v>
      </c>
      <c r="H45" s="228" t="n">
        <f aca="false">(H39-H44)</f>
        <v>23958.33</v>
      </c>
      <c r="I45" s="22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8.75" hidden="false" customHeight="true" outlineLevel="0" collapsed="false">
      <c r="A46" s="252"/>
      <c r="B46" s="253"/>
      <c r="C46" s="253"/>
      <c r="D46" s="253"/>
      <c r="E46" s="254"/>
      <c r="F46" s="19"/>
      <c r="G46" s="19" t="s">
        <v>319</v>
      </c>
      <c r="H46" s="228" t="n">
        <f aca="false">((1-(1/((1+H41)^H34)))/H41)</f>
        <v>31.8042210938366</v>
      </c>
      <c r="I46" s="22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8.75" hidden="false" customHeight="true" outlineLevel="0" collapsed="false">
      <c r="A47" s="209"/>
      <c r="B47" s="207"/>
      <c r="C47" s="207"/>
      <c r="D47" s="207"/>
      <c r="E47" s="210"/>
      <c r="F47" s="19"/>
      <c r="G47" s="19" t="s">
        <v>56</v>
      </c>
      <c r="H47" s="228" t="n">
        <f aca="false">H45/H46</f>
        <v>753.306610758122</v>
      </c>
      <c r="I47" s="22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8.75" hidden="false" customHeight="true" outlineLevel="0" collapsed="false">
      <c r="A48" s="243" t="s">
        <v>57</v>
      </c>
      <c r="B48" s="207"/>
      <c r="C48" s="207"/>
      <c r="D48" s="244"/>
      <c r="E48" s="245"/>
      <c r="F48" s="19"/>
      <c r="G48" s="378" t="s">
        <v>58</v>
      </c>
      <c r="H48" s="228" t="n">
        <f aca="false">IF(B26="YES", H47+H42, H47)</f>
        <v>753.306610758122</v>
      </c>
      <c r="I48" s="228" t="n">
        <f aca="false">I49-H42</f>
        <v>1400</v>
      </c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8.75" hidden="false" customHeight="true" outlineLevel="0" collapsed="false">
      <c r="A49" s="209"/>
      <c r="B49" s="246"/>
      <c r="C49" s="246"/>
      <c r="D49" s="207"/>
      <c r="E49" s="210"/>
      <c r="F49" s="19"/>
      <c r="G49" s="19" t="s">
        <v>59</v>
      </c>
      <c r="H49" s="247"/>
      <c r="I49" s="228" t="n">
        <v>1400</v>
      </c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8.75" hidden="false" customHeight="true" outlineLevel="0" collapsed="false">
      <c r="A50" s="248" t="s">
        <v>28</v>
      </c>
      <c r="B50" s="249" t="s">
        <v>33</v>
      </c>
      <c r="C50" s="249"/>
      <c r="D50" s="207"/>
      <c r="E50" s="210"/>
      <c r="F50" s="19"/>
      <c r="G50" s="19"/>
      <c r="H50" s="19"/>
      <c r="I50" s="22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8.75" hidden="false" customHeight="true" outlineLevel="0" collapsed="false">
      <c r="A51" s="248"/>
      <c r="B51" s="250" t="n">
        <f aca="false">H30</f>
        <v>35000</v>
      </c>
      <c r="C51" s="250"/>
      <c r="D51" s="207"/>
      <c r="E51" s="210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8.75" hidden="false" customHeight="true" outlineLevel="0" collapsed="false">
      <c r="A52" s="251" t="n">
        <f aca="false">H29</f>
        <v>35</v>
      </c>
      <c r="B52" s="92" t="n">
        <f aca="false">H48</f>
        <v>753.306610758122</v>
      </c>
      <c r="C52" s="92"/>
      <c r="D52" s="207"/>
      <c r="E52" s="210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8.75" hidden="false" customHeight="true" outlineLevel="0" collapsed="false">
      <c r="A53" s="209"/>
      <c r="B53" s="207"/>
      <c r="C53" s="207"/>
      <c r="D53" s="207"/>
      <c r="E53" s="210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8.75" hidden="false" customHeight="true" outlineLevel="0" collapsed="false">
      <c r="A54" s="252"/>
      <c r="B54" s="253"/>
      <c r="C54" s="253"/>
      <c r="D54" s="253"/>
      <c r="E54" s="254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8.75" hidden="false" customHeight="true" outlineLevel="0" collapsed="false">
      <c r="A55" s="207"/>
      <c r="B55" s="207"/>
      <c r="C55" s="207"/>
      <c r="D55" s="207"/>
      <c r="E55" s="207"/>
      <c r="F55" s="19"/>
      <c r="G55" s="207"/>
      <c r="H55" s="207"/>
      <c r="I55" s="207"/>
      <c r="J55" s="207"/>
      <c r="K55" s="207"/>
      <c r="L55" s="19"/>
      <c r="M55" s="207"/>
      <c r="N55" s="207"/>
      <c r="O55" s="207"/>
      <c r="P55" s="207"/>
      <c r="Q55" s="207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8.75" hidden="false" customHeight="true" outlineLevel="0" collapsed="false">
      <c r="A56" s="255"/>
      <c r="B56" s="256"/>
      <c r="C56" s="256"/>
      <c r="D56" s="256"/>
      <c r="E56" s="257"/>
      <c r="F56" s="19"/>
      <c r="G56" s="255"/>
      <c r="H56" s="256"/>
      <c r="I56" s="256"/>
      <c r="J56" s="256"/>
      <c r="K56" s="257"/>
      <c r="L56" s="19"/>
      <c r="M56" s="255"/>
      <c r="N56" s="256"/>
      <c r="O56" s="256"/>
      <c r="P56" s="256"/>
      <c r="Q56" s="257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8.75" hidden="false" customHeight="true" outlineLevel="0" collapsed="false">
      <c r="A57" s="209" t="s">
        <v>46</v>
      </c>
      <c r="B57" s="207" t="n">
        <f aca="false">IF(B99=Y97,1,IF(B99=Y98,1,IF(B99=Y99,3,IF(B99=Y100,6,IF(B99=Y101,9,IF(B99=Y102,12,IF(B99=Y103,3,IF(B99=Y104,6,IF(B99=Y105,9,0)))))))))</f>
        <v>1</v>
      </c>
      <c r="C57" s="207"/>
      <c r="D57" s="207"/>
      <c r="E57" s="210"/>
      <c r="F57" s="19"/>
      <c r="G57" s="209" t="s">
        <v>46</v>
      </c>
      <c r="H57" s="207" t="n">
        <f aca="false">IF(H99=Y97,1,IF(H99=Y98,1,IF(H99=Y99,3,IF(H99=Y100,6,IF(H99=Y101,9,IF(H99=Y102,12,IF(H99=Y103,3,IF(H99=Y104,6,IF(H99=Y105,9,0)))))))))</f>
        <v>6</v>
      </c>
      <c r="I57" s="207"/>
      <c r="J57" s="207"/>
      <c r="K57" s="210"/>
      <c r="L57" s="19"/>
      <c r="M57" s="209" t="s">
        <v>46</v>
      </c>
      <c r="N57" s="207" t="n">
        <f aca="false">IF(N99=Y97,1,IF(N99=Y98,1,IF(N99=Y99,3,IF(N99=Y100,6,IF(N99=Y101,9,IF(N99=Y102,12,IF(N99=Y103,3,IF(N99=Y104,6,IF(N99=Y105,9,0)))))))))</f>
        <v>6</v>
      </c>
      <c r="O57" s="207"/>
      <c r="P57" s="207"/>
      <c r="Q57" s="210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8.75" hidden="false" customHeight="true" outlineLevel="0" collapsed="false">
      <c r="A58" s="209" t="s">
        <v>60</v>
      </c>
      <c r="B58" s="207" t="n">
        <f aca="false">IF(B99=Y97,H29-B57,IF(B99=Y98,H29-B57,IF(B99=Y99,H29-1,IF(B99=Y100,H29-1,IF(B99=Y101,H29-1,IF(B99=Y102,H29-1,IF(B99=Y103,H29-B57,IF(B99=Y104,H29-B57,IF(B99=Y105,H29-B57,0)))))))))</f>
        <v>34</v>
      </c>
      <c r="C58" s="207"/>
      <c r="D58" s="207"/>
      <c r="E58" s="210"/>
      <c r="F58" s="19"/>
      <c r="G58" s="209" t="s">
        <v>60</v>
      </c>
      <c r="H58" s="207" t="n">
        <f aca="false">IF(H99=Y97,H29-H57,IF(H99=Y98,H29-H57,IF(H99=Y99,H29-1,IF(H99=Y100,H29-1,IF(H99=Y101,H29-1,IF(H99=Y102,H29-1,IF(H99=Y103,H29-H57,IF(H99=Y104,H29-H57,IF(H99=Y105,H29-H57,0)))))))))</f>
        <v>34</v>
      </c>
      <c r="I58" s="207"/>
      <c r="J58" s="207"/>
      <c r="K58" s="210"/>
      <c r="L58" s="19"/>
      <c r="M58" s="209" t="s">
        <v>60</v>
      </c>
      <c r="N58" s="207" t="n">
        <f aca="false">IF(N99=Y97,H29-N57,IF(N99=Y98,H29-N57,IF(N99=Y99,H29-1,IF(N99=Y100,H29-1,IF(N99=Y101,H29-1,IF(N99=Y102,H29-1,IF(N99=Y103,H29-N57,IF(N99=Y104,H29-N57,IF(N99=Y105,H29-N57,0)))))))))</f>
        <v>34</v>
      </c>
      <c r="O58" s="207"/>
      <c r="P58" s="207"/>
      <c r="Q58" s="210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8.75" hidden="false" customHeight="true" outlineLevel="0" collapsed="false">
      <c r="A59" s="209"/>
      <c r="B59" s="207"/>
      <c r="C59" s="207"/>
      <c r="D59" s="207"/>
      <c r="E59" s="210"/>
      <c r="F59" s="19"/>
      <c r="G59" s="209"/>
      <c r="H59" s="207"/>
      <c r="I59" s="207"/>
      <c r="J59" s="207"/>
      <c r="K59" s="210"/>
      <c r="L59" s="19"/>
      <c r="M59" s="209"/>
      <c r="N59" s="207"/>
      <c r="O59" s="207"/>
      <c r="P59" s="207"/>
      <c r="Q59" s="210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8.75" hidden="false" customHeight="true" outlineLevel="0" collapsed="false">
      <c r="A60" s="209" t="s">
        <v>320</v>
      </c>
      <c r="B60" s="207" t="n">
        <f aca="false">E19</f>
        <v>28749.996</v>
      </c>
      <c r="C60" s="207"/>
      <c r="D60" s="207"/>
      <c r="E60" s="210"/>
      <c r="F60" s="19"/>
      <c r="G60" s="209"/>
      <c r="H60" s="207"/>
      <c r="I60" s="207"/>
      <c r="J60" s="207"/>
      <c r="K60" s="210"/>
      <c r="L60" s="19"/>
      <c r="M60" s="209"/>
      <c r="N60" s="207"/>
      <c r="O60" s="207"/>
      <c r="P60" s="207"/>
      <c r="Q60" s="210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8.75" hidden="false" customHeight="true" outlineLevel="0" collapsed="false">
      <c r="A61" s="209" t="s">
        <v>16</v>
      </c>
      <c r="B61" s="79" t="n">
        <v>37404</v>
      </c>
      <c r="C61" s="207"/>
      <c r="D61" s="207"/>
      <c r="E61" s="210"/>
      <c r="F61" s="19"/>
      <c r="G61" s="209" t="s">
        <v>16</v>
      </c>
      <c r="H61" s="79" t="n">
        <f aca="false">G18</f>
        <v>0</v>
      </c>
      <c r="I61" s="207"/>
      <c r="J61" s="207"/>
      <c r="K61" s="210"/>
      <c r="L61" s="19"/>
      <c r="M61" s="209" t="s">
        <v>16</v>
      </c>
      <c r="N61" s="79" t="n">
        <f aca="false">G18</f>
        <v>0</v>
      </c>
      <c r="O61" s="207"/>
      <c r="P61" s="207"/>
      <c r="Q61" s="210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8.75" hidden="false" customHeight="true" outlineLevel="0" collapsed="false">
      <c r="A62" s="258" t="s">
        <v>241</v>
      </c>
      <c r="B62" s="259" t="n">
        <v>0.07</v>
      </c>
      <c r="C62" s="207"/>
      <c r="D62" s="207"/>
      <c r="E62" s="210"/>
      <c r="F62" s="19"/>
      <c r="G62" s="258" t="s">
        <v>241</v>
      </c>
      <c r="H62" s="259" t="n">
        <v>0.07</v>
      </c>
      <c r="I62" s="207"/>
      <c r="J62" s="207"/>
      <c r="K62" s="210"/>
      <c r="L62" s="19"/>
      <c r="M62" s="258" t="s">
        <v>241</v>
      </c>
      <c r="N62" s="259" t="n">
        <v>0.07</v>
      </c>
      <c r="O62" s="207"/>
      <c r="P62" s="207"/>
      <c r="Q62" s="210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8.75" hidden="false" customHeight="true" outlineLevel="0" collapsed="false">
      <c r="A63" s="209" t="s">
        <v>242</v>
      </c>
      <c r="B63" s="260" t="n">
        <f aca="false">B62+(B62*0.25*((H29/12)-1))</f>
        <v>0.103541666666667</v>
      </c>
      <c r="C63" s="207"/>
      <c r="D63" s="207"/>
      <c r="E63" s="210"/>
      <c r="F63" s="19"/>
      <c r="G63" s="209" t="s">
        <v>242</v>
      </c>
      <c r="H63" s="260" t="n">
        <f aca="false">H62+(H62*0.25*(H29/12-1))</f>
        <v>0.103541666666667</v>
      </c>
      <c r="I63" s="207"/>
      <c r="J63" s="207"/>
      <c r="K63" s="210"/>
      <c r="L63" s="19"/>
      <c r="M63" s="209" t="s">
        <v>242</v>
      </c>
      <c r="N63" s="260" t="n">
        <f aca="false">N62+(N62*0.25*(H29/12-1))</f>
        <v>0.103541666666667</v>
      </c>
      <c r="O63" s="207"/>
      <c r="P63" s="207"/>
      <c r="Q63" s="210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8.75" hidden="false" customHeight="true" outlineLevel="0" collapsed="false">
      <c r="A64" s="252" t="s">
        <v>65</v>
      </c>
      <c r="B64" s="139" t="n">
        <f aca="false">B60*B63</f>
        <v>2976.8225025</v>
      </c>
      <c r="C64" s="379" t="n">
        <v>10000</v>
      </c>
      <c r="D64" s="79" t="n">
        <f aca="false">B64</f>
        <v>2976.8225025</v>
      </c>
      <c r="E64" s="380" t="n">
        <f aca="false">D64/(B58+B57)</f>
        <v>85.0520715</v>
      </c>
      <c r="F64" s="19"/>
      <c r="G64" s="252" t="s">
        <v>65</v>
      </c>
      <c r="H64" s="139" t="n">
        <f aca="false">H61*H63</f>
        <v>0</v>
      </c>
      <c r="I64" s="207"/>
      <c r="J64" s="79" t="n">
        <f aca="false">H64-G145</f>
        <v>0</v>
      </c>
      <c r="K64" s="210"/>
      <c r="L64" s="19"/>
      <c r="M64" s="252" t="s">
        <v>65</v>
      </c>
      <c r="N64" s="139" t="n">
        <f aca="false">N61*N63</f>
        <v>0</v>
      </c>
      <c r="O64" s="207"/>
      <c r="P64" s="79" t="n">
        <f aca="false">N64-M145</f>
        <v>0</v>
      </c>
      <c r="Q64" s="210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8.75" hidden="false" customHeight="true" outlineLevel="0" collapsed="false">
      <c r="A65" s="258" t="s">
        <v>66</v>
      </c>
      <c r="B65" s="259" t="n">
        <v>0.01</v>
      </c>
      <c r="C65" s="207"/>
      <c r="D65" s="79"/>
      <c r="E65" s="210"/>
      <c r="F65" s="19"/>
      <c r="G65" s="258" t="s">
        <v>66</v>
      </c>
      <c r="H65" s="259" t="n">
        <v>0.01</v>
      </c>
      <c r="I65" s="207"/>
      <c r="J65" s="207"/>
      <c r="K65" s="210"/>
      <c r="L65" s="19"/>
      <c r="M65" s="258" t="s">
        <v>66</v>
      </c>
      <c r="N65" s="259" t="n">
        <v>0.01</v>
      </c>
      <c r="O65" s="207"/>
      <c r="P65" s="207"/>
      <c r="Q65" s="210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8.75" hidden="false" customHeight="true" outlineLevel="0" collapsed="false">
      <c r="A66" s="209" t="s">
        <v>67</v>
      </c>
      <c r="B66" s="260" t="n">
        <f aca="false">B65+(B65*0.5*(H29/12-1))</f>
        <v>0.0195833333333333</v>
      </c>
      <c r="C66" s="381" t="s">
        <v>194</v>
      </c>
      <c r="D66" s="207"/>
      <c r="E66" s="210"/>
      <c r="F66" s="19"/>
      <c r="G66" s="209" t="s">
        <v>67</v>
      </c>
      <c r="H66" s="260" t="n">
        <f aca="false">H65+(H65*0.5*(H29/12-1))</f>
        <v>0.0195833333333333</v>
      </c>
      <c r="I66" s="207"/>
      <c r="J66" s="207"/>
      <c r="K66" s="210"/>
      <c r="L66" s="19"/>
      <c r="M66" s="209" t="s">
        <v>67</v>
      </c>
      <c r="N66" s="260" t="n">
        <f aca="false">N65+(N65*0.5*(H29/12-1))</f>
        <v>0.0195833333333333</v>
      </c>
      <c r="O66" s="207"/>
      <c r="P66" s="207"/>
      <c r="Q66" s="210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8.75" hidden="false" customHeight="true" outlineLevel="0" collapsed="false">
      <c r="A67" s="252" t="s">
        <v>68</v>
      </c>
      <c r="B67" s="139" t="n">
        <f aca="false">(B61*B66)</f>
        <v>732.495</v>
      </c>
      <c r="C67" s="382" t="s">
        <v>194</v>
      </c>
      <c r="D67" s="383"/>
      <c r="E67" s="210"/>
      <c r="F67" s="19"/>
      <c r="G67" s="252" t="s">
        <v>68</v>
      </c>
      <c r="H67" s="139" t="n">
        <f aca="false">(H61*H66)/1.2</f>
        <v>0</v>
      </c>
      <c r="I67" s="207"/>
      <c r="J67" s="79"/>
      <c r="K67" s="210"/>
      <c r="L67" s="19"/>
      <c r="M67" s="252" t="s">
        <v>68</v>
      </c>
      <c r="N67" s="139" t="n">
        <f aca="false">(N61*N66)/1.2</f>
        <v>0</v>
      </c>
      <c r="O67" s="207"/>
      <c r="P67" s="79"/>
      <c r="Q67" s="210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8.75" hidden="false" customHeight="true" outlineLevel="0" collapsed="false">
      <c r="A68" s="258" t="s">
        <v>69</v>
      </c>
      <c r="B68" s="259" t="n">
        <v>0.0075</v>
      </c>
      <c r="C68" s="384"/>
      <c r="D68" s="79"/>
      <c r="E68" s="210"/>
      <c r="F68" s="19"/>
      <c r="G68" s="258" t="s">
        <v>69</v>
      </c>
      <c r="H68" s="259" t="n">
        <v>0.0075</v>
      </c>
      <c r="I68" s="207"/>
      <c r="J68" s="207"/>
      <c r="K68" s="210"/>
      <c r="L68" s="19"/>
      <c r="M68" s="258" t="s">
        <v>69</v>
      </c>
      <c r="N68" s="259" t="n">
        <v>0.0075</v>
      </c>
      <c r="O68" s="207"/>
      <c r="P68" s="207"/>
      <c r="Q68" s="210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8.75" hidden="false" customHeight="true" outlineLevel="0" collapsed="false">
      <c r="A69" s="261" t="s">
        <v>70</v>
      </c>
      <c r="B69" s="262" t="n">
        <v>0.12</v>
      </c>
      <c r="C69" s="207"/>
      <c r="D69" s="207"/>
      <c r="E69" s="210"/>
      <c r="F69" s="19"/>
      <c r="G69" s="261" t="s">
        <v>70</v>
      </c>
      <c r="H69" s="262" t="n">
        <v>0.12</v>
      </c>
      <c r="I69" s="207"/>
      <c r="J69" s="207"/>
      <c r="K69" s="210"/>
      <c r="L69" s="19"/>
      <c r="M69" s="261" t="s">
        <v>70</v>
      </c>
      <c r="N69" s="262" t="n">
        <v>0.12</v>
      </c>
      <c r="O69" s="207"/>
      <c r="P69" s="207"/>
      <c r="Q69" s="210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18.75" hidden="false" customHeight="true" outlineLevel="0" collapsed="false">
      <c r="A70" s="252" t="s">
        <v>71</v>
      </c>
      <c r="B70" s="263" t="n">
        <f aca="false">B68*(1+B69)</f>
        <v>0.0084</v>
      </c>
      <c r="C70" s="207"/>
      <c r="D70" s="207"/>
      <c r="E70" s="210"/>
      <c r="F70" s="19"/>
      <c r="G70" s="252" t="s">
        <v>71</v>
      </c>
      <c r="H70" s="263" t="n">
        <f aca="false">H68*(1+H69)</f>
        <v>0.0084</v>
      </c>
      <c r="I70" s="207"/>
      <c r="J70" s="207"/>
      <c r="K70" s="210"/>
      <c r="L70" s="19"/>
      <c r="M70" s="252" t="s">
        <v>71</v>
      </c>
      <c r="N70" s="385" t="n">
        <f aca="false">N68*(1+N69)</f>
        <v>0.0084</v>
      </c>
      <c r="O70" s="207"/>
      <c r="P70" s="207"/>
      <c r="Q70" s="210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18.75" hidden="false" customHeight="true" outlineLevel="0" collapsed="false">
      <c r="A71" s="258" t="s">
        <v>72</v>
      </c>
      <c r="B71" s="264" t="n">
        <v>200.0</v>
      </c>
      <c r="C71" s="207"/>
      <c r="D71" s="207"/>
      <c r="E71" s="210"/>
      <c r="F71" s="19"/>
      <c r="G71" s="258" t="s">
        <v>72</v>
      </c>
      <c r="H71" s="264" t="n">
        <v>160</v>
      </c>
      <c r="I71" s="207"/>
      <c r="J71" s="207"/>
      <c r="K71" s="210"/>
      <c r="L71" s="19"/>
      <c r="M71" s="258" t="s">
        <v>72</v>
      </c>
      <c r="N71" s="264" t="n">
        <v>160</v>
      </c>
      <c r="O71" s="207"/>
      <c r="P71" s="207"/>
      <c r="Q71" s="210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8.75" hidden="false" customHeight="true" outlineLevel="0" collapsed="false">
      <c r="A72" s="261" t="s">
        <v>73</v>
      </c>
      <c r="B72" s="265" t="n">
        <v>5.0</v>
      </c>
      <c r="C72" s="207"/>
      <c r="D72" s="207"/>
      <c r="E72" s="210"/>
      <c r="F72" s="19"/>
      <c r="G72" s="261" t="s">
        <v>73</v>
      </c>
      <c r="H72" s="265" t="n">
        <v>4.5</v>
      </c>
      <c r="I72" s="207"/>
      <c r="J72" s="207"/>
      <c r="K72" s="210"/>
      <c r="L72" s="19"/>
      <c r="M72" s="261" t="s">
        <v>73</v>
      </c>
      <c r="N72" s="265" t="n">
        <v>4.5</v>
      </c>
      <c r="O72" s="207"/>
      <c r="P72" s="207"/>
      <c r="Q72" s="210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8.75" hidden="false" customHeight="true" outlineLevel="0" collapsed="false">
      <c r="A73" s="252" t="s">
        <v>74</v>
      </c>
      <c r="B73" s="139" t="n">
        <f aca="false">B72*H29</f>
        <v>175</v>
      </c>
      <c r="C73" s="207"/>
      <c r="D73" s="386" t="n">
        <f aca="false">B73+B71</f>
        <v>375</v>
      </c>
      <c r="E73" s="210" t="s">
        <v>200</v>
      </c>
      <c r="F73" s="19"/>
      <c r="G73" s="252" t="s">
        <v>74</v>
      </c>
      <c r="H73" s="139" t="n">
        <f aca="false">H72*H29</f>
        <v>157.5</v>
      </c>
      <c r="I73" s="207"/>
      <c r="J73" s="79" t="n">
        <f aca="false">H73+H71</f>
        <v>317.5</v>
      </c>
      <c r="K73" s="210"/>
      <c r="L73" s="19"/>
      <c r="M73" s="252" t="s">
        <v>74</v>
      </c>
      <c r="N73" s="139" t="n">
        <f aca="false">N72*H29</f>
        <v>157.5</v>
      </c>
      <c r="O73" s="207"/>
      <c r="P73" s="79" t="n">
        <f aca="false">N73+N71</f>
        <v>317.5</v>
      </c>
      <c r="Q73" s="210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8.75" hidden="false" customHeight="true" outlineLevel="0" collapsed="false">
      <c r="A74" s="258" t="s">
        <v>243</v>
      </c>
      <c r="B74" s="264" t="n">
        <v>165.0</v>
      </c>
      <c r="C74" s="207"/>
      <c r="D74" s="207"/>
      <c r="E74" s="210"/>
      <c r="F74" s="19"/>
      <c r="G74" s="258" t="s">
        <v>243</v>
      </c>
      <c r="H74" s="264" t="n">
        <v>165</v>
      </c>
      <c r="I74" s="207"/>
      <c r="J74" s="207"/>
      <c r="K74" s="210"/>
      <c r="L74" s="19"/>
      <c r="M74" s="267" t="s">
        <v>243</v>
      </c>
      <c r="N74" s="268" t="n">
        <v>0</v>
      </c>
      <c r="O74" s="207"/>
      <c r="P74" s="207"/>
      <c r="Q74" s="210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8.75" hidden="false" customHeight="true" outlineLevel="0" collapsed="false">
      <c r="A75" s="261" t="s">
        <v>244</v>
      </c>
      <c r="B75" s="265" t="n">
        <v>0.0</v>
      </c>
      <c r="C75" s="207"/>
      <c r="D75" s="207"/>
      <c r="E75" s="210"/>
      <c r="F75" s="19"/>
      <c r="G75" s="261" t="s">
        <v>244</v>
      </c>
      <c r="H75" s="265" t="n">
        <v>0</v>
      </c>
      <c r="I75" s="207"/>
      <c r="J75" s="207"/>
      <c r="K75" s="210"/>
      <c r="L75" s="19"/>
      <c r="M75" s="269" t="s">
        <v>244</v>
      </c>
      <c r="N75" s="270" t="n">
        <v>0</v>
      </c>
      <c r="O75" s="207"/>
      <c r="P75" s="207"/>
      <c r="Q75" s="210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8.75" hidden="false" customHeight="true" outlineLevel="0" collapsed="false">
      <c r="A76" s="252" t="s">
        <v>245</v>
      </c>
      <c r="B76" s="139" t="n">
        <f aca="false">((B74+B75)/12)*(H29+1)</f>
        <v>495</v>
      </c>
      <c r="C76" s="207"/>
      <c r="D76" s="79" t="n">
        <f aca="false">B76</f>
        <v>495</v>
      </c>
      <c r="E76" s="210"/>
      <c r="F76" s="19"/>
      <c r="G76" s="252" t="s">
        <v>245</v>
      </c>
      <c r="H76" s="139" t="n">
        <f aca="false">((H74+H75)/12)*(H29-11)</f>
        <v>330</v>
      </c>
      <c r="I76" s="207"/>
      <c r="J76" s="79" t="n">
        <f aca="false">H76</f>
        <v>330</v>
      </c>
      <c r="K76" s="210"/>
      <c r="L76" s="19"/>
      <c r="M76" s="271" t="s">
        <v>245</v>
      </c>
      <c r="N76" s="272" t="n">
        <f aca="false">((N74+N75)/12)*(H29-11)</f>
        <v>0</v>
      </c>
      <c r="O76" s="207"/>
      <c r="P76" s="79" t="n">
        <f aca="false">N76</f>
        <v>0</v>
      </c>
      <c r="Q76" s="210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8.75" hidden="false" customHeight="true" outlineLevel="0" collapsed="false">
      <c r="A77" s="255" t="s">
        <v>246</v>
      </c>
      <c r="B77" s="137" t="n">
        <f aca="false">B102/(1-0.1)</f>
        <v>0</v>
      </c>
      <c r="C77" s="387"/>
      <c r="D77" s="79" t="n">
        <f aca="false">B77</f>
        <v>0</v>
      </c>
      <c r="E77" s="380" t="n">
        <f aca="false">D77/(B58+B57)</f>
        <v>0</v>
      </c>
      <c r="F77" s="19"/>
      <c r="G77" s="258" t="s">
        <v>246</v>
      </c>
      <c r="H77" s="264" t="n">
        <v>0</v>
      </c>
      <c r="I77" s="207"/>
      <c r="J77" s="79" t="n">
        <f aca="false">H77</f>
        <v>0</v>
      </c>
      <c r="K77" s="210"/>
      <c r="L77" s="19"/>
      <c r="M77" s="258" t="s">
        <v>246</v>
      </c>
      <c r="N77" s="264" t="n">
        <v>0</v>
      </c>
      <c r="O77" s="207"/>
      <c r="P77" s="79" t="n">
        <f aca="false">N77</f>
        <v>0</v>
      </c>
      <c r="Q77" s="210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8.75" hidden="false" customHeight="true" outlineLevel="0" collapsed="false">
      <c r="A78" s="209" t="s">
        <v>248</v>
      </c>
      <c r="B78" s="273" t="n">
        <f aca="false">D102/(1-0.1)</f>
        <v>0</v>
      </c>
      <c r="C78" s="387"/>
      <c r="D78" s="79" t="n">
        <f aca="false">B78</f>
        <v>0</v>
      </c>
      <c r="E78" s="380"/>
      <c r="F78" s="19"/>
      <c r="G78" s="209" t="s">
        <v>248</v>
      </c>
      <c r="H78" s="273" t="n">
        <v>0</v>
      </c>
      <c r="I78" s="207"/>
      <c r="J78" s="79" t="n">
        <f aca="false">H78</f>
        <v>0</v>
      </c>
      <c r="K78" s="210"/>
      <c r="L78" s="19"/>
      <c r="M78" s="209" t="s">
        <v>248</v>
      </c>
      <c r="N78" s="273" t="n">
        <v>0</v>
      </c>
      <c r="O78" s="207"/>
      <c r="P78" s="79" t="n">
        <f aca="false">N78</f>
        <v>0</v>
      </c>
      <c r="Q78" s="210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8.75" hidden="false" customHeight="true" outlineLevel="0" collapsed="false">
      <c r="A79" s="261" t="s">
        <v>75</v>
      </c>
      <c r="B79" s="265" t="n">
        <v>200.0</v>
      </c>
      <c r="C79" s="387"/>
      <c r="D79" s="79" t="n">
        <f aca="false">B79</f>
        <v>200</v>
      </c>
      <c r="E79" s="380"/>
      <c r="F79" s="19"/>
      <c r="G79" s="261" t="s">
        <v>75</v>
      </c>
      <c r="H79" s="265" t="n">
        <v>200</v>
      </c>
      <c r="I79" s="207"/>
      <c r="J79" s="79" t="n">
        <f aca="false">H79</f>
        <v>200</v>
      </c>
      <c r="K79" s="210"/>
      <c r="L79" s="19"/>
      <c r="M79" s="261" t="s">
        <v>75</v>
      </c>
      <c r="N79" s="265" t="n">
        <v>200</v>
      </c>
      <c r="O79" s="207"/>
      <c r="P79" s="79" t="n">
        <f aca="false">N79</f>
        <v>200</v>
      </c>
      <c r="Q79" s="210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8.75" hidden="false" customHeight="true" outlineLevel="0" collapsed="false">
      <c r="A80" s="274" t="s">
        <v>76</v>
      </c>
      <c r="B80" s="275" t="n">
        <v>200.0</v>
      </c>
      <c r="C80" s="387"/>
      <c r="D80" s="79" t="n">
        <f aca="false">B80</f>
        <v>200</v>
      </c>
      <c r="E80" s="380" t="n">
        <f aca="false">(D73+D76+D79+D80)/(B58+B57)</f>
        <v>36.2857142857143</v>
      </c>
      <c r="F80" s="19"/>
      <c r="G80" s="274" t="s">
        <v>76</v>
      </c>
      <c r="H80" s="275" t="n">
        <v>200</v>
      </c>
      <c r="I80" s="207"/>
      <c r="J80" s="79" t="n">
        <f aca="false">H80</f>
        <v>200</v>
      </c>
      <c r="K80" s="210"/>
      <c r="L80" s="19"/>
      <c r="M80" s="274" t="s">
        <v>76</v>
      </c>
      <c r="N80" s="275" t="n">
        <v>200</v>
      </c>
      <c r="O80" s="207"/>
      <c r="P80" s="79" t="n">
        <f aca="false">N80</f>
        <v>200</v>
      </c>
      <c r="Q80" s="210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18.75" hidden="false" customHeight="true" outlineLevel="0" collapsed="false">
      <c r="A81" s="276" t="s">
        <v>77</v>
      </c>
      <c r="B81" s="277" t="n">
        <f aca="false">SUM(D64:D80)</f>
        <v>4246.8225025</v>
      </c>
      <c r="C81" s="387"/>
      <c r="D81" s="388"/>
      <c r="E81" s="380"/>
      <c r="F81" s="19"/>
      <c r="G81" s="276" t="s">
        <v>77</v>
      </c>
      <c r="H81" s="277" t="n">
        <f aca="false">SUM(J64:J80)</f>
        <v>1047.5</v>
      </c>
      <c r="I81" s="207"/>
      <c r="J81" s="207"/>
      <c r="K81" s="210"/>
      <c r="L81" s="19"/>
      <c r="M81" s="276" t="s">
        <v>77</v>
      </c>
      <c r="N81" s="277" t="n">
        <f aca="false">SUM(P64:P80)</f>
        <v>717.5</v>
      </c>
      <c r="O81" s="207"/>
      <c r="P81" s="207"/>
      <c r="Q81" s="210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18.75" hidden="false" customHeight="true" outlineLevel="0" collapsed="false">
      <c r="A82" s="209" t="s">
        <v>78</v>
      </c>
      <c r="B82" s="273" t="n">
        <f aca="false">B81/H29</f>
        <v>121.337785785714</v>
      </c>
      <c r="C82" s="387"/>
      <c r="D82" s="207"/>
      <c r="E82" s="380"/>
      <c r="F82" s="19"/>
      <c r="G82" s="209" t="s">
        <v>78</v>
      </c>
      <c r="H82" s="273" t="n">
        <f aca="false">H81/H29</f>
        <v>29.9285714285714</v>
      </c>
      <c r="I82" s="207"/>
      <c r="J82" s="207"/>
      <c r="K82" s="210"/>
      <c r="L82" s="19"/>
      <c r="M82" s="209" t="s">
        <v>78</v>
      </c>
      <c r="N82" s="273" t="n">
        <f aca="false">N81/H29</f>
        <v>20.5</v>
      </c>
      <c r="O82" s="207"/>
      <c r="P82" s="207"/>
      <c r="Q82" s="210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8.75" hidden="false" customHeight="true" outlineLevel="0" collapsed="false">
      <c r="A83" s="278" t="s">
        <v>79</v>
      </c>
      <c r="B83" s="279" t="n">
        <f aca="false">H47</f>
        <v>753.306610758122</v>
      </c>
      <c r="C83" s="387"/>
      <c r="D83" s="207"/>
      <c r="E83" s="380" t="n">
        <f aca="false">B83+E80+E77+E64</f>
        <v>874.644396543837</v>
      </c>
      <c r="F83" s="19"/>
      <c r="G83" s="278" t="s">
        <v>79</v>
      </c>
      <c r="H83" s="279" t="n">
        <f aca="false">H47</f>
        <v>753.306610758122</v>
      </c>
      <c r="I83" s="207"/>
      <c r="J83" s="207"/>
      <c r="K83" s="210"/>
      <c r="L83" s="19"/>
      <c r="M83" s="278" t="s">
        <v>79</v>
      </c>
      <c r="N83" s="279" t="n">
        <f aca="false">H47</f>
        <v>753.306610758122</v>
      </c>
      <c r="O83" s="207"/>
      <c r="P83" s="207"/>
      <c r="Q83" s="210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18.75" hidden="false" customHeight="true" outlineLevel="0" collapsed="false">
      <c r="A84" s="209"/>
      <c r="B84" s="79"/>
      <c r="C84" s="387"/>
      <c r="D84" s="387"/>
      <c r="E84" s="380"/>
      <c r="F84" s="19"/>
      <c r="G84" s="209"/>
      <c r="H84" s="79"/>
      <c r="I84" s="207"/>
      <c r="J84" s="207"/>
      <c r="K84" s="210"/>
      <c r="L84" s="19"/>
      <c r="M84" s="209"/>
      <c r="N84" s="79"/>
      <c r="O84" s="207"/>
      <c r="P84" s="207"/>
      <c r="Q84" s="210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8.75" hidden="false" customHeight="true" outlineLevel="0" collapsed="false">
      <c r="A85" s="255" t="s">
        <v>88</v>
      </c>
      <c r="B85" s="137" t="n">
        <f aca="false">((B83*H29)+B81)*1.2</f>
        <v>36735.0646548411</v>
      </c>
      <c r="C85" s="387"/>
      <c r="D85" s="387"/>
      <c r="E85" s="380" t="n">
        <f aca="false">B85/(B58+B57)</f>
        <v>1049.5732758526</v>
      </c>
      <c r="F85" s="19"/>
      <c r="G85" s="255" t="s">
        <v>88</v>
      </c>
      <c r="H85" s="137" t="n">
        <f aca="false">((H83*H29)+H81)*1.2</f>
        <v>32895.8776518411</v>
      </c>
      <c r="I85" s="207"/>
      <c r="J85" s="207"/>
      <c r="K85" s="210"/>
      <c r="L85" s="19"/>
      <c r="M85" s="255" t="s">
        <v>88</v>
      </c>
      <c r="N85" s="137" t="n">
        <f aca="false">((N83*H29)+N81)</f>
        <v>27083.2313765343</v>
      </c>
      <c r="O85" s="207"/>
      <c r="P85" s="207"/>
      <c r="Q85" s="210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8.75" hidden="false" customHeight="true" outlineLevel="0" collapsed="false">
      <c r="A86" s="209" t="s">
        <v>89</v>
      </c>
      <c r="B86" s="273" t="n">
        <f aca="false">(((B83*H29)+B81)/(1-B70))*B70</f>
        <v>259.323772270964</v>
      </c>
      <c r="C86" s="387" t="s">
        <v>203</v>
      </c>
      <c r="D86" s="207"/>
      <c r="E86" s="380" t="n">
        <f aca="false">B86/(B58+B57)</f>
        <v>7.40925063631326</v>
      </c>
      <c r="F86" s="19"/>
      <c r="G86" s="209" t="s">
        <v>89</v>
      </c>
      <c r="H86" s="273" t="n">
        <f aca="false">((((H83*H29)+H81))/(1-H70))*H70</f>
        <v>232.2218067395</v>
      </c>
      <c r="I86" s="207"/>
      <c r="J86" s="207"/>
      <c r="K86" s="210"/>
      <c r="L86" s="19"/>
      <c r="M86" s="209" t="s">
        <v>89</v>
      </c>
      <c r="N86" s="273" t="n">
        <f aca="false">(N85/(1-N70))*N70</f>
        <v>229.426324690286</v>
      </c>
      <c r="O86" s="207"/>
      <c r="P86" s="207"/>
      <c r="Q86" s="210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8.75" hidden="false" customHeight="true" outlineLevel="0" collapsed="false">
      <c r="A87" s="252" t="s">
        <v>90</v>
      </c>
      <c r="B87" s="139" t="n">
        <f aca="false">IF(B110="YES",((B85+B86)-E114),((B85+B86)))</f>
        <v>36994.3884271121</v>
      </c>
      <c r="C87" s="387"/>
      <c r="D87" s="389"/>
      <c r="E87" s="380" t="n">
        <f aca="false">E86+E85</f>
        <v>1056.98252648892</v>
      </c>
      <c r="F87" s="19"/>
      <c r="G87" s="252" t="s">
        <v>90</v>
      </c>
      <c r="H87" s="139" t="n">
        <f aca="false">IF(H110="YES",((H85+H86)-K114),(H85+H86))</f>
        <v>33128.0994585806</v>
      </c>
      <c r="I87" s="207"/>
      <c r="J87" s="207"/>
      <c r="K87" s="210"/>
      <c r="L87" s="19"/>
      <c r="M87" s="252" t="s">
        <v>90</v>
      </c>
      <c r="N87" s="139" t="n">
        <f aca="false">IF(N110="YES",((N85+N86)-Q114),(N85+N86))</f>
        <v>27312.6577012246</v>
      </c>
      <c r="O87" s="207"/>
      <c r="P87" s="207"/>
      <c r="Q87" s="210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8.75" hidden="false" customHeight="true" outlineLevel="0" collapsed="false">
      <c r="A88" s="209"/>
      <c r="B88" s="79"/>
      <c r="C88" s="387"/>
      <c r="D88" s="207"/>
      <c r="E88" s="380"/>
      <c r="F88" s="19"/>
      <c r="G88" s="209"/>
      <c r="H88" s="79"/>
      <c r="I88" s="207"/>
      <c r="J88" s="207"/>
      <c r="K88" s="210"/>
      <c r="L88" s="19"/>
      <c r="M88" s="209"/>
      <c r="N88" s="79"/>
      <c r="O88" s="207"/>
      <c r="P88" s="207"/>
      <c r="Q88" s="210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8.75" hidden="false" customHeight="true" outlineLevel="0" collapsed="false">
      <c r="A89" s="276" t="s">
        <v>91</v>
      </c>
      <c r="B89" s="277" t="n">
        <f aca="false">IF(B99=Y98, (I32+(I32*B105))/(B58), (I32+(I32*B105))/(B57+B58))*(C45/100)</f>
        <v>0</v>
      </c>
      <c r="C89" s="387"/>
      <c r="D89" s="207"/>
      <c r="E89" s="210"/>
      <c r="F89" s="19"/>
      <c r="G89" s="276" t="s">
        <v>91</v>
      </c>
      <c r="H89" s="277" t="n">
        <f aca="false">IF(H99=Y98, (D40+(D40*H105))/(H58), (D40+(D40*H105))/(H57+H58))*1.2</f>
        <v>0</v>
      </c>
      <c r="I89" s="207"/>
      <c r="J89" s="207"/>
      <c r="K89" s="210"/>
      <c r="L89" s="19"/>
      <c r="M89" s="276" t="s">
        <v>91</v>
      </c>
      <c r="N89" s="277" t="n">
        <f aca="false">IF(N99=Y98, (D40+(D40*N105))/(N58), (D40+(D40*N105))/(N57+N58))</f>
        <v>0</v>
      </c>
      <c r="O89" s="207"/>
      <c r="P89" s="207"/>
      <c r="Q89" s="210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8.75" hidden="false" customHeight="true" outlineLevel="0" collapsed="false">
      <c r="A90" s="281" t="s">
        <v>92</v>
      </c>
      <c r="B90" s="282" t="n">
        <f aca="false">IF(B99=Y98, (B87-D105)/(B58), B87/(B57+B58))</f>
        <v>1056.98252648892</v>
      </c>
      <c r="C90" s="387"/>
      <c r="D90" s="207"/>
      <c r="E90" s="390"/>
      <c r="F90" s="19"/>
      <c r="G90" s="281" t="s">
        <v>92</v>
      </c>
      <c r="H90" s="282" t="n">
        <f aca="false">IF(H99=Y98, (H87-J105)/(H58), H87/(H57+H58))</f>
        <v>828.202486464516</v>
      </c>
      <c r="I90" s="207"/>
      <c r="J90" s="207"/>
      <c r="K90" s="210"/>
      <c r="L90" s="19"/>
      <c r="M90" s="281" t="s">
        <v>92</v>
      </c>
      <c r="N90" s="282" t="n">
        <f aca="false">IF(N99=Y98, (N87-P105)/(N58), N87/(N57+N58))</f>
        <v>682.816442530614</v>
      </c>
      <c r="O90" s="207"/>
      <c r="P90" s="207"/>
      <c r="Q90" s="210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8.75" hidden="false" customHeight="true" outlineLevel="0" collapsed="false">
      <c r="A91" s="283" t="s">
        <v>93</v>
      </c>
      <c r="B91" s="284" t="n">
        <f aca="false">IF(A105="YES", B90+B89, B90)</f>
        <v>1056.98252648892</v>
      </c>
      <c r="C91" s="387"/>
      <c r="D91" s="391"/>
      <c r="E91" s="266"/>
      <c r="F91" s="19"/>
      <c r="G91" s="283" t="s">
        <v>93</v>
      </c>
      <c r="H91" s="284" t="n">
        <f aca="false">IF(G105="YES", H90+H89, H90)</f>
        <v>828.202486464516</v>
      </c>
      <c r="I91" s="207"/>
      <c r="J91" s="207"/>
      <c r="K91" s="210"/>
      <c r="L91" s="19"/>
      <c r="M91" s="283" t="s">
        <v>93</v>
      </c>
      <c r="N91" s="284" t="n">
        <f aca="false">IF(M105="YES", N90+N89, N90)</f>
        <v>682.816442530614</v>
      </c>
      <c r="O91" s="207"/>
      <c r="P91" s="207"/>
      <c r="Q91" s="210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8.75" hidden="false" customHeight="true" outlineLevel="0" collapsed="false">
      <c r="A92" s="252"/>
      <c r="B92" s="392"/>
      <c r="C92" s="253"/>
      <c r="D92" s="253"/>
      <c r="E92" s="254"/>
      <c r="F92" s="19"/>
      <c r="G92" s="252"/>
      <c r="H92" s="253"/>
      <c r="I92" s="253"/>
      <c r="J92" s="253"/>
      <c r="K92" s="254"/>
      <c r="L92" s="19"/>
      <c r="M92" s="252"/>
      <c r="N92" s="253"/>
      <c r="O92" s="253"/>
      <c r="P92" s="253"/>
      <c r="Q92" s="254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8.75" hidden="false" customHeight="true" outlineLevel="0" collapsed="false">
      <c r="A93" s="207"/>
      <c r="B93" s="207"/>
      <c r="C93" s="207"/>
      <c r="D93" s="207"/>
      <c r="E93" s="207"/>
      <c r="F93" s="19"/>
      <c r="G93" s="207"/>
      <c r="H93" s="207"/>
      <c r="I93" s="207"/>
      <c r="J93" s="207"/>
      <c r="K93" s="207"/>
      <c r="L93" s="19"/>
      <c r="M93" s="207"/>
      <c r="N93" s="207"/>
      <c r="O93" s="207"/>
      <c r="P93" s="207"/>
      <c r="Q93" s="207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56.25" hidden="false" customHeight="true" outlineLevel="0" collapsed="false">
      <c r="A94" s="208" t="s">
        <v>249</v>
      </c>
      <c r="B94" s="208"/>
      <c r="C94" s="208"/>
      <c r="D94" s="208"/>
      <c r="E94" s="208"/>
      <c r="F94" s="19"/>
      <c r="G94" s="208" t="s">
        <v>250</v>
      </c>
      <c r="H94" s="208"/>
      <c r="I94" s="208"/>
      <c r="J94" s="208"/>
      <c r="K94" s="208"/>
      <c r="L94" s="19"/>
      <c r="M94" s="208" t="s">
        <v>251</v>
      </c>
      <c r="N94" s="208"/>
      <c r="O94" s="208"/>
      <c r="P94" s="208"/>
      <c r="Q94" s="208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8.75" hidden="false" customHeight="true" outlineLevel="0" collapsed="false">
      <c r="A95" s="209"/>
      <c r="B95" s="207"/>
      <c r="C95" s="207"/>
      <c r="D95" s="207"/>
      <c r="E95" s="210" t="s">
        <v>321</v>
      </c>
      <c r="F95" s="19"/>
      <c r="G95" s="209"/>
      <c r="H95" s="207"/>
      <c r="I95" s="207"/>
      <c r="J95" s="207"/>
      <c r="K95" s="210"/>
      <c r="L95" s="19"/>
      <c r="M95" s="209"/>
      <c r="N95" s="207"/>
      <c r="O95" s="207"/>
      <c r="P95" s="207"/>
      <c r="Q95" s="210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8.75" hidden="false" customHeight="true" outlineLevel="0" collapsed="false">
      <c r="A96" s="211" t="s">
        <v>26</v>
      </c>
      <c r="B96" s="211"/>
      <c r="C96" s="211"/>
      <c r="D96" s="211"/>
      <c r="E96" s="211"/>
      <c r="F96" s="19"/>
      <c r="G96" s="211" t="s">
        <v>26</v>
      </c>
      <c r="H96" s="211"/>
      <c r="I96" s="211"/>
      <c r="J96" s="211"/>
      <c r="K96" s="211"/>
      <c r="L96" s="19"/>
      <c r="M96" s="211" t="s">
        <v>26</v>
      </c>
      <c r="N96" s="211"/>
      <c r="O96" s="211"/>
      <c r="P96" s="211"/>
      <c r="Q96" s="211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8.75" hidden="false" customHeight="true" outlineLevel="0" collapsed="false">
      <c r="A97" s="209"/>
      <c r="B97" s="393"/>
      <c r="C97" s="393"/>
      <c r="D97" s="207"/>
      <c r="E97" s="210"/>
      <c r="F97" s="19"/>
      <c r="G97" s="209"/>
      <c r="H97" s="207"/>
      <c r="I97" s="207"/>
      <c r="J97" s="207"/>
      <c r="K97" s="210"/>
      <c r="L97" s="19"/>
      <c r="M97" s="209"/>
      <c r="N97" s="207"/>
      <c r="O97" s="207"/>
      <c r="P97" s="207"/>
      <c r="Q97" s="210"/>
      <c r="R97" s="19"/>
      <c r="S97" s="19"/>
      <c r="T97" s="19"/>
      <c r="U97" s="19"/>
      <c r="V97" s="19"/>
      <c r="W97" s="19"/>
      <c r="X97" s="19"/>
      <c r="Y97" s="19" t="s">
        <v>100</v>
      </c>
      <c r="Z97" s="19"/>
      <c r="AC97" s="394"/>
    </row>
    <row r="98" customFormat="false" ht="18.75" hidden="false" customHeight="true" outlineLevel="0" collapsed="false">
      <c r="A98" s="209" t="s">
        <v>98</v>
      </c>
      <c r="B98" s="207" t="s">
        <v>23</v>
      </c>
      <c r="C98" s="207"/>
      <c r="D98" s="207" t="s">
        <v>252</v>
      </c>
      <c r="E98" s="210"/>
      <c r="F98" s="19"/>
      <c r="G98" s="209" t="s">
        <v>98</v>
      </c>
      <c r="H98" s="207" t="s">
        <v>23</v>
      </c>
      <c r="I98" s="207"/>
      <c r="J98" s="207" t="s">
        <v>252</v>
      </c>
      <c r="K98" s="210"/>
      <c r="L98" s="19"/>
      <c r="M98" s="209" t="s">
        <v>98</v>
      </c>
      <c r="N98" s="207" t="s">
        <v>23</v>
      </c>
      <c r="O98" s="207"/>
      <c r="P98" s="207" t="s">
        <v>252</v>
      </c>
      <c r="Q98" s="210"/>
      <c r="R98" s="19"/>
      <c r="S98" s="19"/>
      <c r="T98" s="19"/>
      <c r="U98" s="19"/>
      <c r="V98" s="19"/>
      <c r="W98" s="19"/>
      <c r="X98" s="19"/>
      <c r="Y98" s="19" t="s">
        <v>253</v>
      </c>
      <c r="Z98" s="19"/>
    </row>
    <row r="99" customFormat="false" ht="18.75" hidden="false" customHeight="true" outlineLevel="0" collapsed="false">
      <c r="A99" s="214" t="s">
        <v>254</v>
      </c>
      <c r="B99" s="286" t="s">
        <v>100</v>
      </c>
      <c r="C99" s="286"/>
      <c r="D99" s="72" t="n">
        <v>1000.0</v>
      </c>
      <c r="E99" s="72"/>
      <c r="F99" s="19"/>
      <c r="G99" s="214" t="s">
        <v>254</v>
      </c>
      <c r="H99" s="286" t="s">
        <v>258</v>
      </c>
      <c r="I99" s="286"/>
      <c r="J99" s="72" t="n">
        <v>0</v>
      </c>
      <c r="K99" s="72"/>
      <c r="L99" s="19"/>
      <c r="M99" s="214" t="s">
        <v>254</v>
      </c>
      <c r="N99" s="286" t="s">
        <v>258</v>
      </c>
      <c r="O99" s="286"/>
      <c r="P99" s="72" t="n">
        <v>0</v>
      </c>
      <c r="Q99" s="72"/>
      <c r="R99" s="19"/>
      <c r="S99" s="19"/>
      <c r="T99" s="19"/>
      <c r="U99" s="19"/>
      <c r="V99" s="19"/>
      <c r="W99" s="19"/>
      <c r="X99" s="19"/>
      <c r="Y99" s="19" t="s">
        <v>257</v>
      </c>
      <c r="Z99" s="19"/>
    </row>
    <row r="100" customFormat="false" ht="18.75" hidden="false" customHeight="true" outlineLevel="0" collapsed="false">
      <c r="A100" s="209"/>
      <c r="B100" s="207"/>
      <c r="C100" s="207"/>
      <c r="D100" s="207"/>
      <c r="E100" s="210"/>
      <c r="F100" s="19"/>
      <c r="G100" s="209"/>
      <c r="H100" s="207"/>
      <c r="I100" s="207"/>
      <c r="J100" s="207"/>
      <c r="K100" s="210"/>
      <c r="L100" s="19"/>
      <c r="M100" s="209"/>
      <c r="N100" s="207"/>
      <c r="O100" s="207"/>
      <c r="P100" s="207"/>
      <c r="Q100" s="210"/>
      <c r="R100" s="19"/>
      <c r="S100" s="19"/>
      <c r="T100" s="19"/>
      <c r="U100" s="19"/>
      <c r="V100" s="19"/>
      <c r="W100" s="19"/>
      <c r="X100" s="19"/>
      <c r="Y100" s="19" t="s">
        <v>258</v>
      </c>
      <c r="Z100" s="19"/>
    </row>
    <row r="101" customFormat="false" ht="18.75" hidden="false" customHeight="true" outlineLevel="0" collapsed="false">
      <c r="A101" s="209" t="s">
        <v>259</v>
      </c>
      <c r="B101" s="207" t="s">
        <v>260</v>
      </c>
      <c r="C101" s="207"/>
      <c r="D101" s="207" t="s">
        <v>322</v>
      </c>
      <c r="E101" s="210"/>
      <c r="F101" s="19"/>
      <c r="G101" s="209" t="s">
        <v>259</v>
      </c>
      <c r="H101" s="207" t="s">
        <v>260</v>
      </c>
      <c r="I101" s="207"/>
      <c r="J101" s="207" t="s">
        <v>261</v>
      </c>
      <c r="K101" s="210"/>
      <c r="L101" s="19"/>
      <c r="M101" s="209" t="s">
        <v>259</v>
      </c>
      <c r="N101" s="207" t="s">
        <v>260</v>
      </c>
      <c r="O101" s="207"/>
      <c r="P101" s="207" t="s">
        <v>261</v>
      </c>
      <c r="Q101" s="210"/>
      <c r="R101" s="19"/>
      <c r="S101" s="19"/>
      <c r="T101" s="19"/>
      <c r="U101" s="19"/>
      <c r="V101" s="19"/>
      <c r="W101" s="19"/>
      <c r="X101" s="19"/>
      <c r="Y101" s="19" t="s">
        <v>262</v>
      </c>
      <c r="Z101" s="19"/>
    </row>
    <row r="102" customFormat="false" ht="18.75" hidden="false" customHeight="true" outlineLevel="0" collapsed="false">
      <c r="A102" s="288" t="n">
        <v>199.99</v>
      </c>
      <c r="B102" s="72" t="n">
        <v>0.0</v>
      </c>
      <c r="C102" s="72"/>
      <c r="D102" s="72" t="n">
        <v>0.0</v>
      </c>
      <c r="E102" s="72"/>
      <c r="F102" s="19"/>
      <c r="G102" s="288" t="n">
        <v>199.99</v>
      </c>
      <c r="H102" s="72" t="n">
        <v>0</v>
      </c>
      <c r="I102" s="72"/>
      <c r="J102" s="72" t="n">
        <v>0</v>
      </c>
      <c r="K102" s="72"/>
      <c r="L102" s="19"/>
      <c r="M102" s="288" t="n">
        <v>199.99</v>
      </c>
      <c r="N102" s="72" t="n">
        <v>0</v>
      </c>
      <c r="O102" s="72"/>
      <c r="P102" s="72" t="n">
        <v>0</v>
      </c>
      <c r="Q102" s="72"/>
      <c r="R102" s="19"/>
      <c r="S102" s="19"/>
      <c r="T102" s="19"/>
      <c r="U102" s="19"/>
      <c r="V102" s="19"/>
      <c r="W102" s="19"/>
      <c r="X102" s="19"/>
      <c r="Y102" s="19" t="s">
        <v>256</v>
      </c>
      <c r="Z102" s="19"/>
    </row>
    <row r="103" customFormat="false" ht="18.75" hidden="false" customHeight="true" outlineLevel="0" collapsed="false">
      <c r="A103" s="209"/>
      <c r="B103" s="207"/>
      <c r="C103" s="207"/>
      <c r="D103" s="207"/>
      <c r="E103" s="210"/>
      <c r="F103" s="19"/>
      <c r="G103" s="209"/>
      <c r="H103" s="207"/>
      <c r="I103" s="207"/>
      <c r="J103" s="207"/>
      <c r="K103" s="210"/>
      <c r="L103" s="19"/>
      <c r="M103" s="209"/>
      <c r="N103" s="207"/>
      <c r="O103" s="207"/>
      <c r="P103" s="207"/>
      <c r="Q103" s="210"/>
      <c r="R103" s="19"/>
      <c r="S103" s="19"/>
      <c r="T103" s="19"/>
      <c r="U103" s="19"/>
      <c r="V103" s="19"/>
      <c r="W103" s="19"/>
      <c r="X103" s="19"/>
      <c r="Y103" s="19" t="s">
        <v>255</v>
      </c>
      <c r="Z103" s="19"/>
    </row>
    <row r="104" customFormat="false" ht="18.75" hidden="false" customHeight="true" outlineLevel="0" collapsed="false">
      <c r="A104" s="214" t="s">
        <v>22</v>
      </c>
      <c r="B104" s="19" t="s">
        <v>101</v>
      </c>
      <c r="C104" s="207"/>
      <c r="D104" s="207" t="s">
        <v>112</v>
      </c>
      <c r="E104" s="210"/>
      <c r="F104" s="19"/>
      <c r="G104" s="214" t="s">
        <v>22</v>
      </c>
      <c r="H104" s="19" t="s">
        <v>101</v>
      </c>
      <c r="I104" s="207"/>
      <c r="J104" s="207" t="s">
        <v>112</v>
      </c>
      <c r="K104" s="210"/>
      <c r="L104" s="19"/>
      <c r="M104" s="214" t="s">
        <v>22</v>
      </c>
      <c r="N104" s="19" t="s">
        <v>101</v>
      </c>
      <c r="O104" s="207"/>
      <c r="P104" s="207" t="s">
        <v>112</v>
      </c>
      <c r="Q104" s="210"/>
      <c r="R104" s="19"/>
      <c r="S104" s="19"/>
      <c r="T104" s="19"/>
      <c r="U104" s="19"/>
      <c r="V104" s="19"/>
      <c r="W104" s="19"/>
      <c r="X104" s="19"/>
      <c r="Y104" s="19" t="s">
        <v>263</v>
      </c>
      <c r="Z104" s="19"/>
    </row>
    <row r="105" customFormat="false" ht="18.75" hidden="false" customHeight="true" outlineLevel="0" collapsed="false">
      <c r="A105" s="216" t="s">
        <v>377</v>
      </c>
      <c r="B105" s="289" t="n">
        <v>0.2</v>
      </c>
      <c r="C105" s="289"/>
      <c r="D105" s="72" t="n">
        <v>200.0</v>
      </c>
      <c r="E105" s="72"/>
      <c r="F105" s="19"/>
      <c r="G105" s="216" t="s">
        <v>9</v>
      </c>
      <c r="H105" s="289" t="n">
        <v>0.2</v>
      </c>
      <c r="I105" s="289"/>
      <c r="J105" s="72"/>
      <c r="K105" s="72"/>
      <c r="L105" s="19"/>
      <c r="M105" s="216" t="s">
        <v>9</v>
      </c>
      <c r="N105" s="289" t="n">
        <v>0.2</v>
      </c>
      <c r="O105" s="289"/>
      <c r="P105" s="72" t="n">
        <v>0</v>
      </c>
      <c r="Q105" s="72"/>
      <c r="R105" s="19"/>
      <c r="S105" s="19"/>
      <c r="T105" s="19"/>
      <c r="U105" s="19"/>
      <c r="V105" s="19"/>
      <c r="W105" s="19"/>
      <c r="X105" s="19"/>
      <c r="Y105" s="19" t="s">
        <v>265</v>
      </c>
      <c r="Z105" s="19"/>
    </row>
    <row r="106" customFormat="false" ht="18.75" hidden="false" customHeight="true" outlineLevel="0" collapsed="false">
      <c r="A106" s="209"/>
      <c r="B106" s="207"/>
      <c r="C106" s="207"/>
      <c r="D106" s="207"/>
      <c r="E106" s="210"/>
      <c r="F106" s="19"/>
      <c r="G106" s="209"/>
      <c r="H106" s="207"/>
      <c r="I106" s="207"/>
      <c r="J106" s="207"/>
      <c r="K106" s="210"/>
      <c r="L106" s="19"/>
      <c r="M106" s="209"/>
      <c r="N106" s="207"/>
      <c r="O106" s="207"/>
      <c r="P106" s="207"/>
      <c r="Q106" s="210"/>
      <c r="R106" s="19"/>
      <c r="S106" s="19"/>
      <c r="T106" s="19"/>
      <c r="U106" s="19"/>
      <c r="V106" s="19"/>
      <c r="W106" s="19"/>
      <c r="X106" s="19"/>
      <c r="Y106" s="19"/>
      <c r="Z106" s="19"/>
    </row>
    <row r="107" customFormat="false" ht="18.75" hidden="false" customHeight="true" outlineLevel="0" collapsed="false">
      <c r="A107" s="209"/>
      <c r="B107" s="207"/>
      <c r="C107" s="207"/>
      <c r="D107" s="207"/>
      <c r="E107" s="210"/>
      <c r="F107" s="19"/>
      <c r="G107" s="209"/>
      <c r="H107" s="207"/>
      <c r="I107" s="207"/>
      <c r="J107" s="207"/>
      <c r="K107" s="210"/>
      <c r="L107" s="19"/>
      <c r="M107" s="209"/>
      <c r="N107" s="207" t="s">
        <v>266</v>
      </c>
      <c r="O107" s="216" t="s">
        <v>9</v>
      </c>
      <c r="P107" s="207"/>
      <c r="Q107" s="210"/>
      <c r="R107" s="19"/>
      <c r="S107" s="19"/>
      <c r="T107" s="19"/>
      <c r="U107" s="19"/>
      <c r="V107" s="19"/>
      <c r="W107" s="19"/>
      <c r="X107" s="19"/>
      <c r="Y107" s="19"/>
      <c r="Z107" s="19"/>
    </row>
    <row r="108" customFormat="false" ht="18.75" hidden="false" customHeight="true" outlineLevel="0" collapsed="false">
      <c r="A108" s="211" t="n">
        <v>199.99</v>
      </c>
      <c r="B108" s="211" t="n">
        <v>0</v>
      </c>
      <c r="C108" s="211"/>
      <c r="D108" s="211"/>
      <c r="E108" s="211"/>
      <c r="F108" s="19"/>
      <c r="G108" s="211" t="s">
        <v>267</v>
      </c>
      <c r="H108" s="211"/>
      <c r="I108" s="211"/>
      <c r="J108" s="211"/>
      <c r="K108" s="211"/>
      <c r="L108" s="19"/>
      <c r="M108" s="211" t="s">
        <v>267</v>
      </c>
      <c r="N108" s="211"/>
      <c r="O108" s="211"/>
      <c r="P108" s="211"/>
      <c r="Q108" s="211"/>
      <c r="R108" s="19"/>
      <c r="S108" s="19"/>
      <c r="T108" s="19"/>
      <c r="U108" s="19"/>
      <c r="V108" s="19"/>
      <c r="W108" s="19"/>
      <c r="X108" s="19"/>
      <c r="Y108" s="19"/>
      <c r="Z108" s="19"/>
    </row>
    <row r="109" customFormat="false" ht="18.75" hidden="false" customHeight="true" outlineLevel="0" collapsed="false">
      <c r="A109" s="209"/>
      <c r="B109" s="207"/>
      <c r="C109" s="207"/>
      <c r="D109" s="207"/>
      <c r="E109" s="210"/>
      <c r="F109" s="19"/>
      <c r="G109" s="209"/>
      <c r="H109" s="207"/>
      <c r="I109" s="207"/>
      <c r="J109" s="207"/>
      <c r="K109" s="210"/>
      <c r="L109" s="19"/>
      <c r="M109" s="209"/>
      <c r="N109" s="207"/>
      <c r="O109" s="207"/>
      <c r="P109" s="207"/>
      <c r="Q109" s="210"/>
      <c r="R109" s="19"/>
      <c r="S109" s="19"/>
      <c r="T109" s="19"/>
      <c r="U109" s="19"/>
      <c r="V109" s="19"/>
      <c r="W109" s="19"/>
      <c r="X109" s="19"/>
      <c r="Y109" s="19"/>
      <c r="Z109" s="19"/>
    </row>
    <row r="110" customFormat="false" ht="18.75" hidden="false" customHeight="true" outlineLevel="0" collapsed="false">
      <c r="A110" s="209" t="s">
        <v>268</v>
      </c>
      <c r="B110" s="216" t="s">
        <v>380</v>
      </c>
      <c r="C110" s="207"/>
      <c r="D110" s="207"/>
      <c r="E110" s="210"/>
      <c r="F110" s="19"/>
      <c r="G110" s="209" t="s">
        <v>268</v>
      </c>
      <c r="H110" s="216" t="s">
        <v>10</v>
      </c>
      <c r="I110" s="207"/>
      <c r="J110" s="207"/>
      <c r="K110" s="210"/>
      <c r="L110" s="19"/>
      <c r="M110" s="209" t="s">
        <v>268</v>
      </c>
      <c r="N110" s="216" t="s">
        <v>10</v>
      </c>
      <c r="O110" s="207"/>
      <c r="P110" s="207"/>
      <c r="Q110" s="210"/>
      <c r="R110" s="19"/>
      <c r="S110" s="19"/>
      <c r="T110" s="19"/>
      <c r="U110" s="19"/>
      <c r="V110" s="19"/>
      <c r="W110" s="19"/>
      <c r="X110" s="19"/>
      <c r="Y110" s="19"/>
      <c r="Z110" s="19"/>
    </row>
    <row r="111" customFormat="false" ht="18.75" hidden="false" customHeight="true" outlineLevel="0" collapsed="false">
      <c r="A111" s="209" t="s">
        <v>10</v>
      </c>
      <c r="B111" s="207"/>
      <c r="C111" s="207"/>
      <c r="D111" s="207"/>
      <c r="E111" s="210"/>
      <c r="F111" s="19"/>
      <c r="G111" s="209"/>
      <c r="H111" s="207"/>
      <c r="I111" s="207"/>
      <c r="J111" s="207"/>
      <c r="K111" s="210"/>
      <c r="L111" s="19"/>
      <c r="M111" s="209"/>
      <c r="N111" s="207"/>
      <c r="O111" s="207"/>
      <c r="P111" s="207"/>
      <c r="Q111" s="210"/>
      <c r="R111" s="19"/>
      <c r="S111" s="19"/>
      <c r="T111" s="19"/>
      <c r="U111" s="19"/>
      <c r="V111" s="19"/>
      <c r="W111" s="19"/>
      <c r="X111" s="19"/>
      <c r="Y111" s="19"/>
      <c r="Z111" s="19"/>
    </row>
    <row r="112" customFormat="false" ht="18.75" hidden="false" customHeight="true" outlineLevel="0" collapsed="false">
      <c r="A112" s="209" t="s">
        <v>146</v>
      </c>
      <c r="B112" s="207"/>
      <c r="C112" s="207"/>
      <c r="D112" s="288" t="n">
        <v>10000</v>
      </c>
      <c r="E112" s="72" t="n">
        <v>6000</v>
      </c>
      <c r="F112" s="19"/>
      <c r="G112" s="209" t="s">
        <v>146</v>
      </c>
      <c r="H112" s="207"/>
      <c r="I112" s="207"/>
      <c r="J112" s="288" t="n">
        <v>0</v>
      </c>
      <c r="K112" s="72" t="n">
        <v>0</v>
      </c>
      <c r="L112" s="19"/>
      <c r="M112" s="209" t="s">
        <v>146</v>
      </c>
      <c r="N112" s="207"/>
      <c r="O112" s="207"/>
      <c r="P112" s="288" t="n">
        <v>500</v>
      </c>
      <c r="Q112" s="72" t="n">
        <v>300</v>
      </c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8.75" hidden="false" customHeight="true" outlineLevel="0" collapsed="false">
      <c r="A113" s="209" t="s">
        <v>147</v>
      </c>
      <c r="B113" s="207"/>
      <c r="C113" s="207"/>
      <c r="D113" s="38" t="n">
        <f aca="false">E113</f>
        <v>2000</v>
      </c>
      <c r="E113" s="72" t="n">
        <v>2000</v>
      </c>
      <c r="F113" s="19"/>
      <c r="G113" s="209" t="s">
        <v>147</v>
      </c>
      <c r="H113" s="207"/>
      <c r="I113" s="207"/>
      <c r="J113" s="38" t="n">
        <f aca="false">K113</f>
        <v>0</v>
      </c>
      <c r="K113" s="72" t="n">
        <v>0</v>
      </c>
      <c r="L113" s="19"/>
      <c r="M113" s="209" t="s">
        <v>147</v>
      </c>
      <c r="N113" s="207"/>
      <c r="O113" s="207"/>
      <c r="P113" s="38" t="n">
        <f aca="false">Q113</f>
        <v>100</v>
      </c>
      <c r="Q113" s="72" t="n">
        <v>100</v>
      </c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8.75" hidden="false" customHeight="true" outlineLevel="0" collapsed="false">
      <c r="A114" s="209" t="s">
        <v>148</v>
      </c>
      <c r="B114" s="207"/>
      <c r="C114" s="207"/>
      <c r="D114" s="38" t="n">
        <f aca="false">D112-D113</f>
        <v>8000</v>
      </c>
      <c r="E114" s="163" t="n">
        <f aca="false">E112-E113</f>
        <v>4000</v>
      </c>
      <c r="F114" s="19"/>
      <c r="G114" s="209" t="s">
        <v>148</v>
      </c>
      <c r="H114" s="207"/>
      <c r="I114" s="207"/>
      <c r="J114" s="38" t="n">
        <f aca="false">J112-J113</f>
        <v>0</v>
      </c>
      <c r="K114" s="163" t="n">
        <f aca="false">K112-K113</f>
        <v>0</v>
      </c>
      <c r="L114" s="19"/>
      <c r="M114" s="209" t="s">
        <v>148</v>
      </c>
      <c r="N114" s="207"/>
      <c r="O114" s="207"/>
      <c r="P114" s="38" t="n">
        <f aca="false">P112-P113</f>
        <v>400</v>
      </c>
      <c r="Q114" s="163" t="n">
        <f aca="false">Q112-Q113</f>
        <v>200</v>
      </c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8.75" hidden="false" customHeight="true" outlineLevel="0" collapsed="false">
      <c r="A115" s="209" t="s">
        <v>149</v>
      </c>
      <c r="B115" s="207"/>
      <c r="C115" s="207"/>
      <c r="D115" s="38" t="n">
        <f aca="false">D114-E114</f>
        <v>4000</v>
      </c>
      <c r="E115" s="210"/>
      <c r="F115" s="19"/>
      <c r="G115" s="209" t="s">
        <v>149</v>
      </c>
      <c r="H115" s="207"/>
      <c r="I115" s="207"/>
      <c r="J115" s="38" t="n">
        <f aca="false">J114-K114</f>
        <v>0</v>
      </c>
      <c r="K115" s="210"/>
      <c r="L115" s="19"/>
      <c r="M115" s="209" t="s">
        <v>149</v>
      </c>
      <c r="N115" s="207"/>
      <c r="O115" s="207"/>
      <c r="P115" s="38" t="n">
        <f aca="false">P114-Q114</f>
        <v>200</v>
      </c>
      <c r="Q115" s="210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8.75" hidden="false" customHeight="true" outlineLevel="0" collapsed="false">
      <c r="A116" s="209"/>
      <c r="B116" s="207"/>
      <c r="C116" s="207"/>
      <c r="D116" s="207"/>
      <c r="E116" s="210"/>
      <c r="F116" s="19"/>
      <c r="G116" s="209"/>
      <c r="H116" s="207"/>
      <c r="I116" s="207"/>
      <c r="J116" s="207"/>
      <c r="K116" s="210"/>
      <c r="L116" s="19"/>
      <c r="M116" s="209"/>
      <c r="N116" s="207"/>
      <c r="O116" s="207"/>
      <c r="P116" s="207"/>
      <c r="Q116" s="210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8.75" hidden="false" customHeight="true" outlineLevel="0" collapsed="false">
      <c r="A117" s="255" t="s">
        <v>108</v>
      </c>
      <c r="B117" s="256"/>
      <c r="C117" s="256"/>
      <c r="D117" s="256"/>
      <c r="E117" s="137" t="n">
        <v>1000</v>
      </c>
      <c r="F117" s="19"/>
      <c r="G117" s="255" t="s">
        <v>108</v>
      </c>
      <c r="H117" s="256"/>
      <c r="I117" s="256"/>
      <c r="J117" s="256"/>
      <c r="K117" s="137" t="n">
        <f aca="false">J99</f>
        <v>0</v>
      </c>
      <c r="L117" s="19"/>
      <c r="M117" s="255" t="s">
        <v>108</v>
      </c>
      <c r="N117" s="256"/>
      <c r="O117" s="256"/>
      <c r="P117" s="256"/>
      <c r="Q117" s="137" t="n">
        <f aca="false">P99</f>
        <v>0</v>
      </c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8.75" hidden="false" customHeight="true" outlineLevel="0" collapsed="false">
      <c r="A118" s="209" t="s">
        <v>152</v>
      </c>
      <c r="B118" s="207"/>
      <c r="C118" s="207"/>
      <c r="D118" s="207"/>
      <c r="E118" s="273" t="n">
        <v>199.99</v>
      </c>
      <c r="F118" s="19"/>
      <c r="G118" s="209" t="s">
        <v>152</v>
      </c>
      <c r="H118" s="207"/>
      <c r="I118" s="207"/>
      <c r="J118" s="207"/>
      <c r="K118" s="273" t="n">
        <f aca="false">G102</f>
        <v>199.99</v>
      </c>
      <c r="L118" s="19"/>
      <c r="M118" s="209" t="s">
        <v>152</v>
      </c>
      <c r="N118" s="207"/>
      <c r="O118" s="207"/>
      <c r="P118" s="207"/>
      <c r="Q118" s="273" t="n">
        <f aca="false">M102</f>
        <v>199.99</v>
      </c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8.75" hidden="false" customHeight="true" outlineLevel="0" collapsed="false">
      <c r="A119" s="290" t="s">
        <v>269</v>
      </c>
      <c r="B119" s="253"/>
      <c r="C119" s="253"/>
      <c r="D119" s="253"/>
      <c r="E119" s="139" t="n">
        <f aca="false">IF(B110="YES",((E118*1.2)+E117)-E114,((E118*1.2)+E117))</f>
        <v>1239.988</v>
      </c>
      <c r="F119" s="19"/>
      <c r="G119" s="290" t="s">
        <v>269</v>
      </c>
      <c r="H119" s="253"/>
      <c r="I119" s="253"/>
      <c r="J119" s="253"/>
      <c r="K119" s="139" t="n">
        <f aca="false">((K118/1.2)+K117)-(J115-K113)</f>
        <v>166.658333333333</v>
      </c>
      <c r="L119" s="19"/>
      <c r="M119" s="290" t="s">
        <v>269</v>
      </c>
      <c r="N119" s="253"/>
      <c r="O119" s="253"/>
      <c r="P119" s="253"/>
      <c r="Q119" s="139" t="n">
        <f aca="false">(Q118+Q117)-P115</f>
        <v>-0.00999999999999091</v>
      </c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8.75" hidden="false" customHeight="true" outlineLevel="0" collapsed="false">
      <c r="A120" s="209"/>
      <c r="B120" s="207"/>
      <c r="C120" s="207"/>
      <c r="D120" s="207"/>
      <c r="E120" s="210"/>
      <c r="F120" s="19"/>
      <c r="G120" s="209"/>
      <c r="H120" s="207"/>
      <c r="I120" s="207"/>
      <c r="J120" s="207"/>
      <c r="K120" s="210"/>
      <c r="L120" s="19"/>
      <c r="M120" s="209"/>
      <c r="N120" s="207"/>
      <c r="O120" s="207"/>
      <c r="P120" s="207"/>
      <c r="Q120" s="210"/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8.75" hidden="false" customHeight="true" outlineLevel="0" collapsed="false">
      <c r="A121" s="209"/>
      <c r="B121" s="207"/>
      <c r="C121" s="207"/>
      <c r="D121" s="207"/>
      <c r="E121" s="210"/>
      <c r="F121" s="19"/>
      <c r="G121" s="209"/>
      <c r="H121" s="207"/>
      <c r="I121" s="207"/>
      <c r="J121" s="207"/>
      <c r="K121" s="210"/>
      <c r="L121" s="19"/>
      <c r="M121" s="209"/>
      <c r="N121" s="207"/>
      <c r="O121" s="207"/>
      <c r="P121" s="207"/>
      <c r="Q121" s="210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8.75" hidden="false" customHeight="true" outlineLevel="0" collapsed="false">
      <c r="A122" s="211" t="s">
        <v>270</v>
      </c>
      <c r="B122" s="211"/>
      <c r="C122" s="211"/>
      <c r="D122" s="211"/>
      <c r="E122" s="211"/>
      <c r="F122" s="19"/>
      <c r="G122" s="211" t="s">
        <v>270</v>
      </c>
      <c r="H122" s="211"/>
      <c r="I122" s="211"/>
      <c r="J122" s="211"/>
      <c r="K122" s="211"/>
      <c r="L122" s="19"/>
      <c r="M122" s="211" t="s">
        <v>270</v>
      </c>
      <c r="N122" s="211"/>
      <c r="O122" s="211"/>
      <c r="P122" s="211"/>
      <c r="Q122" s="211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8.75" hidden="false" customHeight="true" outlineLevel="0" collapsed="false">
      <c r="A123" s="291"/>
      <c r="B123" s="292"/>
      <c r="C123" s="292"/>
      <c r="D123" s="292"/>
      <c r="E123" s="293"/>
      <c r="F123" s="19"/>
      <c r="G123" s="209"/>
      <c r="H123" s="207"/>
      <c r="I123" s="207"/>
      <c r="J123" s="207"/>
      <c r="K123" s="210"/>
      <c r="L123" s="19"/>
      <c r="M123" s="209"/>
      <c r="N123" s="207"/>
      <c r="O123" s="207"/>
      <c r="P123" s="207"/>
      <c r="Q123" s="210"/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8.75" hidden="false" customHeight="true" outlineLevel="0" collapsed="false">
      <c r="A124" s="294" t="s">
        <v>98</v>
      </c>
      <c r="B124" s="295" t="n">
        <v>0.0</v>
      </c>
      <c r="C124" s="296"/>
      <c r="D124" s="295" t="s">
        <v>33</v>
      </c>
      <c r="E124" s="297"/>
      <c r="F124" s="19"/>
      <c r="G124" s="209" t="s">
        <v>29</v>
      </c>
      <c r="H124" s="168" t="n">
        <v>0</v>
      </c>
      <c r="I124" s="168"/>
      <c r="J124" s="207"/>
      <c r="K124" s="210"/>
      <c r="L124" s="19"/>
      <c r="M124" s="209" t="s">
        <v>29</v>
      </c>
      <c r="N124" s="168" t="n">
        <v>0</v>
      </c>
      <c r="O124" s="168"/>
      <c r="P124" s="207"/>
      <c r="Q124" s="210"/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8.75" hidden="false" customHeight="true" outlineLevel="0" collapsed="false">
      <c r="A125" s="298" t="s">
        <v>254</v>
      </c>
      <c r="B125" s="299" t="n">
        <f aca="false">A161</f>
        <v>35</v>
      </c>
      <c r="C125" s="300"/>
      <c r="D125" s="299" t="n">
        <f aca="false">B160</f>
        <v>35000</v>
      </c>
      <c r="E125" s="297"/>
      <c r="F125" s="19"/>
      <c r="G125" s="209"/>
      <c r="H125" s="207"/>
      <c r="I125" s="207"/>
      <c r="J125" s="207"/>
      <c r="K125" s="210"/>
      <c r="L125" s="19"/>
      <c r="M125" s="209"/>
      <c r="N125" s="207"/>
      <c r="O125" s="207"/>
      <c r="P125" s="207"/>
      <c r="Q125" s="210"/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8.75" hidden="false" customHeight="true" outlineLevel="0" collapsed="false">
      <c r="A126" s="294"/>
      <c r="B126" s="295"/>
      <c r="C126" s="295"/>
      <c r="D126" s="295"/>
      <c r="E126" s="297"/>
      <c r="F126" s="19"/>
      <c r="G126" s="302" t="s">
        <v>273</v>
      </c>
      <c r="H126" s="303" t="s">
        <v>274</v>
      </c>
      <c r="I126" s="303"/>
      <c r="J126" s="303" t="s">
        <v>275</v>
      </c>
      <c r="K126" s="210"/>
      <c r="L126" s="19"/>
      <c r="M126" s="302" t="s">
        <v>276</v>
      </c>
      <c r="N126" s="303" t="s">
        <v>227</v>
      </c>
      <c r="O126" s="303"/>
      <c r="P126" s="303" t="s">
        <v>93</v>
      </c>
      <c r="Q126" s="210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8.75" hidden="false" customHeight="true" outlineLevel="0" collapsed="false">
      <c r="A127" s="294" t="s">
        <v>92</v>
      </c>
      <c r="B127" s="295" t="s">
        <v>271</v>
      </c>
      <c r="C127" s="296"/>
      <c r="D127" s="295" t="s">
        <v>272</v>
      </c>
      <c r="E127" s="297"/>
      <c r="F127" s="19"/>
      <c r="G127" s="307" t="n">
        <f aca="false">H90</f>
        <v>828.202486464516</v>
      </c>
      <c r="H127" s="172" t="n">
        <f aca="false">IF(G105="YES", H89*H57, 0)</f>
        <v>0</v>
      </c>
      <c r="I127" s="172"/>
      <c r="J127" s="308" t="n">
        <f aca="false">H91</f>
        <v>828.202486464516</v>
      </c>
      <c r="K127" s="210"/>
      <c r="L127" s="19"/>
      <c r="M127" s="307" t="n">
        <f aca="false">N90</f>
        <v>682.816442530614</v>
      </c>
      <c r="N127" s="172" t="n">
        <f aca="false">IF(M105="YES", N89*N57, 0)</f>
        <v>0</v>
      </c>
      <c r="O127" s="172"/>
      <c r="P127" s="172" t="n">
        <f aca="false">N91</f>
        <v>682.816442530614</v>
      </c>
      <c r="Q127" s="210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8.75" hidden="false" customHeight="true" outlineLevel="0" collapsed="false">
      <c r="A128" s="298" t="n">
        <f aca="false">B90</f>
        <v>1056.98252648892</v>
      </c>
      <c r="B128" s="296" t="n">
        <f aca="false">IF(A105="YES", B89, 0)</f>
        <v>0</v>
      </c>
      <c r="C128" s="300"/>
      <c r="D128" s="296" t="n">
        <f aca="false">B91</f>
        <v>1056.98252648892</v>
      </c>
      <c r="E128" s="297"/>
      <c r="F128" s="19"/>
      <c r="G128" s="209"/>
      <c r="H128" s="207"/>
      <c r="I128" s="207"/>
      <c r="J128" s="207"/>
      <c r="K128" s="210"/>
      <c r="L128" s="19"/>
      <c r="M128" s="209"/>
      <c r="N128" s="207"/>
      <c r="O128" s="207"/>
      <c r="P128" s="207"/>
      <c r="Q128" s="210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8.75" hidden="false" customHeight="true" outlineLevel="0" collapsed="false">
      <c r="A129" s="291"/>
      <c r="B129" s="292"/>
      <c r="C129" s="292"/>
      <c r="D129" s="292"/>
      <c r="E129" s="293"/>
      <c r="F129" s="19"/>
      <c r="G129" s="209" t="s">
        <v>28</v>
      </c>
      <c r="H129" s="207" t="s">
        <v>33</v>
      </c>
      <c r="I129" s="207"/>
      <c r="J129" s="207" t="s">
        <v>60</v>
      </c>
      <c r="K129" s="210"/>
      <c r="L129" s="19"/>
      <c r="M129" s="209" t="s">
        <v>28</v>
      </c>
      <c r="N129" s="207" t="s">
        <v>33</v>
      </c>
      <c r="O129" s="207"/>
      <c r="P129" s="207" t="s">
        <v>60</v>
      </c>
      <c r="Q129" s="210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8.75" hidden="false" customHeight="true" outlineLevel="0" collapsed="false">
      <c r="A130" s="304" t="s">
        <v>23</v>
      </c>
      <c r="B130" s="305" t="s">
        <v>277</v>
      </c>
      <c r="C130" s="306"/>
      <c r="D130" s="305" t="s">
        <v>278</v>
      </c>
      <c r="E130" s="293"/>
      <c r="F130" s="19"/>
      <c r="G130" s="222" t="n">
        <f aca="false">G152</f>
        <v>35</v>
      </c>
      <c r="H130" s="174" t="n">
        <f aca="false">B151</f>
        <v>0</v>
      </c>
      <c r="I130" s="223"/>
      <c r="J130" s="174" t="n">
        <f aca="false">B58</f>
        <v>34</v>
      </c>
      <c r="K130" s="210"/>
      <c r="L130" s="19"/>
      <c r="M130" s="222" t="n">
        <f aca="false">M155</f>
        <v>35</v>
      </c>
      <c r="N130" s="174" t="n">
        <f aca="false">B151</f>
        <v>0</v>
      </c>
      <c r="O130" s="223"/>
      <c r="P130" s="174" t="n">
        <f aca="false">B58</f>
        <v>34</v>
      </c>
      <c r="Q130" s="210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8.75" hidden="false" customHeight="true" outlineLevel="0" collapsed="false">
      <c r="A131" s="309" t="str">
        <f aca="false">B99</f>
        <v>Monthly in advance</v>
      </c>
      <c r="B131" s="201" t="n">
        <f aca="false">B90*B57</f>
        <v>1056.98252648892</v>
      </c>
      <c r="C131" s="292"/>
      <c r="D131" s="201" t="n">
        <f aca="false">IF(A105="YES", B89*B57, 0)</f>
        <v>0</v>
      </c>
      <c r="E131" s="293"/>
      <c r="F131" s="19"/>
      <c r="G131" s="209"/>
      <c r="H131" s="207"/>
      <c r="I131" s="207"/>
      <c r="J131" s="207"/>
      <c r="K131" s="210"/>
      <c r="L131" s="19"/>
      <c r="M131" s="209"/>
      <c r="N131" s="207"/>
      <c r="O131" s="207"/>
      <c r="P131" s="207"/>
      <c r="Q131" s="210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8.75" hidden="false" customHeight="true" outlineLevel="0" collapsed="false">
      <c r="A132" s="291"/>
      <c r="B132" s="292"/>
      <c r="C132" s="292"/>
      <c r="D132" s="292"/>
      <c r="E132" s="293"/>
      <c r="F132" s="19"/>
      <c r="G132" s="209" t="s">
        <v>279</v>
      </c>
      <c r="H132" s="207" t="s">
        <v>280</v>
      </c>
      <c r="I132" s="207"/>
      <c r="J132" s="207" t="s">
        <v>281</v>
      </c>
      <c r="K132" s="210"/>
      <c r="L132" s="19"/>
      <c r="M132" s="209" t="s">
        <v>282</v>
      </c>
      <c r="N132" s="207" t="s">
        <v>216</v>
      </c>
      <c r="O132" s="207"/>
      <c r="P132" s="207" t="s">
        <v>220</v>
      </c>
      <c r="Q132" s="210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8.75" hidden="false" customHeight="true" outlineLevel="0" collapsed="false">
      <c r="A133" s="123" t="s">
        <v>283</v>
      </c>
      <c r="B133" s="200" t="s">
        <v>284</v>
      </c>
      <c r="C133" s="310"/>
      <c r="D133" s="240" t="s">
        <v>177</v>
      </c>
      <c r="E133" s="293"/>
      <c r="F133" s="19"/>
      <c r="G133" s="69" t="n">
        <f aca="false">H90*H57</f>
        <v>4969.2149187871</v>
      </c>
      <c r="H133" s="37" t="n">
        <f aca="false">IF(G105="YES", H89*H57, 0)</f>
        <v>0</v>
      </c>
      <c r="I133" s="215"/>
      <c r="J133" s="232" t="n">
        <f aca="false">H91*H57</f>
        <v>4969.2149187871</v>
      </c>
      <c r="K133" s="210"/>
      <c r="L133" s="19"/>
      <c r="M133" s="69" t="n">
        <f aca="false">N90*N57</f>
        <v>4096.89865518369</v>
      </c>
      <c r="N133" s="37" t="n">
        <f aca="false">IF(M105="YES", N89*N57, 0)</f>
        <v>0</v>
      </c>
      <c r="O133" s="215"/>
      <c r="P133" s="232" t="n">
        <f aca="false">N91*N57</f>
        <v>4096.89865518369</v>
      </c>
      <c r="Q133" s="210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8.75" hidden="false" customHeight="true" outlineLevel="0" collapsed="false">
      <c r="A134" s="70" t="n">
        <f aca="false">B91*B57</f>
        <v>1056.98252648892</v>
      </c>
      <c r="B134" s="201" t="n">
        <f aca="false">E114</f>
        <v>4000</v>
      </c>
      <c r="C134" s="292"/>
      <c r="D134" s="311" t="n">
        <f aca="false">B58</f>
        <v>34</v>
      </c>
      <c r="E134" s="293"/>
      <c r="F134" s="19"/>
      <c r="G134" s="209"/>
      <c r="H134" s="207"/>
      <c r="I134" s="207"/>
      <c r="J134" s="207"/>
      <c r="K134" s="210"/>
      <c r="L134" s="19"/>
      <c r="M134" s="209"/>
      <c r="N134" s="207"/>
      <c r="O134" s="207"/>
      <c r="P134" s="207"/>
      <c r="Q134" s="210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8.75" hidden="false" customHeight="true" outlineLevel="0" collapsed="false">
      <c r="A135" s="70"/>
      <c r="B135" s="312"/>
      <c r="C135" s="292"/>
      <c r="D135" s="292"/>
      <c r="E135" s="293"/>
      <c r="F135" s="19"/>
      <c r="G135" s="209" t="s">
        <v>285</v>
      </c>
      <c r="H135" s="207" t="s">
        <v>286</v>
      </c>
      <c r="I135" s="207"/>
      <c r="J135" s="207" t="s">
        <v>287</v>
      </c>
      <c r="K135" s="210"/>
      <c r="L135" s="19"/>
      <c r="M135" s="209" t="s">
        <v>229</v>
      </c>
      <c r="N135" s="207" t="s">
        <v>230</v>
      </c>
      <c r="O135" s="207"/>
      <c r="P135" s="207" t="s">
        <v>235</v>
      </c>
      <c r="Q135" s="210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8.75" hidden="false" customHeight="true" outlineLevel="0" collapsed="false">
      <c r="A136" s="78" t="s">
        <v>92</v>
      </c>
      <c r="B136" s="313" t="s">
        <v>271</v>
      </c>
      <c r="C136" s="292"/>
      <c r="D136" s="292" t="s">
        <v>272</v>
      </c>
      <c r="E136" s="293"/>
      <c r="F136" s="19"/>
      <c r="G136" s="70" t="n">
        <f aca="false">E15*0.000006</f>
        <v>0</v>
      </c>
      <c r="H136" s="37" t="n">
        <f aca="false">IF(G105="YES", E15*0.000002, 0)</f>
        <v>0</v>
      </c>
      <c r="I136" s="37"/>
      <c r="J136" s="37" t="n">
        <f aca="false">G136+H136</f>
        <v>0</v>
      </c>
      <c r="K136" s="177"/>
      <c r="L136" s="19"/>
      <c r="M136" s="70" t="n">
        <f aca="false">E15*0.000006</f>
        <v>0</v>
      </c>
      <c r="N136" s="37" t="n">
        <f aca="false">IF(M105="YES", E15*0.000002, 0)</f>
        <v>0</v>
      </c>
      <c r="O136" s="37"/>
      <c r="P136" s="37" t="n">
        <f aca="false">M136+N136</f>
        <v>0</v>
      </c>
      <c r="Q136" s="177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8.75" hidden="false" customHeight="true" outlineLevel="0" collapsed="false">
      <c r="A137" s="70" t="n">
        <f aca="false">B90</f>
        <v>1056.98252648892</v>
      </c>
      <c r="B137" s="201" t="n">
        <f aca="false">IF(A105="YES", B89, 0)</f>
        <v>0</v>
      </c>
      <c r="C137" s="292"/>
      <c r="D137" s="201" t="n">
        <f aca="false">B91</f>
        <v>1056.98252648892</v>
      </c>
      <c r="E137" s="293"/>
      <c r="F137" s="19"/>
      <c r="G137" s="209"/>
      <c r="H137" s="207"/>
      <c r="I137" s="207"/>
      <c r="J137" s="207"/>
      <c r="K137" s="210"/>
      <c r="L137" s="19"/>
      <c r="M137" s="209"/>
      <c r="N137" s="207"/>
      <c r="O137" s="207"/>
      <c r="P137" s="207"/>
      <c r="Q137" s="210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8.75" hidden="false" customHeight="true" outlineLevel="0" collapsed="false">
      <c r="A138" s="291"/>
      <c r="B138" s="292"/>
      <c r="C138" s="292"/>
      <c r="D138" s="292"/>
      <c r="E138" s="293"/>
      <c r="F138" s="19"/>
      <c r="G138" s="209" t="s">
        <v>288</v>
      </c>
      <c r="H138" s="207" t="s">
        <v>289</v>
      </c>
      <c r="I138" s="207"/>
      <c r="J138" s="207" t="s">
        <v>290</v>
      </c>
      <c r="K138" s="210"/>
      <c r="L138" s="19"/>
      <c r="M138" s="209" t="s">
        <v>111</v>
      </c>
      <c r="N138" s="207" t="s">
        <v>289</v>
      </c>
      <c r="O138" s="207"/>
      <c r="P138" s="207" t="s">
        <v>290</v>
      </c>
      <c r="Q138" s="210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8.75" hidden="false" customHeight="true" outlineLevel="0" collapsed="false">
      <c r="A139" s="314" t="s">
        <v>180</v>
      </c>
      <c r="B139" s="315" t="s">
        <v>291</v>
      </c>
      <c r="C139" s="201"/>
      <c r="D139" s="315" t="s">
        <v>182</v>
      </c>
      <c r="E139" s="177"/>
      <c r="F139" s="19"/>
      <c r="G139" s="70" t="n">
        <f aca="false">G102</f>
        <v>199.99</v>
      </c>
      <c r="H139" s="37" t="n">
        <f aca="false">H67</f>
        <v>0</v>
      </c>
      <c r="I139" s="37"/>
      <c r="J139" s="37" t="n">
        <f aca="false">H102*0.9</f>
        <v>0</v>
      </c>
      <c r="K139" s="177"/>
      <c r="L139" s="19"/>
      <c r="M139" s="70" t="n">
        <f aca="false">M102</f>
        <v>199.99</v>
      </c>
      <c r="N139" s="37" t="n">
        <f aca="false">N67</f>
        <v>0</v>
      </c>
      <c r="O139" s="37"/>
      <c r="P139" s="37" t="n">
        <f aca="false">N102*0.9</f>
        <v>0</v>
      </c>
      <c r="Q139" s="177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8.75" hidden="false" customHeight="true" outlineLevel="0" collapsed="false">
      <c r="A140" s="316" t="n">
        <f aca="false">(B61*0.000006)*1.2*100</f>
        <v>26.93088</v>
      </c>
      <c r="B140" s="317" t="n">
        <f aca="false">IF(A105="YES", B61*0.000002, 0)*1.2*100</f>
        <v>8.97696</v>
      </c>
      <c r="C140" s="292"/>
      <c r="D140" s="317" t="n">
        <f aca="false">A140+B140</f>
        <v>35.90784</v>
      </c>
      <c r="E140" s="293"/>
      <c r="F140" s="19"/>
      <c r="G140" s="209"/>
      <c r="H140" s="207"/>
      <c r="I140" s="207"/>
      <c r="J140" s="207"/>
      <c r="K140" s="210"/>
      <c r="L140" s="19"/>
      <c r="M140" s="209"/>
      <c r="N140" s="207"/>
      <c r="O140" s="207"/>
      <c r="P140" s="207"/>
      <c r="Q140" s="210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8.75" hidden="false" customHeight="true" outlineLevel="0" collapsed="false">
      <c r="A141" s="316"/>
      <c r="B141" s="317"/>
      <c r="C141" s="292"/>
      <c r="D141" s="317"/>
      <c r="E141" s="293"/>
      <c r="F141" s="19"/>
      <c r="G141" s="209" t="s">
        <v>292</v>
      </c>
      <c r="H141" s="207" t="s">
        <v>293</v>
      </c>
      <c r="I141" s="207"/>
      <c r="J141" s="207" t="s">
        <v>294</v>
      </c>
      <c r="K141" s="210"/>
      <c r="L141" s="19"/>
      <c r="M141" s="209" t="s">
        <v>292</v>
      </c>
      <c r="N141" s="207" t="s">
        <v>293</v>
      </c>
      <c r="O141" s="207"/>
      <c r="P141" s="207" t="s">
        <v>294</v>
      </c>
      <c r="Q141" s="210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8.75" hidden="false" customHeight="true" outlineLevel="0" collapsed="false">
      <c r="A142" s="314" t="s">
        <v>295</v>
      </c>
      <c r="B142" s="315" t="s">
        <v>152</v>
      </c>
      <c r="C142" s="201"/>
      <c r="D142" s="315" t="s">
        <v>246</v>
      </c>
      <c r="E142" s="293"/>
      <c r="F142" s="19"/>
      <c r="G142" s="70" t="n">
        <f aca="false">IF(G105="YES", ((B36*H105)*0.1)*(G130), 0)</f>
        <v>0</v>
      </c>
      <c r="H142" s="37" t="n">
        <f aca="false">G102-100</f>
        <v>99.99</v>
      </c>
      <c r="I142" s="37"/>
      <c r="J142" s="37" t="e">
        <f aca="false">(H139+J139+G142+H142)-H145</f>
        <v>#DIV/0!</v>
      </c>
      <c r="K142" s="177"/>
      <c r="L142" s="19"/>
      <c r="M142" s="70" t="n">
        <f aca="false">IF(M105="YES", ((B36*N105)*0.1)*(M130), 0)</f>
        <v>0</v>
      </c>
      <c r="N142" s="37" t="n">
        <f aca="false">M102-100</f>
        <v>99.99</v>
      </c>
      <c r="O142" s="37"/>
      <c r="P142" s="37" t="e">
        <f aca="false">(N139+P139+M142+N142)-N145</f>
        <v>#DIV/0!</v>
      </c>
      <c r="Q142" s="177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8.75" hidden="false" customHeight="true" outlineLevel="0" collapsed="false">
      <c r="A143" s="70" t="n">
        <v>0</v>
      </c>
      <c r="B143" s="201" t="n">
        <f aca="false">E118</f>
        <v>199.99</v>
      </c>
      <c r="C143" s="292"/>
      <c r="D143" s="152" t="n">
        <f aca="false">B102</f>
        <v>0</v>
      </c>
      <c r="E143" s="293"/>
      <c r="F143" s="19"/>
      <c r="G143" s="209"/>
      <c r="H143" s="207"/>
      <c r="I143" s="207"/>
      <c r="J143" s="207"/>
      <c r="K143" s="210"/>
      <c r="L143" s="19"/>
      <c r="M143" s="209"/>
      <c r="N143" s="207"/>
      <c r="O143" s="207"/>
      <c r="P143" s="207"/>
      <c r="Q143" s="210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8.75" hidden="false" customHeight="true" outlineLevel="0" collapsed="false">
      <c r="A144" s="70"/>
      <c r="B144" s="201"/>
      <c r="C144" s="292"/>
      <c r="D144" s="201"/>
      <c r="E144" s="293"/>
      <c r="F144" s="19"/>
      <c r="G144" s="209" t="s">
        <v>296</v>
      </c>
      <c r="H144" s="207" t="s">
        <v>297</v>
      </c>
      <c r="I144" s="207"/>
      <c r="J144" s="207"/>
      <c r="K144" s="210"/>
      <c r="L144" s="19"/>
      <c r="M144" s="209" t="s">
        <v>296</v>
      </c>
      <c r="N144" s="207" t="s">
        <v>297</v>
      </c>
      <c r="O144" s="207"/>
      <c r="P144" s="207"/>
      <c r="Q144" s="210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8.75" hidden="false" customHeight="true" outlineLevel="0" collapsed="false">
      <c r="A145" s="318" t="s">
        <v>298</v>
      </c>
      <c r="B145" s="319"/>
      <c r="C145" s="320"/>
      <c r="D145" s="319"/>
      <c r="E145" s="321"/>
      <c r="F145" s="19"/>
      <c r="G145" s="70" t="n">
        <v>0</v>
      </c>
      <c r="H145" s="37" t="e">
        <f aca="false">(H139+J139+G142+H142)*(G145/H64)</f>
        <v>#DIV/0!</v>
      </c>
      <c r="I145" s="207"/>
      <c r="J145" s="207"/>
      <c r="K145" s="210"/>
      <c r="L145" s="19"/>
      <c r="M145" s="70" t="n">
        <v>0</v>
      </c>
      <c r="N145" s="37" t="e">
        <f aca="false">(N139+P139+M142+N142)*(M145/N64)</f>
        <v>#DIV/0!</v>
      </c>
      <c r="O145" s="207"/>
      <c r="P145" s="207"/>
      <c r="Q145" s="210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8.75" hidden="false" customHeight="true" outlineLevel="0" collapsed="false">
      <c r="A146" s="316"/>
      <c r="B146" s="317"/>
      <c r="C146" s="292"/>
      <c r="D146" s="317"/>
      <c r="E146" s="293"/>
      <c r="F146" s="19"/>
      <c r="G146" s="209"/>
      <c r="H146" s="207"/>
      <c r="I146" s="207"/>
      <c r="J146" s="207"/>
      <c r="K146" s="210"/>
      <c r="L146" s="19"/>
      <c r="M146" s="70"/>
      <c r="N146" s="37"/>
      <c r="O146" s="207"/>
      <c r="P146" s="207"/>
      <c r="Q146" s="210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8.75" hidden="false" customHeight="true" outlineLevel="0" collapsed="false">
      <c r="A147" s="291" t="s">
        <v>299</v>
      </c>
      <c r="B147" s="292" t="s">
        <v>300</v>
      </c>
      <c r="C147" s="292"/>
      <c r="D147" s="292" t="s">
        <v>301</v>
      </c>
      <c r="E147" s="293"/>
      <c r="F147" s="19"/>
      <c r="G147" s="209"/>
      <c r="H147" s="207"/>
      <c r="I147" s="207"/>
      <c r="J147" s="207"/>
      <c r="K147" s="210"/>
      <c r="L147" s="19"/>
      <c r="M147" s="78" t="s">
        <v>302</v>
      </c>
      <c r="N147" s="38" t="s">
        <v>303</v>
      </c>
      <c r="O147" s="207"/>
      <c r="P147" s="207"/>
      <c r="Q147" s="210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8.75" hidden="false" customHeight="true" outlineLevel="0" collapsed="false">
      <c r="A148" s="70" t="n">
        <f aca="false">B67</f>
        <v>732.495</v>
      </c>
      <c r="B148" s="37" t="n">
        <f aca="false">B102</f>
        <v>0</v>
      </c>
      <c r="C148" s="201"/>
      <c r="D148" s="201" t="n">
        <f aca="false">IF(A105="YES", (B40*B105)*B125, 0)*0.1</f>
        <v>0</v>
      </c>
      <c r="E148" s="177"/>
      <c r="F148" s="19"/>
      <c r="G148" s="243" t="s">
        <v>304</v>
      </c>
      <c r="H148" s="207"/>
      <c r="I148" s="207"/>
      <c r="J148" s="244"/>
      <c r="K148" s="245"/>
      <c r="L148" s="19"/>
      <c r="M148" s="322" t="n">
        <v>18000</v>
      </c>
      <c r="N148" s="323" t="n">
        <v>0.99</v>
      </c>
      <c r="O148" s="323"/>
      <c r="P148" s="207"/>
      <c r="Q148" s="210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8.75" hidden="false" customHeight="true" outlineLevel="0" collapsed="false">
      <c r="A149" s="291"/>
      <c r="B149" s="292"/>
      <c r="C149" s="292"/>
      <c r="D149" s="292"/>
      <c r="E149" s="293"/>
      <c r="F149" s="19"/>
      <c r="G149" s="209"/>
      <c r="H149" s="246"/>
      <c r="I149" s="246"/>
      <c r="J149" s="207"/>
      <c r="K149" s="210"/>
      <c r="L149" s="19"/>
      <c r="M149" s="209"/>
      <c r="N149" s="207"/>
      <c r="O149" s="207"/>
      <c r="P149" s="207"/>
      <c r="Q149" s="210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8.75" hidden="false" customHeight="true" outlineLevel="0" collapsed="false">
      <c r="A150" s="291" t="s">
        <v>305</v>
      </c>
      <c r="B150" s="292" t="s">
        <v>297</v>
      </c>
      <c r="C150" s="292"/>
      <c r="D150" s="292" t="s">
        <v>294</v>
      </c>
      <c r="E150" s="293"/>
      <c r="F150" s="19"/>
      <c r="G150" s="248" t="s">
        <v>28</v>
      </c>
      <c r="H150" s="249" t="s">
        <v>33</v>
      </c>
      <c r="I150" s="249"/>
      <c r="J150" s="207"/>
      <c r="K150" s="210"/>
      <c r="L150" s="19"/>
      <c r="M150" s="209"/>
      <c r="N150" s="207"/>
      <c r="O150" s="207"/>
      <c r="P150" s="207"/>
      <c r="Q150" s="210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8.75" hidden="false" customHeight="true" outlineLevel="0" collapsed="false">
      <c r="A151" s="70" t="n">
        <f aca="false">E118-100</f>
        <v>99.99</v>
      </c>
      <c r="B151" s="201" t="n">
        <f aca="false">(A148+B148+D148+A151)*(A143/B64)</f>
        <v>0</v>
      </c>
      <c r="C151" s="201"/>
      <c r="D151" s="201" t="n">
        <f aca="false">(A148+B148+D148+A151)-B151</f>
        <v>832.485</v>
      </c>
      <c r="E151" s="177"/>
      <c r="F151" s="19"/>
      <c r="G151" s="248"/>
      <c r="H151" s="250" t="n">
        <f aca="false">B51</f>
        <v>35000</v>
      </c>
      <c r="I151" s="250"/>
      <c r="J151" s="207"/>
      <c r="K151" s="210"/>
      <c r="L151" s="19"/>
      <c r="M151" s="243" t="s">
        <v>304</v>
      </c>
      <c r="N151" s="207"/>
      <c r="O151" s="207"/>
      <c r="P151" s="244"/>
      <c r="Q151" s="245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8.75" hidden="false" customHeight="true" outlineLevel="0" collapsed="false">
      <c r="A152" s="291"/>
      <c r="B152" s="292"/>
      <c r="C152" s="292"/>
      <c r="D152" s="292"/>
      <c r="E152" s="293"/>
      <c r="F152" s="19"/>
      <c r="G152" s="251" t="n">
        <f aca="false">A52</f>
        <v>35</v>
      </c>
      <c r="H152" s="92" t="n">
        <f aca="false">H91</f>
        <v>828.202486464516</v>
      </c>
      <c r="I152" s="92"/>
      <c r="J152" s="207"/>
      <c r="K152" s="210"/>
      <c r="L152" s="19"/>
      <c r="M152" s="209"/>
      <c r="N152" s="246"/>
      <c r="O152" s="246"/>
      <c r="P152" s="207"/>
      <c r="Q152" s="210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8.75" hidden="false" customHeight="true" outlineLevel="0" collapsed="false">
      <c r="A153" s="291" t="s">
        <v>306</v>
      </c>
      <c r="B153" s="292"/>
      <c r="C153" s="292"/>
      <c r="D153" s="292"/>
      <c r="E153" s="293"/>
      <c r="F153" s="19"/>
      <c r="G153" s="209"/>
      <c r="H153" s="207"/>
      <c r="I153" s="207"/>
      <c r="J153" s="207"/>
      <c r="K153" s="210"/>
      <c r="L153" s="19"/>
      <c r="M153" s="248" t="s">
        <v>28</v>
      </c>
      <c r="N153" s="249" t="s">
        <v>33</v>
      </c>
      <c r="O153" s="249"/>
      <c r="P153" s="207"/>
      <c r="Q153" s="210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8.75" hidden="false" customHeight="true" outlineLevel="0" collapsed="false">
      <c r="A154" s="70" t="n">
        <f aca="false">D102</f>
        <v>0</v>
      </c>
      <c r="B154" s="201"/>
      <c r="C154" s="292"/>
      <c r="D154" s="292"/>
      <c r="E154" s="293"/>
      <c r="F154" s="19"/>
      <c r="G154" s="209"/>
      <c r="H154" s="207"/>
      <c r="I154" s="207"/>
      <c r="J154" s="207"/>
      <c r="K154" s="210"/>
      <c r="L154" s="19"/>
      <c r="M154" s="248"/>
      <c r="N154" s="250" t="n">
        <f aca="false">B51</f>
        <v>35000</v>
      </c>
      <c r="O154" s="250"/>
      <c r="P154" s="207"/>
      <c r="Q154" s="210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8.75" hidden="false" customHeight="true" outlineLevel="0" collapsed="false">
      <c r="A155" s="291"/>
      <c r="B155" s="292"/>
      <c r="C155" s="292"/>
      <c r="D155" s="292"/>
      <c r="E155" s="293"/>
      <c r="F155" s="19"/>
      <c r="G155" s="209"/>
      <c r="H155" s="207"/>
      <c r="I155" s="207"/>
      <c r="J155" s="207"/>
      <c r="K155" s="210"/>
      <c r="L155" s="19"/>
      <c r="M155" s="251" t="n">
        <f aca="false">A52</f>
        <v>35</v>
      </c>
      <c r="N155" s="92" t="n">
        <f aca="false">N91</f>
        <v>682.816442530614</v>
      </c>
      <c r="O155" s="92"/>
      <c r="P155" s="207"/>
      <c r="Q155" s="210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8.75" hidden="false" customHeight="true" outlineLevel="0" collapsed="false">
      <c r="A156" s="291"/>
      <c r="B156" s="292"/>
      <c r="C156" s="292"/>
      <c r="D156" s="292"/>
      <c r="E156" s="293"/>
      <c r="F156" s="19"/>
      <c r="G156" s="209"/>
      <c r="H156" s="207"/>
      <c r="I156" s="207"/>
      <c r="J156" s="207"/>
      <c r="K156" s="210"/>
      <c r="L156" s="19"/>
      <c r="M156" s="209"/>
      <c r="N156" s="207"/>
      <c r="O156" s="207"/>
      <c r="P156" s="207"/>
      <c r="Q156" s="210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8.75" hidden="false" customHeight="true" outlineLevel="0" collapsed="false">
      <c r="A157" s="324" t="s">
        <v>304</v>
      </c>
      <c r="B157" s="292"/>
      <c r="C157" s="292"/>
      <c r="D157" s="325"/>
      <c r="E157" s="326"/>
      <c r="F157" s="19"/>
      <c r="G157" s="252"/>
      <c r="H157" s="253"/>
      <c r="I157" s="253"/>
      <c r="J157" s="253"/>
      <c r="K157" s="254"/>
      <c r="L157" s="19"/>
      <c r="M157" s="209"/>
      <c r="N157" s="207"/>
      <c r="O157" s="207"/>
      <c r="P157" s="207"/>
      <c r="Q157" s="210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8.75" hidden="false" customHeight="true" outlineLevel="0" collapsed="false">
      <c r="A158" s="291"/>
      <c r="B158" s="327"/>
      <c r="C158" s="327"/>
      <c r="D158" s="292"/>
      <c r="E158" s="293"/>
      <c r="F158" s="19"/>
      <c r="G158" s="19"/>
      <c r="H158" s="19"/>
      <c r="I158" s="19"/>
      <c r="J158" s="19"/>
      <c r="K158" s="19"/>
      <c r="L158" s="19"/>
      <c r="M158" s="209"/>
      <c r="N158" s="207"/>
      <c r="O158" s="207"/>
      <c r="P158" s="207"/>
      <c r="Q158" s="210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8.75" hidden="false" customHeight="true" outlineLevel="0" collapsed="false">
      <c r="A159" s="248" t="s">
        <v>28</v>
      </c>
      <c r="B159" s="249" t="s">
        <v>33</v>
      </c>
      <c r="C159" s="249"/>
      <c r="D159" s="292"/>
      <c r="E159" s="293"/>
      <c r="F159" s="19"/>
      <c r="G159" s="19"/>
      <c r="H159" s="19"/>
      <c r="I159" s="19"/>
      <c r="J159" s="19"/>
      <c r="K159" s="19"/>
      <c r="L159" s="19"/>
      <c r="M159" s="209"/>
      <c r="N159" s="207"/>
      <c r="O159" s="207"/>
      <c r="P159" s="207"/>
      <c r="Q159" s="210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8.75" hidden="false" customHeight="true" outlineLevel="0" collapsed="false">
      <c r="A160" s="248"/>
      <c r="B160" s="250" t="n">
        <f aca="false">B51</f>
        <v>35000</v>
      </c>
      <c r="C160" s="250"/>
      <c r="D160" s="292"/>
      <c r="E160" s="293"/>
      <c r="F160" s="19"/>
      <c r="G160" s="19"/>
      <c r="H160" s="19"/>
      <c r="I160" s="19"/>
      <c r="J160" s="19"/>
      <c r="K160" s="19"/>
      <c r="L160" s="19"/>
      <c r="M160" s="209"/>
      <c r="N160" s="207"/>
      <c r="O160" s="207"/>
      <c r="P160" s="207"/>
      <c r="Q160" s="210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8.75" hidden="false" customHeight="true" outlineLevel="0" collapsed="false">
      <c r="A161" s="251" t="n">
        <f aca="false">A52</f>
        <v>35</v>
      </c>
      <c r="B161" s="92" t="n">
        <f aca="false">B91</f>
        <v>1056.98252648892</v>
      </c>
      <c r="C161" s="92"/>
      <c r="D161" s="292"/>
      <c r="E161" s="293"/>
      <c r="F161" s="19"/>
      <c r="G161" s="19"/>
      <c r="H161" s="19"/>
      <c r="I161" s="19"/>
      <c r="J161" s="19"/>
      <c r="K161" s="19"/>
      <c r="L161" s="19"/>
      <c r="M161" s="209"/>
      <c r="N161" s="207"/>
      <c r="O161" s="207"/>
      <c r="P161" s="207"/>
      <c r="Q161" s="210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8.75" hidden="false" customHeight="true" outlineLevel="0" collapsed="false">
      <c r="A162" s="291"/>
      <c r="B162" s="292"/>
      <c r="C162" s="292"/>
      <c r="D162" s="292"/>
      <c r="E162" s="293"/>
      <c r="F162" s="19"/>
      <c r="G162" s="19"/>
      <c r="H162" s="19"/>
      <c r="I162" s="19"/>
      <c r="J162" s="19"/>
      <c r="K162" s="19"/>
      <c r="L162" s="19"/>
      <c r="M162" s="252"/>
      <c r="N162" s="253"/>
      <c r="O162" s="253"/>
      <c r="P162" s="253"/>
      <c r="Q162" s="254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8.75" hidden="false" customHeight="true" outlineLevel="0" collapsed="false">
      <c r="A163" s="291"/>
      <c r="B163" s="292"/>
      <c r="C163" s="292"/>
      <c r="D163" s="292"/>
      <c r="E163" s="293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8.75" hidden="false" customHeight="true" outlineLevel="0" collapsed="false">
      <c r="A164" s="291"/>
      <c r="B164" s="292"/>
      <c r="C164" s="292"/>
      <c r="D164" s="292"/>
      <c r="E164" s="293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8.75" hidden="false" customHeight="true" outlineLevel="0" collapsed="false">
      <c r="A165" s="291"/>
      <c r="B165" s="292"/>
      <c r="C165" s="292"/>
      <c r="D165" s="292"/>
      <c r="E165" s="293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8.75" hidden="false" customHeight="true" outlineLevel="0" collapsed="false">
      <c r="A166" s="342"/>
      <c r="B166" s="343"/>
      <c r="C166" s="343"/>
      <c r="D166" s="343"/>
      <c r="E166" s="344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8.75" hidden="false" customHeight="true" outlineLevel="0" collapsed="false">
      <c r="A167" s="394"/>
      <c r="B167" s="394"/>
      <c r="C167" s="394"/>
      <c r="D167" s="394"/>
      <c r="E167" s="394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8.75" hidden="false" customHeight="true" outlineLevel="0" collapsed="false">
      <c r="A168" s="394"/>
      <c r="B168" s="394"/>
      <c r="C168" s="394"/>
      <c r="D168" s="394"/>
      <c r="E168" s="394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8.75" hidden="false" customHeight="true" outlineLevel="0" collapsed="false">
      <c r="A169" s="394"/>
      <c r="B169" s="394"/>
      <c r="C169" s="394"/>
      <c r="D169" s="394"/>
      <c r="E169" s="394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8.75" hidden="false" customHeight="true" outlineLevel="0" collapsed="false">
      <c r="A170" s="394"/>
      <c r="B170" s="394"/>
      <c r="C170" s="394"/>
      <c r="D170" s="394"/>
      <c r="E170" s="394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8.75" hidden="false" customHeight="true" outlineLevel="0" collapsed="false">
      <c r="A171" s="328" t="s">
        <v>270</v>
      </c>
      <c r="B171" s="328"/>
      <c r="C171" s="328"/>
      <c r="D171" s="328"/>
      <c r="E171" s="328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8.75" hidden="false" customHeight="true" outlineLevel="0" collapsed="false">
      <c r="A172" s="291"/>
      <c r="B172" s="329"/>
      <c r="C172" s="329"/>
      <c r="D172" s="329"/>
      <c r="E172" s="293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8.75" hidden="false" customHeight="true" outlineLevel="0" collapsed="false">
      <c r="A173" s="294" t="s">
        <v>98</v>
      </c>
      <c r="B173" s="330" t="s">
        <v>174</v>
      </c>
      <c r="C173" s="331"/>
      <c r="D173" s="330" t="s">
        <v>33</v>
      </c>
      <c r="E173" s="297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8.75" hidden="false" customHeight="true" outlineLevel="0" collapsed="false">
      <c r="A174" s="298" t="s">
        <v>254</v>
      </c>
      <c r="B174" s="299" t="n">
        <f aca="false">A161</f>
        <v>35</v>
      </c>
      <c r="C174" s="333"/>
      <c r="D174" s="299" t="n">
        <f aca="false">D125</f>
        <v>35000</v>
      </c>
      <c r="E174" s="297"/>
      <c r="F174" s="19"/>
      <c r="G174" s="367" t="s">
        <v>323</v>
      </c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8.75" hidden="false" customHeight="true" outlineLevel="0" collapsed="false">
      <c r="A175" s="294"/>
      <c r="B175" s="330"/>
      <c r="C175" s="330"/>
      <c r="D175" s="330"/>
      <c r="E175" s="297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8.75" hidden="false" customHeight="true" outlineLevel="0" collapsed="false">
      <c r="A176" s="294" t="s">
        <v>92</v>
      </c>
      <c r="B176" s="330" t="s">
        <v>271</v>
      </c>
      <c r="C176" s="331"/>
      <c r="D176" s="330" t="s">
        <v>272</v>
      </c>
      <c r="E176" s="297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8.75" hidden="false" customHeight="true" outlineLevel="0" collapsed="false">
      <c r="A177" s="298" t="n">
        <f aca="false">B90</f>
        <v>1056.98252648892</v>
      </c>
      <c r="B177" s="331" t="n">
        <f aca="false">IF(A105="YES", B89, 0)</f>
        <v>0</v>
      </c>
      <c r="C177" s="333"/>
      <c r="D177" s="331" t="n">
        <f aca="false">B91</f>
        <v>1056.98252648892</v>
      </c>
      <c r="E177" s="297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8.75" hidden="false" customHeight="true" outlineLevel="0" collapsed="false">
      <c r="A178" s="291"/>
      <c r="B178" s="329"/>
      <c r="C178" s="329"/>
      <c r="D178" s="329"/>
      <c r="E178" s="293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8.75" hidden="false" customHeight="true" outlineLevel="0" collapsed="false">
      <c r="A179" s="304" t="s">
        <v>23</v>
      </c>
      <c r="B179" s="335" t="s">
        <v>277</v>
      </c>
      <c r="C179" s="223"/>
      <c r="D179" s="335" t="s">
        <v>278</v>
      </c>
      <c r="E179" s="293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8.75" hidden="false" customHeight="true" outlineLevel="0" collapsed="false">
      <c r="A180" s="309" t="str">
        <f aca="false">B99</f>
        <v>Monthly in advance</v>
      </c>
      <c r="B180" s="37" t="n">
        <f aca="false">B90*B57</f>
        <v>1056.98252648892</v>
      </c>
      <c r="C180" s="329"/>
      <c r="D180" s="37" t="n">
        <f aca="false">IF(A105="YES", B89*B57, 0)</f>
        <v>0</v>
      </c>
      <c r="E180" s="293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8.75" hidden="false" customHeight="true" outlineLevel="0" collapsed="false">
      <c r="A181" s="291"/>
      <c r="B181" s="329"/>
      <c r="C181" s="329"/>
      <c r="D181" s="329"/>
      <c r="E181" s="293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8.75" hidden="false" customHeight="true" outlineLevel="0" collapsed="false">
      <c r="A182" s="123" t="s">
        <v>283</v>
      </c>
      <c r="B182" s="38" t="s">
        <v>284</v>
      </c>
      <c r="C182" s="336"/>
      <c r="D182" s="233" t="s">
        <v>177</v>
      </c>
      <c r="E182" s="293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8.75" hidden="false" customHeight="true" outlineLevel="0" collapsed="false">
      <c r="A183" s="70" t="n">
        <f aca="false">B91*B57</f>
        <v>1056.98252648892</v>
      </c>
      <c r="B183" s="37" t="n">
        <f aca="false">E114</f>
        <v>4000</v>
      </c>
      <c r="C183" s="329"/>
      <c r="D183" s="337" t="n">
        <f aca="false">B58</f>
        <v>34</v>
      </c>
      <c r="E183" s="293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8.75" hidden="false" customHeight="true" outlineLevel="0" collapsed="false">
      <c r="A184" s="70"/>
      <c r="B184" s="338"/>
      <c r="C184" s="329"/>
      <c r="D184" s="329"/>
      <c r="E184" s="293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8.75" hidden="false" customHeight="true" outlineLevel="0" collapsed="false">
      <c r="A185" s="78" t="s">
        <v>92</v>
      </c>
      <c r="B185" s="339" t="s">
        <v>271</v>
      </c>
      <c r="C185" s="329"/>
      <c r="D185" s="329" t="s">
        <v>272</v>
      </c>
      <c r="E185" s="293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8.75" hidden="false" customHeight="true" outlineLevel="0" collapsed="false">
      <c r="A186" s="70" t="n">
        <f aca="false">B90</f>
        <v>1056.98252648892</v>
      </c>
      <c r="B186" s="37" t="n">
        <f aca="false">IF(A105="YES", B89, 0)</f>
        <v>0</v>
      </c>
      <c r="C186" s="329"/>
      <c r="D186" s="37" t="n">
        <f aca="false">B91</f>
        <v>1056.98252648892</v>
      </c>
      <c r="E186" s="293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8.75" hidden="false" customHeight="true" outlineLevel="0" collapsed="false">
      <c r="A187" s="291"/>
      <c r="B187" s="329"/>
      <c r="C187" s="329"/>
      <c r="D187" s="329"/>
      <c r="E187" s="293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8.75" hidden="false" customHeight="true" outlineLevel="0" collapsed="false">
      <c r="A188" s="314" t="s">
        <v>180</v>
      </c>
      <c r="B188" s="340" t="s">
        <v>291</v>
      </c>
      <c r="C188" s="37"/>
      <c r="D188" s="340" t="s">
        <v>182</v>
      </c>
      <c r="E188" s="177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8.75" hidden="false" customHeight="true" outlineLevel="0" collapsed="false">
      <c r="A189" s="316" t="n">
        <f aca="false">A140</f>
        <v>26.93088</v>
      </c>
      <c r="B189" s="341" t="n">
        <f aca="false">B140</f>
        <v>8.97696</v>
      </c>
      <c r="C189" s="329"/>
      <c r="D189" s="341" t="n">
        <f aca="false">A189+B189</f>
        <v>35.90784</v>
      </c>
      <c r="E189" s="293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8.75" hidden="false" customHeight="true" outlineLevel="0" collapsed="false">
      <c r="A190" s="316"/>
      <c r="B190" s="341"/>
      <c r="C190" s="329"/>
      <c r="D190" s="341"/>
      <c r="E190" s="293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8.75" hidden="false" customHeight="true" outlineLevel="0" collapsed="false">
      <c r="A191" s="314" t="s">
        <v>295</v>
      </c>
      <c r="B191" s="340" t="s">
        <v>152</v>
      </c>
      <c r="C191" s="37"/>
      <c r="D191" s="340" t="s">
        <v>246</v>
      </c>
      <c r="E191" s="293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8.75" hidden="false" customHeight="true" outlineLevel="0" collapsed="false">
      <c r="A192" s="70" t="n">
        <v>0</v>
      </c>
      <c r="B192" s="37" t="n">
        <f aca="false">E118</f>
        <v>199.99</v>
      </c>
      <c r="C192" s="329"/>
      <c r="D192" s="152" t="n">
        <f aca="false">B102</f>
        <v>0</v>
      </c>
      <c r="E192" s="293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8.75" hidden="false" customHeight="true" outlineLevel="0" collapsed="false">
      <c r="A193" s="70"/>
      <c r="B193" s="37"/>
      <c r="C193" s="329"/>
      <c r="D193" s="37"/>
      <c r="E193" s="293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8.75" hidden="false" customHeight="true" outlineLevel="0" collapsed="false">
      <c r="A194" s="318" t="s">
        <v>298</v>
      </c>
      <c r="B194" s="319"/>
      <c r="C194" s="320"/>
      <c r="D194" s="319"/>
      <c r="E194" s="321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8.75" hidden="false" customHeight="true" outlineLevel="0" collapsed="false">
      <c r="A195" s="316"/>
      <c r="B195" s="341"/>
      <c r="C195" s="329"/>
      <c r="D195" s="341"/>
      <c r="E195" s="293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8.75" hidden="false" customHeight="true" outlineLevel="0" collapsed="false">
      <c r="A196" s="291" t="s">
        <v>299</v>
      </c>
      <c r="B196" s="329" t="s">
        <v>300</v>
      </c>
      <c r="C196" s="329"/>
      <c r="D196" s="329" t="s">
        <v>301</v>
      </c>
      <c r="E196" s="293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8.75" hidden="false" customHeight="true" outlineLevel="0" collapsed="false">
      <c r="A197" s="70" t="n">
        <f aca="false">B67</f>
        <v>732.495</v>
      </c>
      <c r="B197" s="37" t="n">
        <f aca="false">B102</f>
        <v>0</v>
      </c>
      <c r="C197" s="37"/>
      <c r="D197" s="37" t="n">
        <f aca="false">IF(A105="YES", (B40*B105)*B125, 0)*0.1</f>
        <v>0</v>
      </c>
      <c r="E197" s="177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8.75" hidden="false" customHeight="true" outlineLevel="0" collapsed="false">
      <c r="A198" s="291"/>
      <c r="B198" s="329"/>
      <c r="C198" s="329"/>
      <c r="D198" s="329"/>
      <c r="E198" s="293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8.75" hidden="false" customHeight="true" outlineLevel="0" collapsed="false">
      <c r="A199" s="291" t="s">
        <v>305</v>
      </c>
      <c r="B199" s="329" t="s">
        <v>297</v>
      </c>
      <c r="C199" s="329"/>
      <c r="D199" s="329" t="s">
        <v>294</v>
      </c>
      <c r="E199" s="293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8.75" hidden="false" customHeight="true" outlineLevel="0" collapsed="false">
      <c r="A200" s="70" t="n">
        <f aca="false">E118-100</f>
        <v>99.99</v>
      </c>
      <c r="B200" s="37" t="n">
        <f aca="false">(A148+B148+D148+A151)*(A143/B64)</f>
        <v>0</v>
      </c>
      <c r="C200" s="37"/>
      <c r="D200" s="37" t="n">
        <f aca="false">(A148+B148+D148+A151)-B151</f>
        <v>832.485</v>
      </c>
      <c r="E200" s="177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8.75" hidden="false" customHeight="true" outlineLevel="0" collapsed="false">
      <c r="A201" s="291"/>
      <c r="B201" s="329"/>
      <c r="C201" s="329"/>
      <c r="D201" s="329"/>
      <c r="E201" s="293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8.75" hidden="false" customHeight="true" outlineLevel="0" collapsed="false">
      <c r="A202" s="291" t="s">
        <v>306</v>
      </c>
      <c r="B202" s="329"/>
      <c r="C202" s="329"/>
      <c r="D202" s="329"/>
      <c r="E202" s="293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8.75" hidden="false" customHeight="true" outlineLevel="0" collapsed="false">
      <c r="A203" s="70" t="n">
        <f aca="false">D102</f>
        <v>0</v>
      </c>
      <c r="B203" s="37"/>
      <c r="C203" s="329"/>
      <c r="D203" s="329"/>
      <c r="E203" s="293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8.75" hidden="false" customHeight="true" outlineLevel="0" collapsed="false">
      <c r="A204" s="342"/>
      <c r="B204" s="343"/>
      <c r="C204" s="343"/>
      <c r="D204" s="343"/>
      <c r="E204" s="344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8.75" hidden="false" customHeight="true" outlineLevel="0" collapsed="false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8.75" hidden="false" customHeight="true" outlineLevel="0" collapsed="false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8.75" hidden="false" customHeight="true" outlineLevel="0" collapsed="false">
      <c r="A207" s="328" t="s">
        <v>185</v>
      </c>
      <c r="B207" s="328"/>
      <c r="C207" s="328"/>
      <c r="D207" s="328"/>
      <c r="E207" s="328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8.75" hidden="false" customHeight="true" outlineLevel="0" collapsed="false">
      <c r="A208" s="291"/>
      <c r="B208" s="292"/>
      <c r="C208" s="292"/>
      <c r="D208" s="292"/>
      <c r="E208" s="293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8.75" hidden="false" customHeight="true" outlineLevel="0" collapsed="false">
      <c r="A209" s="294" t="s">
        <v>186</v>
      </c>
      <c r="B209" s="345" t="n">
        <f aca="false">H35</f>
        <v>0.065</v>
      </c>
      <c r="C209" s="296" t="s">
        <v>188</v>
      </c>
      <c r="D209" s="346" t="n">
        <f aca="false">D64</f>
        <v>2976.8225025</v>
      </c>
      <c r="E209" s="297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8.75" hidden="false" customHeight="true" outlineLevel="0" collapsed="false">
      <c r="A210" s="298"/>
      <c r="B210" s="299"/>
      <c r="C210" s="300"/>
      <c r="D210" s="299"/>
      <c r="E210" s="297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8.75" hidden="false" customHeight="true" outlineLevel="0" collapsed="false">
      <c r="A211" s="294" t="s">
        <v>189</v>
      </c>
      <c r="B211" s="296" t="n">
        <f aca="false">B219</f>
        <v>732.495</v>
      </c>
      <c r="C211" s="295" t="s">
        <v>190</v>
      </c>
      <c r="D211" s="346" t="n">
        <f aca="false">B225+E221+B221+B223</f>
        <v>99.99</v>
      </c>
      <c r="E211" s="297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8.75" hidden="false" customHeight="true" outlineLevel="0" collapsed="false">
      <c r="A212" s="294"/>
      <c r="B212" s="347"/>
      <c r="C212" s="296"/>
      <c r="D212" s="295"/>
      <c r="E212" s="297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8.75" hidden="false" customHeight="true" outlineLevel="0" collapsed="false">
      <c r="A213" s="298" t="s">
        <v>191</v>
      </c>
      <c r="B213" s="296" t="n">
        <f aca="false">E223</f>
        <v>2344.3175025</v>
      </c>
      <c r="C213" s="300"/>
      <c r="D213" s="296"/>
      <c r="E213" s="297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8.75" hidden="false" customHeight="true" outlineLevel="0" collapsed="false">
      <c r="A214" s="291"/>
      <c r="B214" s="313"/>
      <c r="C214" s="292"/>
      <c r="D214" s="292"/>
      <c r="E214" s="293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8.75" hidden="false" customHeight="true" outlineLevel="0" collapsed="false">
      <c r="A215" s="222" t="s">
        <v>186</v>
      </c>
      <c r="B215" s="348" t="n">
        <v>0.065</v>
      </c>
      <c r="C215" s="306"/>
      <c r="D215" s="305"/>
      <c r="E215" s="293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8.75" hidden="false" customHeight="true" outlineLevel="0" collapsed="false">
      <c r="A216" s="349"/>
      <c r="B216" s="200"/>
      <c r="C216" s="292"/>
      <c r="D216" s="201"/>
      <c r="E216" s="293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8.75" hidden="false" customHeight="true" outlineLevel="0" collapsed="false">
      <c r="A217" s="350" t="s">
        <v>188</v>
      </c>
      <c r="B217" s="60" t="n">
        <f aca="false">D64</f>
        <v>2976.8225025</v>
      </c>
      <c r="C217" s="351" t="s">
        <v>194</v>
      </c>
      <c r="D217" s="292"/>
      <c r="E217" s="352" t="n">
        <f aca="false">B66</f>
        <v>0.0195833333333333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8.75" hidden="false" customHeight="true" outlineLevel="0" collapsed="false">
      <c r="A218" s="69"/>
      <c r="B218" s="200"/>
      <c r="C218" s="310"/>
      <c r="D218" s="240"/>
      <c r="E218" s="293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8.75" hidden="false" customHeight="true" outlineLevel="0" collapsed="false">
      <c r="A219" s="70" t="s">
        <v>194</v>
      </c>
      <c r="B219" s="60" t="n">
        <f aca="false">B67</f>
        <v>732.495</v>
      </c>
      <c r="C219" s="310" t="s">
        <v>307</v>
      </c>
      <c r="D219" s="353"/>
      <c r="E219" s="103" t="n">
        <v>0.001</v>
      </c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8.75" hidden="false" customHeight="true" outlineLevel="0" collapsed="false">
      <c r="A220" s="70"/>
      <c r="B220" s="313"/>
      <c r="C220" s="310"/>
      <c r="D220" s="292"/>
      <c r="E220" s="293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8.75" hidden="false" customHeight="true" outlineLevel="0" collapsed="false">
      <c r="A221" s="70" t="s">
        <v>307</v>
      </c>
      <c r="B221" s="233" t="n">
        <f aca="false">(B77-(B77*(E219*100)))*0.1</f>
        <v>0</v>
      </c>
      <c r="C221" s="310" t="s">
        <v>196</v>
      </c>
      <c r="D221" s="292"/>
      <c r="E221" s="20" t="n">
        <f aca="false">A200</f>
        <v>99.99</v>
      </c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18.75" hidden="false" customHeight="true" outlineLevel="0" collapsed="false">
      <c r="A222" s="70"/>
      <c r="B222" s="200"/>
      <c r="C222" s="310"/>
      <c r="D222" s="201"/>
      <c r="E222" s="293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18.75" hidden="false" customHeight="true" outlineLevel="0" collapsed="false">
      <c r="A223" s="350" t="s">
        <v>308</v>
      </c>
      <c r="B223" s="233" t="n">
        <f aca="false">B78-(B78*(E219*100))</f>
        <v>0</v>
      </c>
      <c r="C223" s="310" t="s">
        <v>191</v>
      </c>
      <c r="D223" s="292"/>
      <c r="E223" s="20" t="n">
        <f aca="false">(B217-B211+D211)</f>
        <v>2344.3175025</v>
      </c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18.75" hidden="false" customHeight="true" outlineLevel="0" collapsed="false">
      <c r="A224" s="354"/>
      <c r="B224" s="315"/>
      <c r="C224" s="201"/>
      <c r="D224" s="315"/>
      <c r="E224" s="163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18.75" hidden="false" customHeight="true" outlineLevel="0" collapsed="false">
      <c r="A225" s="354" t="s">
        <v>309</v>
      </c>
      <c r="B225" s="315" t="n">
        <f aca="false">D197/0.1</f>
        <v>0</v>
      </c>
      <c r="C225" s="201"/>
      <c r="D225" s="315"/>
      <c r="E225" s="163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18.75" hidden="false" customHeight="true" outlineLevel="0" collapsed="false">
      <c r="A226" s="354"/>
      <c r="B226" s="315"/>
      <c r="C226" s="201"/>
      <c r="D226" s="315"/>
      <c r="E226" s="163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="395" customFormat="true" ht="18.75" hidden="false" customHeight="true" outlineLevel="0" collapsed="false">
      <c r="A227" s="318" t="s">
        <v>310</v>
      </c>
      <c r="B227" s="355"/>
      <c r="C227" s="320"/>
      <c r="D227" s="319"/>
      <c r="E227" s="321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18.75" hidden="false" customHeight="true" outlineLevel="0" collapsed="false">
      <c r="A228" s="316"/>
      <c r="B228" s="356"/>
      <c r="C228" s="292"/>
      <c r="D228" s="317"/>
      <c r="E228" s="293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18.75" hidden="false" customHeight="true" outlineLevel="0" collapsed="false">
      <c r="A229" s="316" t="s">
        <v>198</v>
      </c>
      <c r="B229" s="60" t="n">
        <f aca="false">B71</f>
        <v>200</v>
      </c>
      <c r="C229" s="310" t="s">
        <v>199</v>
      </c>
      <c r="D229" s="317"/>
      <c r="E229" s="150" t="n">
        <f aca="false">B72</f>
        <v>5</v>
      </c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18.75" hidden="false" customHeight="true" outlineLevel="0" collapsed="false">
      <c r="A230" s="316"/>
      <c r="B230" s="356"/>
      <c r="C230" s="310" t="s">
        <v>200</v>
      </c>
      <c r="D230" s="317"/>
      <c r="E230" s="20" t="n">
        <f aca="false">D73</f>
        <v>375</v>
      </c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18.75" hidden="false" customHeight="true" outlineLevel="0" collapsed="false">
      <c r="A231" s="316" t="s">
        <v>201</v>
      </c>
      <c r="B231" s="357" t="n">
        <f aca="false">B68</f>
        <v>0.0075</v>
      </c>
      <c r="C231" s="310" t="s">
        <v>202</v>
      </c>
      <c r="D231" s="317"/>
      <c r="E231" s="352" t="n">
        <f aca="false">B69</f>
        <v>0.12</v>
      </c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8.75" hidden="false" customHeight="true" outlineLevel="0" collapsed="false">
      <c r="A232" s="316"/>
      <c r="B232" s="356"/>
      <c r="C232" s="310" t="s">
        <v>203</v>
      </c>
      <c r="D232" s="317"/>
      <c r="E232" s="20" t="n">
        <f aca="false">B86</f>
        <v>259.323772270964</v>
      </c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18.75" hidden="false" customHeight="true" outlineLevel="0" collapsed="false">
      <c r="A233" s="316" t="s">
        <v>204</v>
      </c>
      <c r="B233" s="60" t="n">
        <f aca="false">B79</f>
        <v>200</v>
      </c>
      <c r="C233" s="358" t="s">
        <v>311</v>
      </c>
      <c r="D233" s="359"/>
      <c r="E233" s="150" t="n">
        <f aca="false">B74</f>
        <v>165</v>
      </c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18.75" hidden="false" customHeight="true" outlineLevel="0" collapsed="false">
      <c r="A234" s="350"/>
      <c r="B234" s="313"/>
      <c r="C234" s="358"/>
      <c r="D234" s="360"/>
      <c r="E234" s="361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18.75" hidden="false" customHeight="true" outlineLevel="0" collapsed="false">
      <c r="A235" s="70" t="s">
        <v>205</v>
      </c>
      <c r="B235" s="60" t="n">
        <f aca="false">B80</f>
        <v>200</v>
      </c>
      <c r="C235" s="362" t="s">
        <v>312</v>
      </c>
      <c r="D235" s="362"/>
      <c r="E235" s="150" t="n">
        <f aca="false">B75</f>
        <v>0</v>
      </c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18.75" hidden="false" customHeight="true" outlineLevel="0" collapsed="false">
      <c r="A236" s="291"/>
      <c r="B236" s="292"/>
      <c r="C236" s="292"/>
      <c r="D236" s="292"/>
      <c r="E236" s="293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18.75" hidden="false" customHeight="true" outlineLevel="0" collapsed="false">
      <c r="A237" s="291"/>
      <c r="B237" s="292"/>
      <c r="C237" s="292"/>
      <c r="D237" s="292"/>
      <c r="E237" s="293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18.75" hidden="false" customHeight="true" outlineLevel="0" collapsed="false">
      <c r="A238" s="70"/>
      <c r="B238" s="201"/>
      <c r="C238" s="201"/>
      <c r="D238" s="201"/>
      <c r="E238" s="177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18.75" hidden="false" customHeight="true" outlineLevel="0" collapsed="false">
      <c r="A239" s="291"/>
      <c r="B239" s="292"/>
      <c r="C239" s="292"/>
      <c r="D239" s="292"/>
      <c r="E239" s="293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18.75" hidden="false" customHeight="true" outlineLevel="0" collapsed="false">
      <c r="A240" s="291"/>
      <c r="B240" s="292"/>
      <c r="C240" s="292"/>
      <c r="D240" s="292"/>
      <c r="E240" s="293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18.75" hidden="false" customHeight="true" outlineLevel="0" collapsed="false">
      <c r="A241" s="70"/>
      <c r="B241" s="201"/>
      <c r="C241" s="292"/>
      <c r="D241" s="292"/>
      <c r="E241" s="293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18.75" hidden="false" customHeight="true" outlineLevel="0" collapsed="false">
      <c r="A242" s="342"/>
      <c r="B242" s="343"/>
      <c r="C242" s="343"/>
      <c r="D242" s="343"/>
      <c r="E242" s="344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18.75" hidden="false" customHeight="tru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18.75" hidden="false" customHeight="tru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18.75" hidden="false" customHeight="tru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18.75" hidden="false" customHeight="tru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18.75" hidden="false" customHeight="tru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18.75" hidden="false" customHeight="tru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18.75" hidden="false" customHeight="tru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18.75" hidden="false" customHeight="tru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18.75" hidden="false" customHeight="tru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18.75" hidden="false" customHeight="tru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18.75" hidden="false" customHeight="tru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18.75" hidden="false" customHeight="tru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18.75" hidden="false" customHeight="tru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18.75" hidden="false" customHeight="tru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18.75" hidden="false" customHeight="tru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18.75" hidden="false" customHeight="tru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18.75" hidden="false" customHeight="tru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18.75" hidden="false" customHeight="tru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18.75" hidden="false" customHeight="tru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18.75" hidden="false" customHeight="tru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18.75" hidden="false" customHeight="tru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18.75" hidden="false" customHeight="tru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18.75" hidden="false" customHeight="tru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18.75" hidden="false" customHeight="tru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18.75" hidden="false" customHeight="tru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18.75" hidden="false" customHeight="tru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18.75" hidden="false" customHeight="tru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18.75" hidden="false" customHeight="tru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18.75" hidden="false" customHeight="tru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18.75" hidden="false" customHeight="tru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18.75" hidden="false" customHeight="tru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18.75" hidden="false" customHeight="tru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18.75" hidden="false" customHeight="tru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18.75" hidden="false" customHeight="tru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18.75" hidden="false" customHeight="tru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18.75" hidden="false" customHeight="tru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18.75" hidden="false" customHeight="tru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18.75" hidden="false" customHeight="tru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18.75" hidden="false" customHeight="tru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18.75" hidden="false" customHeight="tru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18.75" hidden="false" customHeight="tru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18.75" hidden="false" customHeight="tru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18.75" hidden="false" customHeight="tru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18.75" hidden="false" customHeight="tru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18.75" hidden="false" customHeight="tru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18.75" hidden="false" customHeight="tru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18.75" hidden="false" customHeight="tru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18.75" hidden="false" customHeight="tru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18.75" hidden="false" customHeight="tru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18.75" hidden="false" customHeight="tru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18.75" hidden="false" customHeight="tru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18.75" hidden="false" customHeight="tru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18.75" hidden="false" customHeight="tru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18.75" hidden="false" customHeight="tru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18.75" hidden="false" customHeight="tru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18.75" hidden="false" customHeight="tru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18.75" hidden="false" customHeight="tru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18.75" hidden="false" customHeight="tru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18.75" hidden="false" customHeight="tru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18.75" hidden="false" customHeight="tru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18.75" hidden="false" customHeight="tru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18.75" hidden="false" customHeight="tru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18.75" hidden="false" customHeight="tru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18.75" hidden="false" customHeight="tru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18.75" hidden="false" customHeight="tru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18.75" hidden="false" customHeight="tru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18.75" hidden="false" customHeight="tru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18.75" hidden="false" customHeight="tru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18.75" hidden="false" customHeight="tru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18.75" hidden="false" customHeight="tru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18.75" hidden="false" customHeight="tru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18.75" hidden="false" customHeight="tru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18.75" hidden="false" customHeight="tru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18.75" hidden="false" customHeight="tru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18.75" hidden="false" customHeight="tru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18.75" hidden="false" customHeight="tru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18.75" hidden="false" customHeight="tru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18.75" hidden="false" customHeight="tru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18.75" hidden="false" customHeight="tru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18.75" hidden="false" customHeight="tru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18.75" hidden="false" customHeight="tru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18.75" hidden="false" customHeight="tru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18.75" hidden="false" customHeight="tru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18.75" hidden="false" customHeight="tru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18.75" hidden="false" customHeight="tru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18.75" hidden="false" customHeight="tru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18.75" hidden="false" customHeight="tru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18.75" hidden="false" customHeight="tru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18.75" hidden="false" customHeight="tru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18.75" hidden="false" customHeight="tru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18.75" hidden="false" customHeight="tru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18.75" hidden="false" customHeight="tru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18.75" hidden="false" customHeight="tru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18.75" hidden="false" customHeight="tru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18.75" hidden="false" customHeight="tru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18.75" hidden="false" customHeight="tru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18.75" hidden="false" customHeight="tru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18.75" hidden="false" customHeight="tru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18.75" hidden="false" customHeight="tru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18.75" hidden="false" customHeight="tru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18.75" hidden="false" customHeight="tru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18.75" hidden="false" customHeight="tru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18.75" hidden="false" customHeight="tru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18.75" hidden="false" customHeight="tru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18.75" hidden="false" customHeight="tru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18.75" hidden="false" customHeight="tru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18.75" hidden="false" customHeight="tru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18.75" hidden="false" customHeight="tru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18.75" hidden="false" customHeight="tru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18.75" hidden="false" customHeight="tru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18.75" hidden="false" customHeight="true" outlineLevel="0" collapsed="false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customFormat="false" ht="18.75" hidden="false" customHeight="true" outlineLevel="0" collapsed="false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customFormat="false" ht="18.75" hidden="false" customHeight="tru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customFormat="false" ht="18.75" hidden="false" customHeight="true" outlineLevel="0" collapsed="false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customFormat="false" ht="18.75" hidden="false" customHeight="true" outlineLevel="0" collapsed="false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64">
    <mergeCell ref="A1:F1"/>
    <mergeCell ref="D7:E18"/>
    <mergeCell ref="A16:C18"/>
    <mergeCell ref="A19:D19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5">
    <dataValidation allowBlank="true" operator="between" showDropDown="false" showErrorMessage="true" showInputMessage="false" sqref="H99 N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B99" type="list">
      <formula1>'Formula1-BCH'!$Y$97:$Y$105</formula1>
      <formula2>0</formula2>
    </dataValidation>
    <dataValidation allowBlank="true" operator="between" showDropDown="false" showErrorMessage="true" showInputMessage="false" sqref="B26" type="list">
      <formula1>'Formula1-BCH'!$I$3:$I$4</formula1>
      <formula2>0</formula2>
    </dataValidation>
    <dataValidation allowBlank="true" operator="between" showDropDown="false" showErrorMessage="true" showInputMessage="false" sqref="A105 B110" type="list">
      <formula1>'Formula1-BCH'!$I$3:$I$4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4289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2023-03-22T13:41:30Z</dcterms:modified>
  <cp:revision>675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